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2026\2026_BALATONFÖLDVÁR\2025_beszámoló_Bf\"/>
    </mc:Choice>
  </mc:AlternateContent>
  <xr:revisionPtr revIDLastSave="0" documentId="13_ncr:1_{6A824B55-FA33-4109-9DE6-20DDCFEF83A4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1.Bev-kiad." sheetId="36" r:id="rId1"/>
    <sheet name="2.működés" sheetId="57" r:id="rId2"/>
    <sheet name="3.felh" sheetId="58" r:id="rId3"/>
    <sheet name="4. Átadott p.eszk." sheetId="39" r:id="rId4"/>
    <sheet name="5.Bev.össz" sheetId="99" r:id="rId5"/>
    <sheet name="6.Kiad.össz. " sheetId="80" r:id="rId6"/>
    <sheet name="7.finanszírozás." sheetId="81" r:id="rId7"/>
    <sheet name="8.Önk." sheetId="82" r:id="rId8"/>
    <sheet name="9.Hivatal" sheetId="83" r:id="rId9"/>
    <sheet name="10.Többéves, adósság" sheetId="52" r:id="rId10"/>
    <sheet name="11.Maradvány" sheetId="105" r:id="rId11"/>
    <sheet name="12.Mérleg_konsz" sheetId="106" r:id="rId12"/>
    <sheet name="13.Eredménykim._konsz" sheetId="107" r:id="rId13"/>
    <sheet name="14.Vagyonkimutatás" sheetId="108" r:id="rId14"/>
    <sheet name="15.Előirányzat felh.terv" sheetId="109" r:id="rId15"/>
    <sheet name="16.Részesedések" sheetId="110" r:id="rId16"/>
    <sheet name="17.Gördülő" sheetId="97" r:id="rId17"/>
    <sheet name="18.Vezetői nyilatkozat" sheetId="111" r:id="rId18"/>
    <sheet name="19.Mérlegszerű kimutatás" sheetId="102" r:id="rId19"/>
  </sheets>
  <externalReferences>
    <externalReference r:id="rId20"/>
    <externalReference r:id="rId21"/>
    <externalReference r:id="rId22"/>
    <externalReference r:id="rId23"/>
  </externalReferences>
  <definedNames>
    <definedName name="_xlnm._FilterDatabase" localSheetId="0" hidden="1">'1.Bev-kiad.'!$B$1:$B$65</definedName>
    <definedName name="_xlnm._FilterDatabase" localSheetId="16" hidden="1">'17.Gördülő'!$B$1:$B$64</definedName>
    <definedName name="_xlnm._FilterDatabase" localSheetId="1" hidden="1">'2.működés'!$B$1:$B$117</definedName>
    <definedName name="_xlnm._FilterDatabase" localSheetId="2" hidden="1">'3.felh'!$B$1:$B$46</definedName>
    <definedName name="adfadf">'[1]4.1. táj.'!#REF!</definedName>
    <definedName name="beruh" localSheetId="16">'[1]4.1. táj.'!#REF!</definedName>
    <definedName name="beruh" localSheetId="1">'[1]4.1. táj.'!#REF!</definedName>
    <definedName name="beruh" localSheetId="2">'[1]4.1. táj.'!#REF!</definedName>
    <definedName name="beruh" localSheetId="5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>'[1]4.1. táj.'!#REF!</definedName>
    <definedName name="intézmények" localSheetId="16">'[2]4.1. táj.'!#REF!</definedName>
    <definedName name="intézmények" localSheetId="1">'[2]4.1. táj.'!#REF!</definedName>
    <definedName name="intézmények" localSheetId="2">'[2]4.1. táj.'!#REF!</definedName>
    <definedName name="intézmények" localSheetId="5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>'[2]4.1. táj.'!#REF!</definedName>
    <definedName name="_xlnm.Print_Titles" localSheetId="1">'2.működés'!$7:$7</definedName>
    <definedName name="_xlnm.Print_Titles" localSheetId="5">'6.Kiad.össz. '!$A:$A</definedName>
    <definedName name="_xlnm.Print_Titles" localSheetId="6">'7.finanszírozás.'!$7:$8</definedName>
    <definedName name="_xlnm.Print_Titles" localSheetId="7">'8.Önk.'!$A:$B,'8.Önk.'!$5:$10</definedName>
    <definedName name="_xlnm.Print_Titles" localSheetId="8">'9.Hivatal'!$8:$9</definedName>
    <definedName name="_xlnm.Print_Area" localSheetId="0">'1.Bev-kiad.'!$A$1:$M$92</definedName>
    <definedName name="_xlnm.Print_Area" localSheetId="9">'10.Többéves, adósság'!$A$1:$O$32</definedName>
    <definedName name="_xlnm.Print_Area" localSheetId="16">'17.Gördülő'!$A$1:$F$87</definedName>
    <definedName name="_xlnm.Print_Area" localSheetId="1">'2.működés'!$A$1:$M$145</definedName>
    <definedName name="_xlnm.Print_Area" localSheetId="2">'3.felh'!$A$1:$M$107</definedName>
    <definedName name="_xlnm.Print_Area" localSheetId="3">'4. Átadott p.eszk.'!$A$1:$L$79</definedName>
    <definedName name="_xlnm.Print_Area" localSheetId="5">'6.Kiad.össz. '!$A$1:$X$62</definedName>
    <definedName name="_xlnm.Print_Area" localSheetId="6">'7.finanszírozás.'!$A$1:$F$172</definedName>
    <definedName name="_xlnm.Print_Area" localSheetId="7">'8.Önk.'!$A$1:$CA$157</definedName>
    <definedName name="_xlnm.Print_Area" localSheetId="8">'9.Hivatal'!$A$1:$AE$98</definedName>
    <definedName name="qewrqewr" localSheetId="16">'[1]4.1. táj.'!#REF!</definedName>
    <definedName name="qewrqewr" localSheetId="5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>'[1]4.1. táj.'!#REF!</definedName>
    <definedName name="Z_ABF21C5C_6078_4D03_96DF_78390D4F8F84_.wvu.Cols" localSheetId="3" hidden="1">'4. Átadott p.eszk.'!#REF!,'4. Átadott p.eszk.'!$HS:$IV</definedName>
    <definedName name="Z_ABF21C5C_6078_4D03_96DF_78390D4F8F84_.wvu.FilterData" localSheetId="0" hidden="1">'1.Bev-kiad.'!$B$1:$B$65</definedName>
    <definedName name="Z_ABF21C5C_6078_4D03_96DF_78390D4F8F84_.wvu.FilterData" localSheetId="16" hidden="1">'17.Gördülő'!$B$1:$B$64</definedName>
    <definedName name="Z_ABF21C5C_6078_4D03_96DF_78390D4F8F84_.wvu.FilterData" localSheetId="1" hidden="1">'2.működés'!$B$1:$B$117</definedName>
    <definedName name="Z_ABF21C5C_6078_4D03_96DF_78390D4F8F84_.wvu.FilterData" localSheetId="2" hidden="1">'3.felh'!$B$1:$B$46</definedName>
    <definedName name="Z_ABF21C5C_6078_4D03_96DF_78390D4F8F84_.wvu.PrintArea" localSheetId="0" hidden="1">'1.Bev-kiad.'!$B$1:$B$90</definedName>
    <definedName name="Z_ABF21C5C_6078_4D03_96DF_78390D4F8F84_.wvu.PrintArea" localSheetId="16" hidden="1">'17.Gördülő'!$B$1:$B$81</definedName>
    <definedName name="Z_ABF21C5C_6078_4D03_96DF_78390D4F8F84_.wvu.PrintArea" localSheetId="1" hidden="1">'2.működés'!$B$1:$B$140</definedName>
    <definedName name="Z_ABF21C5C_6078_4D03_96DF_78390D4F8F84_.wvu.PrintArea" localSheetId="2" hidden="1">'3.felh'!$B$1:$B$94</definedName>
    <definedName name="Z_ABF21C5C_6078_4D03_96DF_78390D4F8F84_.wvu.PrintArea" localSheetId="3" hidden="1">'4. Átadott p.eszk.'!$A$1:$A$65</definedName>
    <definedName name="Z_ABF21C5C_6078_4D03_96DF_78390D4F8F84_.wvu.PrintArea" localSheetId="7" hidden="1">'8.Önk.'!$B$1:$B$7</definedName>
    <definedName name="Z_ABF21C5C_6078_4D03_96DF_78390D4F8F84_.wvu.PrintArea" localSheetId="8" hidden="1">'9.Hivatal'!$B$1:$B$6</definedName>
    <definedName name="Z_ABF21C5C_6078_4D03_96DF_78390D4F8F84_.wvu.Rows" localSheetId="0" hidden="1">'1.Bev-kiad.'!#REF!</definedName>
    <definedName name="Z_ABF21C5C_6078_4D03_96DF_78390D4F8F84_.wvu.Rows" localSheetId="16" hidden="1">'17.Gördülő'!#REF!</definedName>
    <definedName name="Z_ABF21C5C_6078_4D03_96DF_78390D4F8F84_.wvu.Rows" localSheetId="1" hidden="1">'2.működés'!#REF!</definedName>
    <definedName name="Z_ABF21C5C_6078_4D03_96DF_78390D4F8F84_.wvu.Rows" localSheetId="2" hidden="1">'3.felh'!#REF!</definedName>
    <definedName name="Z_ABF21C5C_6078_4D03_96DF_78390D4F8F84_.wvu.Rows" localSheetId="3" hidden="1">'4. Átadott p.eszk.'!#REF!,'4. Átadott p.eszk.'!#REF!,'4. Átadott p.eszk.'!#REF!,'4. Átadott p.eszk.'!#REF!,'4. Átadott p.eszk.'!#REF!</definedName>
    <definedName name="Z_ABF21C5C_6078_4D03_96DF_78390D4F8F84_.wvu.Rows" localSheetId="7" hidden="1">'8.Önk.'!#REF!,'8.Önk.'!#REF!</definedName>
    <definedName name="Z_ABF21C5C_6078_4D03_96DF_78390D4F8F84_.wvu.Rows" localSheetId="8" hidden="1">'9.Hivatal'!#REF!,'9.Hivatal'!#REF!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X155" i="82" l="1"/>
  <c r="D10" i="52"/>
  <c r="H46" i="102" l="1"/>
  <c r="H40" i="102"/>
  <c r="H34" i="102"/>
  <c r="H47" i="102" s="1"/>
  <c r="H27" i="102"/>
  <c r="C46" i="102"/>
  <c r="C37" i="102"/>
  <c r="C40" i="102" s="1"/>
  <c r="C30" i="102"/>
  <c r="C34" i="102" s="1"/>
  <c r="C47" i="102" s="1"/>
  <c r="J2" i="102"/>
  <c r="J46" i="102"/>
  <c r="I46" i="102"/>
  <c r="E46" i="102"/>
  <c r="D46" i="102"/>
  <c r="J40" i="102"/>
  <c r="I40" i="102"/>
  <c r="E37" i="102"/>
  <c r="E40" i="102" s="1"/>
  <c r="D37" i="102"/>
  <c r="D40" i="102" s="1"/>
  <c r="J34" i="102"/>
  <c r="I34" i="102"/>
  <c r="E30" i="102"/>
  <c r="E34" i="102" s="1"/>
  <c r="D30" i="102"/>
  <c r="D34" i="102" s="1"/>
  <c r="J27" i="102"/>
  <c r="I27" i="102"/>
  <c r="J25" i="102"/>
  <c r="I25" i="102"/>
  <c r="C24" i="102"/>
  <c r="C22" i="102"/>
  <c r="C20" i="102" s="1"/>
  <c r="C19" i="102" s="1"/>
  <c r="C18" i="102" s="1"/>
  <c r="C25" i="102" s="1"/>
  <c r="H21" i="102"/>
  <c r="C21" i="102"/>
  <c r="H20" i="102"/>
  <c r="H19" i="102" s="1"/>
  <c r="H18" i="102" s="1"/>
  <c r="E20" i="102"/>
  <c r="D20" i="102"/>
  <c r="J19" i="102"/>
  <c r="I19" i="102"/>
  <c r="E19" i="102"/>
  <c r="E18" i="102" s="1"/>
  <c r="D19" i="102"/>
  <c r="D18" i="102" s="1"/>
  <c r="J18" i="102"/>
  <c r="I18" i="102"/>
  <c r="C17" i="102"/>
  <c r="J14" i="102"/>
  <c r="I14" i="102"/>
  <c r="H14" i="102"/>
  <c r="E14" i="102"/>
  <c r="D14" i="102"/>
  <c r="C14" i="102"/>
  <c r="J8" i="102"/>
  <c r="I8" i="102"/>
  <c r="H8" i="102"/>
  <c r="H7" i="102" s="1"/>
  <c r="H25" i="102" s="1"/>
  <c r="E8" i="102"/>
  <c r="E7" i="102" s="1"/>
  <c r="E25" i="102" s="1"/>
  <c r="D8" i="102"/>
  <c r="D7" i="102" s="1"/>
  <c r="D25" i="102" s="1"/>
  <c r="C8" i="102"/>
  <c r="J7" i="102"/>
  <c r="I7" i="102"/>
  <c r="C7" i="102"/>
  <c r="J6" i="102"/>
  <c r="I6" i="102"/>
  <c r="H6" i="102"/>
  <c r="K2" i="111"/>
  <c r="C84" i="97"/>
  <c r="C82" i="97"/>
  <c r="C74" i="97"/>
  <c r="C73" i="97"/>
  <c r="C71" i="97"/>
  <c r="C70" i="97"/>
  <c r="C69" i="97"/>
  <c r="C68" i="97"/>
  <c r="C67" i="97"/>
  <c r="C59" i="97"/>
  <c r="C58" i="97"/>
  <c r="C57" i="97"/>
  <c r="C50" i="97"/>
  <c r="C46" i="97"/>
  <c r="C40" i="97"/>
  <c r="C29" i="97"/>
  <c r="C22" i="97"/>
  <c r="C16" i="97"/>
  <c r="C9" i="97"/>
  <c r="C2" i="110"/>
  <c r="B13" i="110"/>
  <c r="B12" i="110"/>
  <c r="B10" i="110"/>
  <c r="B8" i="110"/>
  <c r="D12" i="109"/>
  <c r="B14" i="109"/>
  <c r="B15" i="109" s="1"/>
  <c r="B11" i="109"/>
  <c r="D10" i="109"/>
  <c r="E10" i="109" s="1"/>
  <c r="B9" i="109" s="1"/>
  <c r="B10" i="109" s="1"/>
  <c r="B2" i="109"/>
  <c r="G104" i="108"/>
  <c r="G103" i="108"/>
  <c r="J47" i="102" l="1"/>
  <c r="I47" i="102"/>
  <c r="E47" i="102"/>
  <c r="D47" i="102"/>
  <c r="B12" i="109"/>
  <c r="D102" i="108"/>
  <c r="E102" i="108"/>
  <c r="D101" i="108"/>
  <c r="D97" i="108"/>
  <c r="D96" i="108"/>
  <c r="E96" i="108" s="1"/>
  <c r="D95" i="108"/>
  <c r="D94" i="108"/>
  <c r="D93" i="108" s="1"/>
  <c r="D75" i="106"/>
  <c r="F75" i="106"/>
  <c r="E2" i="108"/>
  <c r="E113" i="108"/>
  <c r="E101" i="108"/>
  <c r="E100" i="108"/>
  <c r="E99" i="108"/>
  <c r="E98" i="108"/>
  <c r="E97" i="108"/>
  <c r="E95" i="108"/>
  <c r="E73" i="108"/>
  <c r="E65" i="108"/>
  <c r="D65" i="108"/>
  <c r="E64" i="108"/>
  <c r="D64" i="108"/>
  <c r="E54" i="108"/>
  <c r="E46" i="108" s="1"/>
  <c r="D46" i="108"/>
  <c r="E30" i="108"/>
  <c r="E28" i="108" s="1"/>
  <c r="D30" i="108"/>
  <c r="D28" i="108" s="1"/>
  <c r="E23" i="108"/>
  <c r="E21" i="108" s="1"/>
  <c r="E19" i="108" s="1"/>
  <c r="D23" i="108"/>
  <c r="D21" i="108" s="1"/>
  <c r="D19" i="108" s="1"/>
  <c r="E11" i="108"/>
  <c r="E9" i="108" s="1"/>
  <c r="D11" i="108"/>
  <c r="D9" i="108"/>
  <c r="C38" i="107"/>
  <c r="E2" i="107"/>
  <c r="E37" i="107"/>
  <c r="D36" i="107"/>
  <c r="C36" i="107"/>
  <c r="E34" i="107"/>
  <c r="E36" i="107" s="1"/>
  <c r="D32" i="107"/>
  <c r="D37" i="107" s="1"/>
  <c r="C32" i="107"/>
  <c r="E30" i="107"/>
  <c r="E32" i="107" s="1"/>
  <c r="E26" i="107"/>
  <c r="E25" i="107"/>
  <c r="D24" i="107"/>
  <c r="C24" i="107"/>
  <c r="E23" i="107"/>
  <c r="E24" i="107" s="1"/>
  <c r="E22" i="107"/>
  <c r="E21" i="107"/>
  <c r="D20" i="107"/>
  <c r="C20" i="107"/>
  <c r="E19" i="107"/>
  <c r="E18" i="107"/>
  <c r="E17" i="107"/>
  <c r="E16" i="107"/>
  <c r="D15" i="107"/>
  <c r="C15" i="107"/>
  <c r="E14" i="107"/>
  <c r="E13" i="107"/>
  <c r="E12" i="107"/>
  <c r="E11" i="107"/>
  <c r="D10" i="107"/>
  <c r="D27" i="107" s="1"/>
  <c r="C10" i="107"/>
  <c r="E9" i="107"/>
  <c r="E8" i="107"/>
  <c r="E7" i="107"/>
  <c r="D81" i="106"/>
  <c r="F2" i="106"/>
  <c r="F100" i="106"/>
  <c r="E100" i="106"/>
  <c r="F99" i="106"/>
  <c r="F98" i="106"/>
  <c r="F97" i="106"/>
  <c r="D96" i="106"/>
  <c r="F96" i="106" s="1"/>
  <c r="F95" i="106"/>
  <c r="E95" i="106"/>
  <c r="F94" i="106"/>
  <c r="F93" i="106"/>
  <c r="F92" i="106"/>
  <c r="F91" i="106"/>
  <c r="E91" i="106"/>
  <c r="F90" i="106"/>
  <c r="F89" i="106"/>
  <c r="E88" i="106"/>
  <c r="D88" i="106"/>
  <c r="F88" i="106" s="1"/>
  <c r="F87" i="106"/>
  <c r="F86" i="106"/>
  <c r="F85" i="106"/>
  <c r="E84" i="106"/>
  <c r="E86" i="106" s="1"/>
  <c r="E96" i="106" s="1"/>
  <c r="D84" i="106"/>
  <c r="F84" i="106" s="1"/>
  <c r="F83" i="106"/>
  <c r="F82" i="106"/>
  <c r="E81" i="106"/>
  <c r="F80" i="106"/>
  <c r="F79" i="106"/>
  <c r="F78" i="106"/>
  <c r="F77" i="106"/>
  <c r="F76" i="106"/>
  <c r="F74" i="106"/>
  <c r="E74" i="106"/>
  <c r="F73" i="106"/>
  <c r="F72" i="106"/>
  <c r="F71" i="106"/>
  <c r="E71" i="106"/>
  <c r="F70" i="106"/>
  <c r="E70" i="106"/>
  <c r="D70" i="106"/>
  <c r="F69" i="106"/>
  <c r="F68" i="106"/>
  <c r="E67" i="106"/>
  <c r="D67" i="106"/>
  <c r="F67" i="106" s="1"/>
  <c r="F66" i="106"/>
  <c r="F65" i="106"/>
  <c r="E65" i="106"/>
  <c r="D65" i="106"/>
  <c r="F64" i="106"/>
  <c r="D63" i="106"/>
  <c r="F63" i="106" s="1"/>
  <c r="F62" i="106"/>
  <c r="F61" i="106"/>
  <c r="F60" i="106"/>
  <c r="E59" i="106"/>
  <c r="E62" i="106" s="1"/>
  <c r="D59" i="106"/>
  <c r="F59" i="106" s="1"/>
  <c r="F58" i="106"/>
  <c r="F57" i="106"/>
  <c r="E56" i="106"/>
  <c r="E58" i="106" s="1"/>
  <c r="D56" i="106"/>
  <c r="F56" i="106" s="1"/>
  <c r="F55" i="106"/>
  <c r="F54" i="106"/>
  <c r="E54" i="106"/>
  <c r="D54" i="106"/>
  <c r="F53" i="106"/>
  <c r="F52" i="106"/>
  <c r="F51" i="106"/>
  <c r="F50" i="106"/>
  <c r="E50" i="106"/>
  <c r="D50" i="106"/>
  <c r="F49" i="106"/>
  <c r="F48" i="106"/>
  <c r="F47" i="106"/>
  <c r="F46" i="106"/>
  <c r="E45" i="106"/>
  <c r="D45" i="106"/>
  <c r="F45" i="106" s="1"/>
  <c r="F44" i="106"/>
  <c r="F43" i="106"/>
  <c r="F42" i="106"/>
  <c r="F41" i="106"/>
  <c r="F40" i="106"/>
  <c r="E39" i="106"/>
  <c r="D39" i="106"/>
  <c r="F39" i="106" s="1"/>
  <c r="F38" i="106"/>
  <c r="F37" i="106"/>
  <c r="F36" i="106"/>
  <c r="E35" i="106"/>
  <c r="E49" i="106" s="1"/>
  <c r="D35" i="106"/>
  <c r="F35" i="106" s="1"/>
  <c r="F34" i="106"/>
  <c r="E33" i="106"/>
  <c r="D33" i="106"/>
  <c r="F33" i="106" s="1"/>
  <c r="F32" i="106"/>
  <c r="E32" i="106"/>
  <c r="F31" i="106"/>
  <c r="F30" i="106"/>
  <c r="F29" i="106"/>
  <c r="E29" i="106"/>
  <c r="F28" i="106"/>
  <c r="F27" i="106"/>
  <c r="E27" i="106"/>
  <c r="D27" i="106"/>
  <c r="F26" i="106"/>
  <c r="E25" i="106"/>
  <c r="E24" i="106"/>
  <c r="D24" i="106"/>
  <c r="D25" i="106" s="1"/>
  <c r="F25" i="106" s="1"/>
  <c r="F23" i="106"/>
  <c r="D22" i="106"/>
  <c r="F22" i="106" s="1"/>
  <c r="E21" i="106"/>
  <c r="D21" i="106"/>
  <c r="F21" i="106" s="1"/>
  <c r="F20" i="106"/>
  <c r="F17" i="106"/>
  <c r="F16" i="106"/>
  <c r="F15" i="106"/>
  <c r="E14" i="106"/>
  <c r="E18" i="106" s="1"/>
  <c r="D14" i="106"/>
  <c r="D18" i="106" s="1"/>
  <c r="F13" i="106"/>
  <c r="E13" i="106"/>
  <c r="E19" i="106" s="1"/>
  <c r="F12" i="106"/>
  <c r="F11" i="106"/>
  <c r="F10" i="106"/>
  <c r="F9" i="106"/>
  <c r="E9" i="106"/>
  <c r="E2" i="105"/>
  <c r="L31" i="52"/>
  <c r="D18" i="108" l="1"/>
  <c r="D8" i="108" s="1"/>
  <c r="D103" i="108" s="1"/>
  <c r="E18" i="108"/>
  <c r="E8" i="108" s="1"/>
  <c r="E94" i="108"/>
  <c r="E93" i="108" s="1"/>
  <c r="E20" i="107"/>
  <c r="E15" i="107"/>
  <c r="E10" i="107"/>
  <c r="C27" i="107"/>
  <c r="D38" i="107"/>
  <c r="D101" i="106"/>
  <c r="F101" i="106" s="1"/>
  <c r="E101" i="106"/>
  <c r="E63" i="106"/>
  <c r="E75" i="106" s="1"/>
  <c r="D19" i="106"/>
  <c r="F18" i="106"/>
  <c r="F14" i="106"/>
  <c r="F24" i="106"/>
  <c r="F81" i="106"/>
  <c r="E103" i="108" l="1"/>
  <c r="H104" i="108" s="1"/>
  <c r="E27" i="107"/>
  <c r="E38" i="107" s="1"/>
  <c r="G101" i="106"/>
  <c r="F19" i="106"/>
  <c r="D31" i="52" l="1"/>
  <c r="AE12" i="83"/>
  <c r="AE13" i="83"/>
  <c r="AE14" i="83"/>
  <c r="AE15" i="83"/>
  <c r="AE16" i="83"/>
  <c r="AE17" i="83"/>
  <c r="AE18" i="83"/>
  <c r="AE19" i="83"/>
  <c r="AE20" i="83"/>
  <c r="AE21" i="83"/>
  <c r="AE22" i="83"/>
  <c r="AE23" i="83"/>
  <c r="AE24" i="83"/>
  <c r="AE25" i="83"/>
  <c r="AE26" i="83"/>
  <c r="AE27" i="83"/>
  <c r="AE28" i="83"/>
  <c r="AE29" i="83"/>
  <c r="AE30" i="83"/>
  <c r="AE31" i="83"/>
  <c r="AE32" i="83"/>
  <c r="AE33" i="83"/>
  <c r="AE34" i="83"/>
  <c r="AE35" i="83"/>
  <c r="AE38" i="83"/>
  <c r="AE39" i="83"/>
  <c r="AE41" i="83"/>
  <c r="AE42" i="83"/>
  <c r="AE43" i="83"/>
  <c r="AE44" i="83"/>
  <c r="AE45" i="83"/>
  <c r="AE46" i="83"/>
  <c r="AE47" i="83"/>
  <c r="AE48" i="83"/>
  <c r="AE49" i="83"/>
  <c r="AE50" i="83"/>
  <c r="AE52" i="83"/>
  <c r="AE53" i="83"/>
  <c r="AE54" i="83"/>
  <c r="AE55" i="83"/>
  <c r="AE57" i="83"/>
  <c r="AE58" i="83"/>
  <c r="AE59" i="83"/>
  <c r="AE60" i="83"/>
  <c r="AE61" i="83"/>
  <c r="AE62" i="83"/>
  <c r="AE63" i="83"/>
  <c r="AE64" i="83"/>
  <c r="AE65" i="83"/>
  <c r="AE66" i="83"/>
  <c r="AE68" i="83"/>
  <c r="AE69" i="83"/>
  <c r="AE70" i="83"/>
  <c r="AE71" i="83"/>
  <c r="AE72" i="83"/>
  <c r="AE73" i="83"/>
  <c r="AE74" i="83"/>
  <c r="AE75" i="83"/>
  <c r="AE76" i="83"/>
  <c r="AE77" i="83"/>
  <c r="AE80" i="83"/>
  <c r="AE81" i="83"/>
  <c r="AE82" i="83"/>
  <c r="AE83" i="83"/>
  <c r="AE84" i="83"/>
  <c r="AE85" i="83"/>
  <c r="AE86" i="83"/>
  <c r="AE88" i="83"/>
  <c r="AE89" i="83"/>
  <c r="AE90" i="83"/>
  <c r="AE91" i="83"/>
  <c r="AE92" i="83"/>
  <c r="AE93" i="83"/>
  <c r="AE94" i="83"/>
  <c r="AE95" i="83"/>
  <c r="AE96" i="83"/>
  <c r="AE97" i="83"/>
  <c r="AE98" i="83"/>
  <c r="AE11" i="83"/>
  <c r="AP124" i="82"/>
  <c r="AJ74" i="82"/>
  <c r="CA88" i="82" l="1"/>
  <c r="CA97" i="82"/>
  <c r="P15" i="80"/>
  <c r="Q15" i="80"/>
  <c r="R15" i="80"/>
  <c r="S15" i="80"/>
  <c r="T15" i="80"/>
  <c r="U15" i="80"/>
  <c r="V15" i="80"/>
  <c r="W15" i="80"/>
  <c r="X15" i="80"/>
  <c r="P16" i="80"/>
  <c r="Q16" i="80"/>
  <c r="R16" i="80"/>
  <c r="S16" i="80"/>
  <c r="T16" i="80"/>
  <c r="U16" i="80"/>
  <c r="V16" i="80"/>
  <c r="W16" i="80"/>
  <c r="X16" i="80"/>
  <c r="P40" i="80"/>
  <c r="Q40" i="80"/>
  <c r="R40" i="80"/>
  <c r="S40" i="80"/>
  <c r="T40" i="80"/>
  <c r="U40" i="80"/>
  <c r="V40" i="80"/>
  <c r="W40" i="80"/>
  <c r="X40" i="80"/>
  <c r="P41" i="80"/>
  <c r="Q41" i="80"/>
  <c r="R41" i="80"/>
  <c r="S41" i="80"/>
  <c r="T41" i="80"/>
  <c r="U41" i="80"/>
  <c r="V41" i="80"/>
  <c r="W41" i="80"/>
  <c r="X41" i="80"/>
  <c r="P48" i="80"/>
  <c r="P49" i="80"/>
  <c r="L64" i="99"/>
  <c r="J64" i="99"/>
  <c r="I64" i="99"/>
  <c r="H64" i="99"/>
  <c r="D64" i="99"/>
  <c r="L54" i="39"/>
  <c r="L58" i="39"/>
  <c r="L59" i="39"/>
  <c r="L60" i="39"/>
  <c r="L61" i="39"/>
  <c r="L62" i="39"/>
  <c r="L63" i="39"/>
  <c r="L64" i="39"/>
  <c r="L65" i="39"/>
  <c r="L17" i="39"/>
  <c r="L29" i="39"/>
  <c r="L30" i="39"/>
  <c r="L31" i="39"/>
  <c r="L32" i="39"/>
  <c r="L34" i="39"/>
  <c r="L38" i="39"/>
  <c r="L40" i="39"/>
  <c r="L41" i="39"/>
  <c r="L42" i="39"/>
  <c r="L44" i="39"/>
  <c r="L45" i="39"/>
  <c r="L46" i="39"/>
  <c r="L47" i="39"/>
  <c r="K72" i="39"/>
  <c r="K69" i="39" s="1"/>
  <c r="M48" i="58" l="1"/>
  <c r="M49" i="58"/>
  <c r="M50" i="58"/>
  <c r="M51" i="58"/>
  <c r="M53" i="58"/>
  <c r="M54" i="58"/>
  <c r="M55" i="58"/>
  <c r="M56" i="58"/>
  <c r="M58" i="58"/>
  <c r="M59" i="58"/>
  <c r="M60" i="58"/>
  <c r="M62" i="58"/>
  <c r="M64" i="58"/>
  <c r="M65" i="58"/>
  <c r="M66" i="58"/>
  <c r="M67" i="58"/>
  <c r="M72" i="58"/>
  <c r="M73" i="58"/>
  <c r="M74" i="58"/>
  <c r="M75" i="58"/>
  <c r="M76" i="58"/>
  <c r="M77" i="58"/>
  <c r="M79" i="58"/>
  <c r="M80" i="58"/>
  <c r="M81" i="58"/>
  <c r="M82" i="58"/>
  <c r="M83" i="58"/>
  <c r="M84" i="58"/>
  <c r="M85" i="58"/>
  <c r="M86" i="58"/>
  <c r="M87" i="58"/>
  <c r="M88" i="58"/>
  <c r="M89" i="58"/>
  <c r="M90" i="58"/>
  <c r="M91" i="58"/>
  <c r="M92" i="58"/>
  <c r="M95" i="58"/>
  <c r="M96" i="58"/>
  <c r="M97" i="58"/>
  <c r="M98" i="58"/>
  <c r="M99" i="58"/>
  <c r="M100" i="58"/>
  <c r="M101" i="58"/>
  <c r="M102" i="58"/>
  <c r="M103" i="58"/>
  <c r="M104" i="58"/>
  <c r="M9" i="58"/>
  <c r="M10" i="58"/>
  <c r="M11" i="58"/>
  <c r="M12" i="58"/>
  <c r="M13" i="58"/>
  <c r="M14" i="58"/>
  <c r="M15" i="58"/>
  <c r="M17" i="58"/>
  <c r="M18" i="58"/>
  <c r="M19" i="58"/>
  <c r="M20" i="58"/>
  <c r="M21" i="58"/>
  <c r="M22" i="58"/>
  <c r="M23" i="58"/>
  <c r="M24" i="58"/>
  <c r="M25" i="58"/>
  <c r="M26" i="58"/>
  <c r="M28" i="58"/>
  <c r="M31" i="58"/>
  <c r="M34" i="58"/>
  <c r="M35" i="58"/>
  <c r="M36" i="58"/>
  <c r="M37" i="58"/>
  <c r="M38" i="58"/>
  <c r="M39" i="58"/>
  <c r="M40" i="58"/>
  <c r="M41" i="58"/>
  <c r="M42" i="58"/>
  <c r="M44" i="58"/>
  <c r="M45" i="58"/>
  <c r="M8" i="58"/>
  <c r="M138" i="57"/>
  <c r="M139" i="57"/>
  <c r="M92" i="57"/>
  <c r="M93" i="57"/>
  <c r="M94" i="57"/>
  <c r="M95" i="57"/>
  <c r="M96" i="57"/>
  <c r="M98" i="57"/>
  <c r="M99" i="57"/>
  <c r="M100" i="57"/>
  <c r="M101" i="57"/>
  <c r="M102" i="57"/>
  <c r="M103" i="57"/>
  <c r="M104" i="57"/>
  <c r="M105" i="57"/>
  <c r="M106" i="57"/>
  <c r="M107" i="57"/>
  <c r="M108" i="57"/>
  <c r="M110" i="57"/>
  <c r="M111" i="57"/>
  <c r="M112" i="57"/>
  <c r="M113" i="57"/>
  <c r="M55" i="57"/>
  <c r="M56" i="57"/>
  <c r="M137" i="57"/>
  <c r="M136" i="57"/>
  <c r="M135" i="57"/>
  <c r="M134" i="57"/>
  <c r="M133" i="57"/>
  <c r="M132" i="57"/>
  <c r="M131" i="57"/>
  <c r="M130" i="57"/>
  <c r="M116" i="57"/>
  <c r="M115" i="57"/>
  <c r="M91" i="57"/>
  <c r="M90" i="57"/>
  <c r="M89" i="57"/>
  <c r="M88" i="57"/>
  <c r="M87" i="57"/>
  <c r="M86" i="57"/>
  <c r="M85" i="57"/>
  <c r="M84" i="57"/>
  <c r="M83" i="57"/>
  <c r="M82" i="57"/>
  <c r="M81" i="57"/>
  <c r="M80" i="57"/>
  <c r="M79" i="57"/>
  <c r="M78" i="57"/>
  <c r="M77" i="57"/>
  <c r="M76" i="57"/>
  <c r="M75" i="57"/>
  <c r="M74" i="57"/>
  <c r="M73" i="57"/>
  <c r="M72" i="57"/>
  <c r="M71" i="57"/>
  <c r="M70" i="57"/>
  <c r="M69" i="57"/>
  <c r="M68" i="57"/>
  <c r="M67" i="57"/>
  <c r="M66" i="57"/>
  <c r="M65" i="57"/>
  <c r="M64" i="57"/>
  <c r="M63" i="57"/>
  <c r="M62" i="57"/>
  <c r="M47" i="57"/>
  <c r="M46" i="57"/>
  <c r="M45" i="57"/>
  <c r="M44" i="57"/>
  <c r="M43" i="57"/>
  <c r="M42" i="57"/>
  <c r="M40" i="57"/>
  <c r="M39" i="57"/>
  <c r="M38" i="57"/>
  <c r="M37" i="57"/>
  <c r="M36" i="57"/>
  <c r="M35" i="57"/>
  <c r="M33" i="57"/>
  <c r="M32" i="57"/>
  <c r="M31" i="57"/>
  <c r="M30" i="57"/>
  <c r="M29" i="57"/>
  <c r="M28" i="57"/>
  <c r="M26" i="57"/>
  <c r="M25" i="57"/>
  <c r="M24" i="57"/>
  <c r="M23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11" i="36"/>
  <c r="M12" i="36"/>
  <c r="M13" i="36"/>
  <c r="M14" i="36"/>
  <c r="M15" i="36"/>
  <c r="M16" i="36"/>
  <c r="M18" i="36"/>
  <c r="M19" i="36"/>
  <c r="M20" i="36"/>
  <c r="M21" i="36"/>
  <c r="M22" i="36"/>
  <c r="M24" i="36"/>
  <c r="M25" i="36"/>
  <c r="M26" i="36"/>
  <c r="M27" i="36"/>
  <c r="M28" i="36"/>
  <c r="M29" i="36"/>
  <c r="M31" i="36"/>
  <c r="M32" i="36"/>
  <c r="M33" i="36"/>
  <c r="M34" i="36"/>
  <c r="M35" i="36"/>
  <c r="M36" i="36"/>
  <c r="M37" i="36"/>
  <c r="M38" i="36"/>
  <c r="M39" i="36"/>
  <c r="M40" i="36"/>
  <c r="M42" i="36"/>
  <c r="M43" i="36"/>
  <c r="M44" i="36"/>
  <c r="M45" i="36"/>
  <c r="M46" i="36"/>
  <c r="M48" i="36"/>
  <c r="M49" i="36"/>
  <c r="M50" i="36"/>
  <c r="M52" i="36"/>
  <c r="M53" i="36"/>
  <c r="M54" i="36"/>
  <c r="M62" i="36"/>
  <c r="M73" i="36"/>
  <c r="M74" i="36"/>
  <c r="M80" i="36"/>
  <c r="M84" i="36"/>
  <c r="M86" i="36"/>
  <c r="I34" i="99"/>
  <c r="I25" i="99"/>
  <c r="H25" i="99"/>
  <c r="H24" i="99"/>
  <c r="I24" i="99"/>
  <c r="J12" i="39"/>
  <c r="L12" i="39" s="1"/>
  <c r="K65" i="57"/>
  <c r="L65" i="57"/>
  <c r="K64" i="57"/>
  <c r="K31" i="57"/>
  <c r="K25" i="57"/>
  <c r="K23" i="57"/>
  <c r="AD96" i="83"/>
  <c r="AD98" i="83"/>
  <c r="E16" i="105"/>
  <c r="D13" i="105"/>
  <c r="C13" i="105"/>
  <c r="E12" i="105"/>
  <c r="E11" i="105"/>
  <c r="D10" i="105"/>
  <c r="C10" i="105"/>
  <c r="E9" i="105"/>
  <c r="E8" i="105"/>
  <c r="E13" i="105" l="1"/>
  <c r="C14" i="105"/>
  <c r="D14" i="105"/>
  <c r="D17" i="105" s="1"/>
  <c r="E10" i="105"/>
  <c r="E14" i="105" s="1"/>
  <c r="E17" i="105" s="1"/>
  <c r="C17" i="105"/>
  <c r="C15" i="105"/>
  <c r="D15" i="105" l="1"/>
  <c r="E15" i="105"/>
  <c r="I106" i="82" l="1"/>
  <c r="L98" i="57"/>
  <c r="L86" i="57"/>
  <c r="H99" i="82"/>
  <c r="BR99" i="82"/>
  <c r="F23" i="80" l="1"/>
  <c r="C172" i="81"/>
  <c r="C171" i="81"/>
  <c r="C155" i="81"/>
  <c r="L24" i="80"/>
  <c r="K24" i="80"/>
  <c r="K23" i="80"/>
  <c r="L23" i="80"/>
  <c r="M23" i="80"/>
  <c r="M24" i="80"/>
  <c r="F32" i="80"/>
  <c r="F31" i="80"/>
  <c r="P46" i="80"/>
  <c r="E22" i="99"/>
  <c r="D16" i="81"/>
  <c r="D43" i="81"/>
  <c r="D66" i="81"/>
  <c r="D57" i="81"/>
  <c r="E74" i="81"/>
  <c r="E75" i="81"/>
  <c r="E47" i="81"/>
  <c r="C48" i="81"/>
  <c r="C47" i="81"/>
  <c r="F47" i="81" s="1"/>
  <c r="B47" i="81"/>
  <c r="B46" i="81"/>
  <c r="B48" i="81"/>
  <c r="C46" i="81"/>
  <c r="BK80" i="82" l="1"/>
  <c r="BK82" i="82"/>
  <c r="AB81" i="82"/>
  <c r="AB79" i="82"/>
  <c r="AB53" i="82"/>
  <c r="H53" i="82"/>
  <c r="K130" i="57"/>
  <c r="U52" i="82"/>
  <c r="U82" i="82"/>
  <c r="H82" i="82"/>
  <c r="H69" i="82"/>
  <c r="H60" i="82"/>
  <c r="K58" i="58"/>
  <c r="K55" i="58"/>
  <c r="K113" i="57"/>
  <c r="K94" i="57"/>
  <c r="K89" i="57"/>
  <c r="AD90" i="83" l="1"/>
  <c r="AD43" i="83"/>
  <c r="H32" i="83"/>
  <c r="H34" i="83"/>
  <c r="I126" i="57"/>
  <c r="I123" i="57"/>
  <c r="I120" i="57"/>
  <c r="N81" i="83"/>
  <c r="N73" i="83"/>
  <c r="N68" i="83" s="1"/>
  <c r="N65" i="83"/>
  <c r="N63" i="83"/>
  <c r="N62" i="83"/>
  <c r="N48" i="83"/>
  <c r="N39" i="83"/>
  <c r="N30" i="83"/>
  <c r="N27" i="83"/>
  <c r="N29" i="83" s="1"/>
  <c r="N19" i="83"/>
  <c r="N18" i="83"/>
  <c r="N26" i="83" s="1"/>
  <c r="N17" i="83"/>
  <c r="N16" i="83"/>
  <c r="N11" i="83"/>
  <c r="G81" i="83"/>
  <c r="G73" i="83"/>
  <c r="G69" i="83"/>
  <c r="G68" i="83"/>
  <c r="G66" i="83"/>
  <c r="G65" i="83"/>
  <c r="G64" i="83"/>
  <c r="G63" i="83"/>
  <c r="G62" i="83"/>
  <c r="G60" i="83"/>
  <c r="G59" i="83"/>
  <c r="G54" i="83"/>
  <c r="G53" i="83"/>
  <c r="G48" i="83" s="1"/>
  <c r="G52" i="83"/>
  <c r="G50" i="83"/>
  <c r="G44" i="83"/>
  <c r="G43" i="83"/>
  <c r="G42" i="83"/>
  <c r="G39" i="83" s="1"/>
  <c r="G41" i="83"/>
  <c r="G33" i="83"/>
  <c r="G31" i="83"/>
  <c r="G30" i="83"/>
  <c r="G77" i="83" s="1"/>
  <c r="G29" i="83"/>
  <c r="G27" i="83"/>
  <c r="G21" i="83"/>
  <c r="G20" i="83"/>
  <c r="G19" i="83"/>
  <c r="G18" i="83"/>
  <c r="G17" i="83"/>
  <c r="G16" i="83"/>
  <c r="G14" i="83"/>
  <c r="G13" i="83"/>
  <c r="G12" i="83"/>
  <c r="G11" i="83"/>
  <c r="G26" i="83" s="1"/>
  <c r="I135" i="57"/>
  <c r="I134" i="57"/>
  <c r="I131" i="57"/>
  <c r="I130" i="57"/>
  <c r="I114" i="57"/>
  <c r="I106" i="57" s="1"/>
  <c r="I112" i="57"/>
  <c r="I109" i="57"/>
  <c r="I108" i="57"/>
  <c r="I107" i="57"/>
  <c r="I103" i="57"/>
  <c r="I99" i="57"/>
  <c r="I98" i="57"/>
  <c r="I95" i="57"/>
  <c r="I94" i="57"/>
  <c r="I93" i="57"/>
  <c r="I91" i="57"/>
  <c r="I90" i="57"/>
  <c r="I89" i="57"/>
  <c r="I87" i="57" s="1"/>
  <c r="I86" i="57"/>
  <c r="I85" i="57"/>
  <c r="I83" i="57"/>
  <c r="I82" i="57"/>
  <c r="I79" i="57"/>
  <c r="I78" i="57" s="1"/>
  <c r="I74" i="57" s="1"/>
  <c r="I65" i="57"/>
  <c r="I64" i="57"/>
  <c r="I62" i="57"/>
  <c r="I60" i="57"/>
  <c r="I58" i="57" s="1"/>
  <c r="I59" i="57"/>
  <c r="I57" i="57"/>
  <c r="I55" i="57"/>
  <c r="I54" i="57"/>
  <c r="I53" i="57"/>
  <c r="I47" i="57" s="1"/>
  <c r="I49" i="57"/>
  <c r="I48" i="57"/>
  <c r="I46" i="57"/>
  <c r="I43" i="57"/>
  <c r="I38" i="57"/>
  <c r="I37" i="57" s="1"/>
  <c r="I36" i="57"/>
  <c r="I33" i="57"/>
  <c r="I32" i="57"/>
  <c r="H15" i="39" s="1"/>
  <c r="I31" i="57"/>
  <c r="I30" i="57"/>
  <c r="I28" i="57" s="1"/>
  <c r="I26" i="57" s="1"/>
  <c r="I25" i="57"/>
  <c r="I23" i="57"/>
  <c r="I17" i="57"/>
  <c r="I16" i="57"/>
  <c r="I12" i="57" s="1"/>
  <c r="I11" i="57" s="1"/>
  <c r="I14" i="57"/>
  <c r="I13" i="57"/>
  <c r="I102" i="58"/>
  <c r="I101" i="58"/>
  <c r="I99" i="58"/>
  <c r="I94" i="58" s="1"/>
  <c r="I80" i="58"/>
  <c r="I79" i="58"/>
  <c r="I74" i="58"/>
  <c r="I73" i="58"/>
  <c r="I71" i="58"/>
  <c r="I70" i="58" s="1"/>
  <c r="I64" i="58"/>
  <c r="I63" i="58"/>
  <c r="I62" i="58"/>
  <c r="I61" i="58"/>
  <c r="I59" i="58"/>
  <c r="I54" i="58" s="1"/>
  <c r="I58" i="58"/>
  <c r="I57" i="58"/>
  <c r="I56" i="58"/>
  <c r="I55" i="58"/>
  <c r="I49" i="58"/>
  <c r="I43" i="58"/>
  <c r="I38" i="58" s="1"/>
  <c r="I42" i="58"/>
  <c r="I41" i="58"/>
  <c r="I40" i="58"/>
  <c r="I39" i="58"/>
  <c r="I34" i="58"/>
  <c r="I28" i="58"/>
  <c r="I23" i="58"/>
  <c r="I14" i="58"/>
  <c r="I13" i="58"/>
  <c r="H57" i="39"/>
  <c r="H55" i="39" s="1"/>
  <c r="H56" i="39"/>
  <c r="H53" i="39"/>
  <c r="H49" i="39"/>
  <c r="H48" i="39"/>
  <c r="H43" i="39"/>
  <c r="H39" i="39" s="1"/>
  <c r="H37" i="39" s="1"/>
  <c r="H33" i="39"/>
  <c r="H19" i="39"/>
  <c r="H18" i="39" s="1"/>
  <c r="H16" i="39"/>
  <c r="H13" i="39"/>
  <c r="H12" i="39"/>
  <c r="H8" i="39"/>
  <c r="BQ99" i="82"/>
  <c r="BQ92" i="82" s="1"/>
  <c r="BQ93" i="82"/>
  <c r="BQ91" i="82"/>
  <c r="BQ89" i="82"/>
  <c r="BQ82" i="82"/>
  <c r="BQ66" i="82"/>
  <c r="BQ49" i="82" s="1"/>
  <c r="BQ46" i="82"/>
  <c r="BQ39" i="82"/>
  <c r="BQ37" i="82"/>
  <c r="BQ35" i="82"/>
  <c r="BQ33" i="82"/>
  <c r="BQ36" i="82" s="1"/>
  <c r="BQ30" i="82"/>
  <c r="BQ20" i="82"/>
  <c r="BQ17" i="82"/>
  <c r="BQ15" i="82"/>
  <c r="BQ11" i="82" s="1"/>
  <c r="BQ32" i="82" s="1"/>
  <c r="BJ92" i="82"/>
  <c r="BJ89" i="82"/>
  <c r="BJ82" i="82"/>
  <c r="BJ65" i="82"/>
  <c r="BJ64" i="82"/>
  <c r="BJ63" i="82"/>
  <c r="BJ62" i="82"/>
  <c r="BJ55" i="82"/>
  <c r="BJ49" i="82" s="1"/>
  <c r="BJ46" i="82"/>
  <c r="BJ43" i="82"/>
  <c r="BJ39" i="82"/>
  <c r="BJ37" i="82"/>
  <c r="BJ35" i="82"/>
  <c r="BJ36" i="82" s="1"/>
  <c r="BJ33" i="82"/>
  <c r="BJ28" i="82"/>
  <c r="BJ20" i="82"/>
  <c r="BJ17" i="82"/>
  <c r="BJ15" i="82"/>
  <c r="AO102" i="82"/>
  <c r="AO93" i="82"/>
  <c r="AO92" i="82"/>
  <c r="AO89" i="82"/>
  <c r="AO82" i="82"/>
  <c r="AO49" i="82"/>
  <c r="AO46" i="82"/>
  <c r="AO101" i="82" s="1"/>
  <c r="AO37" i="82"/>
  <c r="AO36" i="82"/>
  <c r="AO20" i="82"/>
  <c r="AO17" i="82"/>
  <c r="AO15" i="82"/>
  <c r="AO11" i="82" s="1"/>
  <c r="AO32" i="82" s="1"/>
  <c r="AH99" i="82"/>
  <c r="AH92" i="82" s="1"/>
  <c r="AH93" i="82"/>
  <c r="AH91" i="82"/>
  <c r="AH89" i="82"/>
  <c r="AH82" i="82"/>
  <c r="AH80" i="82"/>
  <c r="AH78" i="82"/>
  <c r="AH69" i="82"/>
  <c r="AH55" i="82"/>
  <c r="AH53" i="82"/>
  <c r="AH52" i="82"/>
  <c r="AH46" i="82"/>
  <c r="AH39" i="82"/>
  <c r="AH37" i="82" s="1"/>
  <c r="AH33" i="82"/>
  <c r="AH36" i="82" s="1"/>
  <c r="AH20" i="82"/>
  <c r="AH17" i="82"/>
  <c r="AH15" i="82"/>
  <c r="AH11" i="82" s="1"/>
  <c r="AH32" i="82" s="1"/>
  <c r="AA99" i="82"/>
  <c r="AA92" i="82" s="1"/>
  <c r="AA89" i="82"/>
  <c r="AA83" i="82"/>
  <c r="AA53" i="82"/>
  <c r="AA49" i="82"/>
  <c r="AA47" i="82"/>
  <c r="AA46" i="82" s="1"/>
  <c r="AA39" i="82"/>
  <c r="AA37" i="82"/>
  <c r="AA33" i="82"/>
  <c r="AA36" i="82" s="1"/>
  <c r="AA28" i="82"/>
  <c r="AA20" i="82" s="1"/>
  <c r="T92" i="82"/>
  <c r="T89" i="82"/>
  <c r="T50" i="82"/>
  <c r="T49" i="82" s="1"/>
  <c r="G99" i="82"/>
  <c r="G95" i="82"/>
  <c r="G93" i="82"/>
  <c r="G92" i="82" s="1"/>
  <c r="G89" i="82"/>
  <c r="G82" i="82"/>
  <c r="G77" i="82"/>
  <c r="G69" i="82"/>
  <c r="G67" i="82"/>
  <c r="G60" i="82"/>
  <c r="G58" i="82"/>
  <c r="G52" i="82"/>
  <c r="G47" i="82"/>
  <c r="G46" i="82" s="1"/>
  <c r="G39" i="82"/>
  <c r="G37" i="82" s="1"/>
  <c r="G35" i="82"/>
  <c r="G33" i="82"/>
  <c r="G36" i="82" s="1"/>
  <c r="G29" i="82"/>
  <c r="G25" i="82"/>
  <c r="G24" i="82"/>
  <c r="G23" i="82"/>
  <c r="G22" i="82"/>
  <c r="G21" i="82"/>
  <c r="G11" i="82"/>
  <c r="G32" i="82" l="1"/>
  <c r="AO105" i="82"/>
  <c r="AO107" i="82" s="1"/>
  <c r="BJ11" i="82"/>
  <c r="BJ32" i="82" s="1"/>
  <c r="AH49" i="82"/>
  <c r="G20" i="82"/>
  <c r="G49" i="82"/>
  <c r="G101" i="82" s="1"/>
  <c r="H36" i="39"/>
  <c r="I8" i="58"/>
  <c r="I45" i="58" s="1"/>
  <c r="N77" i="83"/>
  <c r="N80" i="83" s="1"/>
  <c r="G84" i="83"/>
  <c r="G80" i="83"/>
  <c r="I10" i="57"/>
  <c r="I9" i="57" s="1"/>
  <c r="I8" i="57" s="1"/>
  <c r="I116" i="57" s="1"/>
  <c r="H14" i="39"/>
  <c r="H11" i="39" s="1"/>
  <c r="H10" i="39" s="1"/>
  <c r="H9" i="39" s="1"/>
  <c r="H66" i="39" s="1"/>
  <c r="I129" i="57" s="1"/>
  <c r="I128" i="57" s="1"/>
  <c r="I48" i="58"/>
  <c r="I47" i="58" s="1"/>
  <c r="I46" i="58" s="1"/>
  <c r="I107" i="58" s="1"/>
  <c r="BQ101" i="82"/>
  <c r="BQ105" i="82" s="1"/>
  <c r="BQ107" i="82" s="1"/>
  <c r="BJ101" i="82"/>
  <c r="AH101" i="82"/>
  <c r="AH105" i="82" s="1"/>
  <c r="AH107" i="82" s="1"/>
  <c r="AA101" i="82"/>
  <c r="E48" i="81" l="1"/>
  <c r="F48" i="81" s="1"/>
  <c r="E46" i="81"/>
  <c r="F46" i="81" s="1"/>
  <c r="E23" i="99" l="1"/>
  <c r="K123" i="57"/>
  <c r="K120" i="57"/>
  <c r="K93" i="57" l="1"/>
  <c r="K90" i="57"/>
  <c r="K36" i="57" l="1"/>
  <c r="E39" i="80" l="1"/>
  <c r="F39" i="80"/>
  <c r="G39" i="80"/>
  <c r="H39" i="80"/>
  <c r="I39" i="80"/>
  <c r="L39" i="80"/>
  <c r="M39" i="80"/>
  <c r="Q39" i="80"/>
  <c r="R39" i="80"/>
  <c r="S39" i="80"/>
  <c r="T39" i="80"/>
  <c r="U39" i="80"/>
  <c r="V39" i="80"/>
  <c r="W39" i="80"/>
  <c r="X39" i="80"/>
  <c r="Q58" i="80"/>
  <c r="R58" i="80"/>
  <c r="S58" i="80"/>
  <c r="T58" i="80"/>
  <c r="U58" i="80"/>
  <c r="V58" i="80"/>
  <c r="W58" i="80"/>
  <c r="X58" i="80"/>
  <c r="Q59" i="80"/>
  <c r="R59" i="80"/>
  <c r="S59" i="80"/>
  <c r="T59" i="80"/>
  <c r="U59" i="80"/>
  <c r="V59" i="80"/>
  <c r="W59" i="80"/>
  <c r="X59" i="80"/>
  <c r="P47" i="80"/>
  <c r="P39" i="80" s="1"/>
  <c r="F30" i="80"/>
  <c r="J30" i="80" s="1"/>
  <c r="O30" i="80" s="1"/>
  <c r="P30" i="80"/>
  <c r="P29" i="80"/>
  <c r="N30" i="80"/>
  <c r="L22" i="80"/>
  <c r="L14" i="80" s="1"/>
  <c r="L57" i="80" s="1"/>
  <c r="L62" i="80" s="1"/>
  <c r="I22" i="80"/>
  <c r="I14" i="80" s="1"/>
  <c r="C170" i="81"/>
  <c r="F170" i="81" s="1"/>
  <c r="E170" i="81"/>
  <c r="E169" i="81"/>
  <c r="E171" i="81"/>
  <c r="E162" i="81"/>
  <c r="E154" i="81"/>
  <c r="E145" i="81"/>
  <c r="E146" i="81"/>
  <c r="D138" i="81"/>
  <c r="E138" i="81" s="1"/>
  <c r="D122" i="81"/>
  <c r="E122" i="81" s="1"/>
  <c r="D114" i="81"/>
  <c r="E114" i="81" s="1"/>
  <c r="Q14" i="80"/>
  <c r="R14" i="80"/>
  <c r="S14" i="80"/>
  <c r="T14" i="80"/>
  <c r="U14" i="80"/>
  <c r="U57" i="80" s="1"/>
  <c r="V14" i="80"/>
  <c r="W14" i="80"/>
  <c r="X14" i="80"/>
  <c r="P22" i="80"/>
  <c r="P14" i="80" s="1"/>
  <c r="M22" i="80"/>
  <c r="M14" i="80" s="1"/>
  <c r="A57" i="80"/>
  <c r="A39" i="80"/>
  <c r="A30" i="80"/>
  <c r="A22" i="80"/>
  <c r="A14" i="80"/>
  <c r="K59" i="99"/>
  <c r="A49" i="99"/>
  <c r="A47" i="80" s="1"/>
  <c r="D41" i="99"/>
  <c r="I32" i="99"/>
  <c r="H23" i="99"/>
  <c r="H15" i="99" s="1"/>
  <c r="H59" i="99" s="1"/>
  <c r="D23" i="99"/>
  <c r="D15" i="99" s="1"/>
  <c r="D59" i="99" s="1"/>
  <c r="C15" i="99"/>
  <c r="E15" i="99"/>
  <c r="K15" i="99"/>
  <c r="G32" i="99"/>
  <c r="L32" i="99"/>
  <c r="M32" i="99" s="1"/>
  <c r="C72" i="81"/>
  <c r="E72" i="81"/>
  <c r="E73" i="81"/>
  <c r="D55" i="81"/>
  <c r="E55" i="81" s="1"/>
  <c r="F55" i="81" s="1"/>
  <c r="D41" i="81"/>
  <c r="F49" i="99" s="1"/>
  <c r="F41" i="99" s="1"/>
  <c r="E23" i="81"/>
  <c r="B82" i="81"/>
  <c r="B98" i="81" s="1"/>
  <c r="B23" i="81"/>
  <c r="B32" i="81" s="1"/>
  <c r="B41" i="81" s="1"/>
  <c r="F72" i="81" l="1"/>
  <c r="S57" i="80"/>
  <c r="T57" i="80"/>
  <c r="I57" i="80"/>
  <c r="I62" i="80" s="1"/>
  <c r="P57" i="80"/>
  <c r="W57" i="80"/>
  <c r="Q57" i="80"/>
  <c r="V57" i="80"/>
  <c r="X57" i="80"/>
  <c r="R57" i="80"/>
  <c r="B55" i="81"/>
  <c r="B64" i="81" s="1"/>
  <c r="B73" i="81" s="1"/>
  <c r="M57" i="80"/>
  <c r="E41" i="81"/>
  <c r="F23" i="99"/>
  <c r="F15" i="99" s="1"/>
  <c r="F59" i="99" s="1"/>
  <c r="K47" i="80"/>
  <c r="B47" i="80"/>
  <c r="B39" i="80" s="1"/>
  <c r="C49" i="99"/>
  <c r="C41" i="99" s="1"/>
  <c r="C59" i="99" s="1"/>
  <c r="C47" i="80"/>
  <c r="C39" i="80" s="1"/>
  <c r="B114" i="81"/>
  <c r="B122" i="81" s="1"/>
  <c r="B130" i="81" s="1"/>
  <c r="B138" i="81" s="1"/>
  <c r="B146" i="81" s="1"/>
  <c r="B154" i="81" s="1"/>
  <c r="B162" i="81" s="1"/>
  <c r="B170" i="81" s="1"/>
  <c r="B89" i="81"/>
  <c r="B105" i="81" s="1"/>
  <c r="H24" i="82"/>
  <c r="BK63" i="82"/>
  <c r="K39" i="80" l="1"/>
  <c r="N47" i="80"/>
  <c r="BR15" i="82"/>
  <c r="BK15" i="82"/>
  <c r="AP15" i="82"/>
  <c r="AI15" i="82"/>
  <c r="N39" i="80" l="1"/>
  <c r="J72" i="39"/>
  <c r="AI82" i="82"/>
  <c r="AI80" i="82"/>
  <c r="BK43" i="82"/>
  <c r="BK39" i="82"/>
  <c r="K62" i="58"/>
  <c r="K103" i="57" l="1"/>
  <c r="K85" i="57" l="1"/>
  <c r="K83" i="57" l="1"/>
  <c r="K86" i="57"/>
  <c r="H21" i="83" l="1"/>
  <c r="H19" i="83"/>
  <c r="H17" i="83"/>
  <c r="O17" i="83"/>
  <c r="O18" i="83"/>
  <c r="H18" i="83"/>
  <c r="AB43" i="83" l="1"/>
  <c r="AC43" i="83"/>
  <c r="H54" i="83"/>
  <c r="H64" i="83"/>
  <c r="O63" i="83"/>
  <c r="H63" i="83"/>
  <c r="H59" i="83"/>
  <c r="H73" i="83"/>
  <c r="O73" i="83"/>
  <c r="AC92" i="83"/>
  <c r="AC91" i="83"/>
  <c r="K71" i="58"/>
  <c r="K70" i="58" s="1"/>
  <c r="K87" i="36"/>
  <c r="K85" i="36"/>
  <c r="K81" i="36"/>
  <c r="K79" i="36"/>
  <c r="K78" i="36" s="1"/>
  <c r="K63" i="36"/>
  <c r="K61" i="36" s="1"/>
  <c r="K60" i="36"/>
  <c r="K59" i="36"/>
  <c r="J23" i="99" s="1"/>
  <c r="J15" i="99" s="1"/>
  <c r="J59" i="99" s="1"/>
  <c r="K58" i="36"/>
  <c r="K41" i="36"/>
  <c r="K17" i="36"/>
  <c r="K135" i="57"/>
  <c r="K134" i="57" s="1"/>
  <c r="J134" i="57" s="1"/>
  <c r="K131" i="57"/>
  <c r="K114" i="57"/>
  <c r="K106" i="57" s="1"/>
  <c r="J106" i="57" s="1"/>
  <c r="K112" i="57"/>
  <c r="K109" i="57"/>
  <c r="K108" i="57"/>
  <c r="K107" i="57"/>
  <c r="J107" i="57" s="1"/>
  <c r="K99" i="57"/>
  <c r="J99" i="57" s="1"/>
  <c r="K98" i="57"/>
  <c r="K95" i="57"/>
  <c r="J94" i="57"/>
  <c r="K91" i="57"/>
  <c r="K87" i="57"/>
  <c r="J87" i="57" s="1"/>
  <c r="K82" i="57"/>
  <c r="J82" i="57" s="1"/>
  <c r="K79" i="57"/>
  <c r="K78" i="57"/>
  <c r="K62" i="57"/>
  <c r="J62" i="57" s="1"/>
  <c r="K60" i="57"/>
  <c r="J60" i="57" s="1"/>
  <c r="K59" i="57"/>
  <c r="K58" i="57" s="1"/>
  <c r="J58" i="57" s="1"/>
  <c r="K57" i="57"/>
  <c r="K55" i="57" s="1"/>
  <c r="J55" i="57" s="1"/>
  <c r="K54" i="57"/>
  <c r="K53" i="57" s="1"/>
  <c r="J53" i="57" s="1"/>
  <c r="K49" i="57"/>
  <c r="K48" i="57" s="1"/>
  <c r="K46" i="57"/>
  <c r="K43" i="57"/>
  <c r="J43" i="57" s="1"/>
  <c r="K38" i="57"/>
  <c r="J14" i="39" s="1"/>
  <c r="L14" i="39" s="1"/>
  <c r="K37" i="57"/>
  <c r="K33" i="57"/>
  <c r="K32" i="57" s="1"/>
  <c r="K30" i="57"/>
  <c r="K17" i="57"/>
  <c r="J17" i="57" s="1"/>
  <c r="K16" i="57"/>
  <c r="J16" i="57" s="1"/>
  <c r="K14" i="57"/>
  <c r="J43" i="39" s="1"/>
  <c r="K13" i="57"/>
  <c r="K12" i="57" s="1"/>
  <c r="AD89" i="83"/>
  <c r="AD85" i="83"/>
  <c r="AD83" i="83"/>
  <c r="L71" i="58" s="1"/>
  <c r="M71" i="58" s="1"/>
  <c r="AD79" i="83"/>
  <c r="AD78" i="83"/>
  <c r="AD76" i="83"/>
  <c r="AD75" i="83"/>
  <c r="AD74" i="83"/>
  <c r="AD73" i="83"/>
  <c r="AD72" i="83"/>
  <c r="AD71" i="83"/>
  <c r="AD70" i="83"/>
  <c r="AD69" i="83"/>
  <c r="AD67" i="83"/>
  <c r="AD66" i="83"/>
  <c r="AD64" i="83"/>
  <c r="AD63" i="83"/>
  <c r="AD62" i="83"/>
  <c r="AD61" i="83"/>
  <c r="AD60" i="83"/>
  <c r="AD59" i="83"/>
  <c r="AD58" i="83"/>
  <c r="AD57" i="83"/>
  <c r="AD56" i="83"/>
  <c r="AD55" i="83"/>
  <c r="AD54" i="83"/>
  <c r="AD53" i="83"/>
  <c r="AD52" i="83"/>
  <c r="AD51" i="83"/>
  <c r="AD50" i="83"/>
  <c r="AD49" i="83"/>
  <c r="AD47" i="83"/>
  <c r="AD46" i="83"/>
  <c r="AD45" i="83"/>
  <c r="AD44" i="83"/>
  <c r="AD42" i="83"/>
  <c r="AD41" i="83"/>
  <c r="AD40" i="83"/>
  <c r="AD38" i="83"/>
  <c r="AD37" i="83"/>
  <c r="AD36" i="83"/>
  <c r="AD35" i="83"/>
  <c r="AD34" i="83"/>
  <c r="AD33" i="83"/>
  <c r="AD32" i="83"/>
  <c r="AD31" i="83"/>
  <c r="AD28" i="83"/>
  <c r="AD27" i="83"/>
  <c r="AD25" i="83"/>
  <c r="AD24" i="83"/>
  <c r="AD23" i="83"/>
  <c r="AD22" i="83"/>
  <c r="AD21" i="83"/>
  <c r="AD20" i="83"/>
  <c r="AD19" i="83"/>
  <c r="AD18" i="83"/>
  <c r="AD17" i="83"/>
  <c r="AD16" i="83"/>
  <c r="AD15" i="83"/>
  <c r="AD14" i="83"/>
  <c r="AD13" i="83"/>
  <c r="AD12" i="83"/>
  <c r="AD11" i="83"/>
  <c r="AC90" i="83"/>
  <c r="AC89" i="83"/>
  <c r="AC85" i="83"/>
  <c r="AC83" i="83"/>
  <c r="AC81" i="83"/>
  <c r="AC79" i="83"/>
  <c r="AC78" i="83"/>
  <c r="AC76" i="83"/>
  <c r="AC75" i="83"/>
  <c r="AC74" i="83"/>
  <c r="AC73" i="83"/>
  <c r="AC72" i="83"/>
  <c r="AC71" i="83"/>
  <c r="AC70" i="83"/>
  <c r="AC69" i="83"/>
  <c r="AC67" i="83"/>
  <c r="AC66" i="83"/>
  <c r="AC65" i="83"/>
  <c r="AC64" i="83"/>
  <c r="AC63" i="83"/>
  <c r="AC62" i="83"/>
  <c r="AC61" i="83"/>
  <c r="AC60" i="83"/>
  <c r="AC59" i="83"/>
  <c r="AC58" i="83"/>
  <c r="AC57" i="83"/>
  <c r="AC56" i="83"/>
  <c r="AC55" i="83"/>
  <c r="AC54" i="83"/>
  <c r="AC53" i="83"/>
  <c r="AC52" i="83"/>
  <c r="AC51" i="83"/>
  <c r="AC50" i="83"/>
  <c r="AC49" i="83"/>
  <c r="AC47" i="83"/>
  <c r="AC46" i="83"/>
  <c r="AC45" i="83"/>
  <c r="AC44" i="83"/>
  <c r="AC42" i="83"/>
  <c r="AC41" i="83"/>
  <c r="AC40" i="83"/>
  <c r="AC39" i="83"/>
  <c r="AC38" i="83"/>
  <c r="AC37" i="83"/>
  <c r="AC36" i="83"/>
  <c r="AC35" i="83"/>
  <c r="AC34" i="83"/>
  <c r="AC33" i="83"/>
  <c r="AC32" i="83"/>
  <c r="AC31" i="83"/>
  <c r="AC28" i="83"/>
  <c r="AC29" i="83" s="1"/>
  <c r="AC27" i="83"/>
  <c r="AC25" i="83"/>
  <c r="AC24" i="83"/>
  <c r="AC23" i="83"/>
  <c r="AC22" i="83"/>
  <c r="AC21" i="83"/>
  <c r="AC20" i="83"/>
  <c r="AC19" i="83"/>
  <c r="AC18" i="83"/>
  <c r="AC17" i="83"/>
  <c r="AC16" i="83"/>
  <c r="AC15" i="83"/>
  <c r="AC14" i="83"/>
  <c r="AC13" i="83"/>
  <c r="AC12" i="83"/>
  <c r="AC11" i="83"/>
  <c r="P81" i="83"/>
  <c r="P68" i="83"/>
  <c r="P65" i="83"/>
  <c r="P48" i="83"/>
  <c r="P39" i="83"/>
  <c r="P30" i="83"/>
  <c r="P29" i="83"/>
  <c r="P26" i="83"/>
  <c r="O81" i="83"/>
  <c r="O68" i="83"/>
  <c r="O65" i="83"/>
  <c r="O62" i="83"/>
  <c r="O48" i="83" s="1"/>
  <c r="O39" i="83"/>
  <c r="O30" i="83"/>
  <c r="O29" i="83"/>
  <c r="O27" i="83"/>
  <c r="O26" i="83"/>
  <c r="O19" i="83"/>
  <c r="O16" i="83"/>
  <c r="O11" i="83"/>
  <c r="I81" i="83"/>
  <c r="AD81" i="83" s="1"/>
  <c r="I68" i="83"/>
  <c r="I65" i="83"/>
  <c r="AD65" i="83" s="1"/>
  <c r="I48" i="83"/>
  <c r="I39" i="83"/>
  <c r="I30" i="83"/>
  <c r="I29" i="83"/>
  <c r="I26" i="83"/>
  <c r="H81" i="83"/>
  <c r="H69" i="83"/>
  <c r="H68" i="83" s="1"/>
  <c r="H66" i="83"/>
  <c r="H65" i="83"/>
  <c r="H62" i="83"/>
  <c r="H60" i="83"/>
  <c r="H53" i="83"/>
  <c r="H52" i="83"/>
  <c r="H50" i="83"/>
  <c r="H48" i="83" s="1"/>
  <c r="H44" i="83"/>
  <c r="H39" i="83" s="1"/>
  <c r="H43" i="83"/>
  <c r="H42" i="83"/>
  <c r="H41" i="83"/>
  <c r="H33" i="83"/>
  <c r="H31" i="83"/>
  <c r="H30" i="83" s="1"/>
  <c r="AC30" i="83" s="1"/>
  <c r="H27" i="83"/>
  <c r="H29" i="83" s="1"/>
  <c r="H20" i="83"/>
  <c r="H16" i="83"/>
  <c r="H14" i="83"/>
  <c r="H13" i="83"/>
  <c r="H12" i="83"/>
  <c r="H26" i="83" s="1"/>
  <c r="H11" i="83"/>
  <c r="AC9" i="83"/>
  <c r="O9" i="83"/>
  <c r="K102" i="58"/>
  <c r="J102" i="58" s="1"/>
  <c r="K101" i="58"/>
  <c r="K99" i="58"/>
  <c r="J99" i="58" s="1"/>
  <c r="K80" i="58"/>
  <c r="K79" i="58" s="1"/>
  <c r="K74" i="58"/>
  <c r="K64" i="58"/>
  <c r="K63" i="58"/>
  <c r="J63" i="58" s="1"/>
  <c r="K61" i="58"/>
  <c r="K59" i="58"/>
  <c r="J59" i="58" s="1"/>
  <c r="K57" i="58"/>
  <c r="K54" i="58" s="1"/>
  <c r="J54" i="58" s="1"/>
  <c r="K56" i="58"/>
  <c r="K49" i="58"/>
  <c r="J50" i="58"/>
  <c r="J51" i="58"/>
  <c r="J53" i="58"/>
  <c r="J55" i="58"/>
  <c r="J56" i="58"/>
  <c r="J58" i="58"/>
  <c r="J60" i="58"/>
  <c r="J61" i="58"/>
  <c r="J62" i="58"/>
  <c r="J64" i="58"/>
  <c r="J65" i="58"/>
  <c r="J66" i="58"/>
  <c r="J67" i="58"/>
  <c r="J69" i="58"/>
  <c r="J72" i="58"/>
  <c r="J74" i="58"/>
  <c r="J75" i="58"/>
  <c r="J76" i="58"/>
  <c r="J77" i="58"/>
  <c r="J81" i="58"/>
  <c r="J82" i="58"/>
  <c r="J83" i="58"/>
  <c r="J84" i="58"/>
  <c r="J85" i="58"/>
  <c r="J86" i="58"/>
  <c r="J87" i="58"/>
  <c r="J88" i="58"/>
  <c r="J89" i="58"/>
  <c r="J90" i="58"/>
  <c r="J91" i="58"/>
  <c r="J92" i="58"/>
  <c r="J95" i="58"/>
  <c r="J96" i="58"/>
  <c r="J97" i="58"/>
  <c r="J98" i="58"/>
  <c r="J100" i="58"/>
  <c r="J101" i="58"/>
  <c r="J103" i="58"/>
  <c r="J104" i="58"/>
  <c r="J105" i="58"/>
  <c r="J106" i="58"/>
  <c r="K43" i="58"/>
  <c r="K42" i="58"/>
  <c r="J42" i="58" s="1"/>
  <c r="K41" i="58"/>
  <c r="J41" i="58" s="1"/>
  <c r="K40" i="58"/>
  <c r="K39" i="58"/>
  <c r="K38" i="58" s="1"/>
  <c r="J38" i="58" s="1"/>
  <c r="K34" i="58"/>
  <c r="I23" i="99" s="1"/>
  <c r="K28" i="58"/>
  <c r="J28" i="58" s="1"/>
  <c r="K23" i="58"/>
  <c r="J23" i="58" s="1"/>
  <c r="K14" i="58"/>
  <c r="K55" i="39"/>
  <c r="K53" i="39"/>
  <c r="K43" i="39"/>
  <c r="K33" i="39"/>
  <c r="K18" i="39"/>
  <c r="K11" i="39"/>
  <c r="J57" i="39"/>
  <c r="J56" i="39"/>
  <c r="J53" i="39"/>
  <c r="J49" i="39"/>
  <c r="I49" i="39" s="1"/>
  <c r="J48" i="39"/>
  <c r="L48" i="39" s="1"/>
  <c r="J33" i="39"/>
  <c r="J19" i="39"/>
  <c r="L19" i="39" s="1"/>
  <c r="J16" i="39"/>
  <c r="L16" i="39" s="1"/>
  <c r="J13" i="39"/>
  <c r="L13" i="39" s="1"/>
  <c r="J8" i="39"/>
  <c r="I61" i="39"/>
  <c r="I60" i="39"/>
  <c r="I59" i="39"/>
  <c r="I58" i="39"/>
  <c r="I57" i="39"/>
  <c r="I56" i="39"/>
  <c r="I54" i="39"/>
  <c r="I53" i="39"/>
  <c r="I52" i="39"/>
  <c r="I51" i="39"/>
  <c r="I50" i="39"/>
  <c r="I48" i="39"/>
  <c r="I47" i="39"/>
  <c r="I46" i="39"/>
  <c r="I45" i="39"/>
  <c r="I44" i="39"/>
  <c r="I42" i="39"/>
  <c r="I41" i="39"/>
  <c r="I40" i="39"/>
  <c r="I38" i="39"/>
  <c r="I35" i="39"/>
  <c r="I34" i="39"/>
  <c r="I33" i="39"/>
  <c r="I32" i="39"/>
  <c r="I31" i="39"/>
  <c r="I30" i="39"/>
  <c r="I29" i="39"/>
  <c r="I28" i="39"/>
  <c r="I27" i="39"/>
  <c r="I26" i="39"/>
  <c r="I25" i="39"/>
  <c r="I24" i="39"/>
  <c r="I23" i="39"/>
  <c r="I22" i="39"/>
  <c r="I21" i="39"/>
  <c r="I20" i="39"/>
  <c r="I19" i="39"/>
  <c r="I17" i="39"/>
  <c r="K7" i="58"/>
  <c r="J43" i="58"/>
  <c r="J40" i="58"/>
  <c r="J37" i="58"/>
  <c r="J36" i="58"/>
  <c r="J35" i="58"/>
  <c r="J34" i="58"/>
  <c r="J33" i="58"/>
  <c r="J32" i="58"/>
  <c r="J31" i="58"/>
  <c r="J30" i="58"/>
  <c r="J29" i="58"/>
  <c r="J26" i="58"/>
  <c r="J25" i="58"/>
  <c r="J24" i="58"/>
  <c r="J22" i="58"/>
  <c r="J21" i="58"/>
  <c r="J20" i="58"/>
  <c r="J19" i="58"/>
  <c r="J18" i="58"/>
  <c r="J17" i="58"/>
  <c r="J15" i="58"/>
  <c r="J14" i="58"/>
  <c r="J12" i="58"/>
  <c r="J11" i="58"/>
  <c r="J10" i="58"/>
  <c r="J9" i="58"/>
  <c r="K7" i="57"/>
  <c r="J137" i="57"/>
  <c r="J136" i="57"/>
  <c r="J133" i="57"/>
  <c r="J132" i="57"/>
  <c r="J131" i="57"/>
  <c r="J130" i="57"/>
  <c r="J113" i="57"/>
  <c r="J112" i="57"/>
  <c r="J111" i="57"/>
  <c r="J110" i="57"/>
  <c r="J108" i="57"/>
  <c r="J105" i="57"/>
  <c r="J104" i="57"/>
  <c r="J103" i="57"/>
  <c r="J102" i="57"/>
  <c r="J101" i="57"/>
  <c r="J100" i="57"/>
  <c r="J98" i="57"/>
  <c r="J97" i="57"/>
  <c r="J96" i="57"/>
  <c r="J95" i="57"/>
  <c r="J93" i="57"/>
  <c r="J92" i="57"/>
  <c r="J91" i="57"/>
  <c r="J90" i="57"/>
  <c r="J89" i="57"/>
  <c r="J88" i="57"/>
  <c r="J86" i="57"/>
  <c r="J85" i="57"/>
  <c r="J84" i="57"/>
  <c r="J83" i="57"/>
  <c r="J81" i="57"/>
  <c r="J80" i="57"/>
  <c r="J79" i="57"/>
  <c r="J77" i="57"/>
  <c r="J76" i="57"/>
  <c r="J75" i="57"/>
  <c r="J73" i="57"/>
  <c r="J72" i="57"/>
  <c r="J71" i="57"/>
  <c r="J70" i="57"/>
  <c r="J69" i="57"/>
  <c r="J68" i="57"/>
  <c r="J67" i="57"/>
  <c r="J66" i="57"/>
  <c r="J65" i="57"/>
  <c r="J64" i="57"/>
  <c r="J63" i="57"/>
  <c r="J61" i="57"/>
  <c r="J57" i="57"/>
  <c r="J56" i="57"/>
  <c r="J52" i="57"/>
  <c r="J51" i="57"/>
  <c r="J50" i="57"/>
  <c r="J49" i="57"/>
  <c r="J46" i="57"/>
  <c r="J45" i="57"/>
  <c r="J44" i="57"/>
  <c r="J42" i="57"/>
  <c r="J41" i="57"/>
  <c r="J40" i="57"/>
  <c r="J39" i="57"/>
  <c r="J38" i="57"/>
  <c r="J37" i="57"/>
  <c r="J36" i="57"/>
  <c r="J35" i="57"/>
  <c r="J34" i="57"/>
  <c r="J33" i="57"/>
  <c r="J29" i="57"/>
  <c r="J27" i="57"/>
  <c r="J25" i="57"/>
  <c r="J24" i="57"/>
  <c r="J23" i="57"/>
  <c r="J22" i="57"/>
  <c r="J21" i="57"/>
  <c r="J20" i="57"/>
  <c r="J19" i="57"/>
  <c r="J18" i="57"/>
  <c r="J15" i="57"/>
  <c r="J14" i="57"/>
  <c r="J13" i="57"/>
  <c r="J89" i="36"/>
  <c r="J88" i="36"/>
  <c r="J86" i="36"/>
  <c r="J84" i="36"/>
  <c r="J80" i="36"/>
  <c r="J74" i="36"/>
  <c r="J73" i="36"/>
  <c r="J11" i="36"/>
  <c r="J12" i="36"/>
  <c r="J13" i="36"/>
  <c r="J14" i="36"/>
  <c r="J15" i="36"/>
  <c r="J16" i="36"/>
  <c r="J18" i="36"/>
  <c r="J19" i="36"/>
  <c r="J20" i="36"/>
  <c r="J21" i="36"/>
  <c r="J22" i="36"/>
  <c r="J24" i="36"/>
  <c r="J25" i="36"/>
  <c r="J26" i="36"/>
  <c r="J27" i="36"/>
  <c r="J28" i="36"/>
  <c r="J29" i="36"/>
  <c r="J31" i="36"/>
  <c r="J32" i="36"/>
  <c r="J33" i="36"/>
  <c r="J34" i="36"/>
  <c r="J35" i="36"/>
  <c r="J36" i="36"/>
  <c r="J37" i="36"/>
  <c r="J38" i="36"/>
  <c r="J39" i="36"/>
  <c r="J40" i="36"/>
  <c r="J42" i="36"/>
  <c r="J43" i="36"/>
  <c r="J44" i="36"/>
  <c r="J45" i="36"/>
  <c r="J46" i="36"/>
  <c r="J48" i="36"/>
  <c r="J49" i="36"/>
  <c r="J50" i="36"/>
  <c r="J52" i="36"/>
  <c r="J53" i="36"/>
  <c r="J54" i="36"/>
  <c r="BY12" i="82"/>
  <c r="BZ12" i="82"/>
  <c r="CA12" i="82" s="1"/>
  <c r="BY13" i="82"/>
  <c r="BZ13" i="82"/>
  <c r="CA13" i="82" s="1"/>
  <c r="BY14" i="82"/>
  <c r="BZ14" i="82"/>
  <c r="CA14" i="82" s="1"/>
  <c r="BY15" i="82"/>
  <c r="BZ15" i="82"/>
  <c r="CA15" i="82" s="1"/>
  <c r="BY16" i="82"/>
  <c r="BZ16" i="82"/>
  <c r="CA16" i="82" s="1"/>
  <c r="BY18" i="82"/>
  <c r="BZ18" i="82"/>
  <c r="CA18" i="82" s="1"/>
  <c r="BY19" i="82"/>
  <c r="BZ19" i="82"/>
  <c r="BY24" i="82"/>
  <c r="BZ24" i="82"/>
  <c r="BY26" i="82"/>
  <c r="BZ26" i="82"/>
  <c r="CA26" i="82" s="1"/>
  <c r="BY27" i="82"/>
  <c r="BZ27" i="82"/>
  <c r="BY31" i="82"/>
  <c r="BZ31" i="82"/>
  <c r="CA31" i="82" s="1"/>
  <c r="BY34" i="82"/>
  <c r="BZ34" i="82"/>
  <c r="CA34" i="82" s="1"/>
  <c r="BY38" i="82"/>
  <c r="BZ38" i="82"/>
  <c r="CA38" i="82" s="1"/>
  <c r="BY40" i="82"/>
  <c r="BZ40" i="82"/>
  <c r="CA40" i="82" s="1"/>
  <c r="BY41" i="82"/>
  <c r="BZ41" i="82"/>
  <c r="CA41" i="82" s="1"/>
  <c r="BY42" i="82"/>
  <c r="BZ42" i="82"/>
  <c r="CA42" i="82" s="1"/>
  <c r="BY43" i="82"/>
  <c r="BZ43" i="82"/>
  <c r="CA43" i="82" s="1"/>
  <c r="BY44" i="82"/>
  <c r="BZ44" i="82"/>
  <c r="CA44" i="82" s="1"/>
  <c r="BY45" i="82"/>
  <c r="BZ45" i="82"/>
  <c r="CA45" i="82" s="1"/>
  <c r="BY48" i="82"/>
  <c r="BZ48" i="82"/>
  <c r="CA48" i="82" s="1"/>
  <c r="BY51" i="82"/>
  <c r="BZ51" i="82"/>
  <c r="CA51" i="82" s="1"/>
  <c r="BY54" i="82"/>
  <c r="BZ54" i="82"/>
  <c r="CA54" i="82" s="1"/>
  <c r="BY56" i="82"/>
  <c r="BZ56" i="82"/>
  <c r="BY57" i="82"/>
  <c r="BZ57" i="82"/>
  <c r="CA57" i="82" s="1"/>
  <c r="BY59" i="82"/>
  <c r="BZ59" i="82"/>
  <c r="CA59" i="82" s="1"/>
  <c r="BZ60" i="82"/>
  <c r="BY61" i="82"/>
  <c r="BZ61" i="82"/>
  <c r="CA61" i="82" s="1"/>
  <c r="BY63" i="82"/>
  <c r="BZ63" i="82"/>
  <c r="BZ66" i="82"/>
  <c r="BY68" i="82"/>
  <c r="BZ68" i="82"/>
  <c r="CA68" i="82" s="1"/>
  <c r="BY70" i="82"/>
  <c r="BZ70" i="82"/>
  <c r="CA70" i="82" s="1"/>
  <c r="BY71" i="82"/>
  <c r="BZ71" i="82"/>
  <c r="CA71" i="82" s="1"/>
  <c r="BY72" i="82"/>
  <c r="BZ72" i="82"/>
  <c r="BY73" i="82"/>
  <c r="BZ73" i="82"/>
  <c r="CA73" i="82" s="1"/>
  <c r="BZ74" i="82"/>
  <c r="BY75" i="82"/>
  <c r="BZ75" i="82"/>
  <c r="BY76" i="82"/>
  <c r="BZ76" i="82"/>
  <c r="CA76" i="82" s="1"/>
  <c r="BZ78" i="82"/>
  <c r="CA78" i="82" s="1"/>
  <c r="BY79" i="82"/>
  <c r="BZ79" i="82"/>
  <c r="CA79" i="82" s="1"/>
  <c r="BY80" i="82"/>
  <c r="BZ80" i="82"/>
  <c r="CA80" i="82" s="1"/>
  <c r="BY81" i="82"/>
  <c r="BZ81" i="82"/>
  <c r="CA81" i="82" s="1"/>
  <c r="BY84" i="82"/>
  <c r="BZ84" i="82"/>
  <c r="CA84" i="82" s="1"/>
  <c r="BY85" i="82"/>
  <c r="BZ85" i="82"/>
  <c r="CA85" i="82" s="1"/>
  <c r="BY86" i="82"/>
  <c r="BZ86" i="82"/>
  <c r="CA86" i="82" s="1"/>
  <c r="BY87" i="82"/>
  <c r="BZ87" i="82"/>
  <c r="CA87" i="82" s="1"/>
  <c r="BY90" i="82"/>
  <c r="BZ90" i="82"/>
  <c r="CA90" i="82" s="1"/>
  <c r="BZ91" i="82"/>
  <c r="BZ95" i="82"/>
  <c r="BY96" i="82"/>
  <c r="BZ96" i="82"/>
  <c r="BY98" i="82"/>
  <c r="BZ98" i="82"/>
  <c r="CA98" i="82" s="1"/>
  <c r="BZ99" i="82"/>
  <c r="CA99" i="82" s="1"/>
  <c r="BY100" i="82"/>
  <c r="BZ100" i="82"/>
  <c r="CA100" i="82" s="1"/>
  <c r="BY103" i="82"/>
  <c r="BZ103" i="82"/>
  <c r="CA103" i="82" s="1"/>
  <c r="BY10" i="82"/>
  <c r="BS92" i="82"/>
  <c r="BS89" i="82"/>
  <c r="BS46" i="82"/>
  <c r="BS37" i="82"/>
  <c r="BS20" i="82"/>
  <c r="BS11" i="82"/>
  <c r="BR93" i="82"/>
  <c r="BR91" i="82"/>
  <c r="BR89" i="82" s="1"/>
  <c r="BR82" i="82"/>
  <c r="BR66" i="82"/>
  <c r="BR49" i="82" s="1"/>
  <c r="BR46" i="82"/>
  <c r="BR39" i="82"/>
  <c r="BR37" i="82" s="1"/>
  <c r="BR35" i="82"/>
  <c r="BR36" i="82" s="1"/>
  <c r="BR33" i="82"/>
  <c r="BR30" i="82"/>
  <c r="BR20" i="82" s="1"/>
  <c r="BR17" i="82"/>
  <c r="BR11" i="82" s="1"/>
  <c r="BR32" i="82" s="1"/>
  <c r="BR10" i="82"/>
  <c r="BL92" i="82"/>
  <c r="BL89" i="82"/>
  <c r="BZ65" i="82"/>
  <c r="BZ64" i="82"/>
  <c r="BZ62" i="82"/>
  <c r="BL49" i="82"/>
  <c r="BL46" i="82"/>
  <c r="BL37" i="82"/>
  <c r="BL36" i="82"/>
  <c r="BL20" i="82"/>
  <c r="BL11" i="82"/>
  <c r="BK92" i="82"/>
  <c r="BK89" i="82"/>
  <c r="BK65" i="82"/>
  <c r="BY65" i="82" s="1"/>
  <c r="BK64" i="82"/>
  <c r="BY64" i="82" s="1"/>
  <c r="BK62" i="82"/>
  <c r="BY62" i="82" s="1"/>
  <c r="BK55" i="82"/>
  <c r="BK46" i="82"/>
  <c r="BK37" i="82"/>
  <c r="BK35" i="82"/>
  <c r="BK36" i="82" s="1"/>
  <c r="BK33" i="82"/>
  <c r="BK28" i="82"/>
  <c r="BK20" i="82"/>
  <c r="BK17" i="82"/>
  <c r="BK11" i="82"/>
  <c r="BK32" i="82" s="1"/>
  <c r="BZ102" i="82"/>
  <c r="AQ92" i="82"/>
  <c r="AQ89" i="82"/>
  <c r="AQ49" i="82"/>
  <c r="AQ46" i="82"/>
  <c r="AQ37" i="82"/>
  <c r="AQ36" i="82"/>
  <c r="AQ20" i="82"/>
  <c r="AQ11" i="82"/>
  <c r="AP102" i="82"/>
  <c r="BY102" i="82" s="1"/>
  <c r="AP93" i="82"/>
  <c r="AP92" i="82" s="1"/>
  <c r="AP89" i="82"/>
  <c r="AP82" i="82"/>
  <c r="AP49" i="82" s="1"/>
  <c r="AP46" i="82"/>
  <c r="AP37" i="82"/>
  <c r="AP36" i="82"/>
  <c r="AP20" i="82"/>
  <c r="AP17" i="82"/>
  <c r="AP11" i="82" s="1"/>
  <c r="AP32" i="82" s="1"/>
  <c r="AP10" i="82"/>
  <c r="BK10" i="82" s="1"/>
  <c r="AJ89" i="82"/>
  <c r="BZ69" i="82"/>
  <c r="BZ55" i="82"/>
  <c r="AJ46" i="82"/>
  <c r="AJ37" i="82"/>
  <c r="AJ36" i="82"/>
  <c r="AJ20" i="82"/>
  <c r="BZ17" i="82"/>
  <c r="AI99" i="82"/>
  <c r="AI93" i="82"/>
  <c r="AI91" i="82"/>
  <c r="AI89" i="82" s="1"/>
  <c r="AI78" i="82"/>
  <c r="BY78" i="82" s="1"/>
  <c r="AI69" i="82"/>
  <c r="AI55" i="82"/>
  <c r="BY55" i="82" s="1"/>
  <c r="AI53" i="82"/>
  <c r="AI52" i="82"/>
  <c r="AI46" i="82"/>
  <c r="AI39" i="82"/>
  <c r="AI37" i="82" s="1"/>
  <c r="AI33" i="82"/>
  <c r="AI36" i="82" s="1"/>
  <c r="AI20" i="82"/>
  <c r="AI17" i="82"/>
  <c r="AI11" i="82" s="1"/>
  <c r="AI32" i="82" s="1"/>
  <c r="AI10" i="82"/>
  <c r="AC92" i="82"/>
  <c r="AC89" i="82"/>
  <c r="BZ83" i="82"/>
  <c r="BZ53" i="82"/>
  <c r="AC46" i="82"/>
  <c r="AC37" i="82"/>
  <c r="AC36" i="82"/>
  <c r="AC20" i="82"/>
  <c r="AC11" i="82"/>
  <c r="AB99" i="82"/>
  <c r="AB92" i="82" s="1"/>
  <c r="AB89" i="82"/>
  <c r="AB83" i="82"/>
  <c r="BY53" i="82"/>
  <c r="AB47" i="82"/>
  <c r="AB46" i="82" s="1"/>
  <c r="AB39" i="82"/>
  <c r="AB37" i="82" s="1"/>
  <c r="AB33" i="82"/>
  <c r="AB36" i="82" s="1"/>
  <c r="AB28" i="82"/>
  <c r="BY28" i="82" s="1"/>
  <c r="AB11" i="82"/>
  <c r="AA10" i="82"/>
  <c r="AB10" i="82"/>
  <c r="U10" i="82"/>
  <c r="V92" i="82"/>
  <c r="V89" i="82"/>
  <c r="V49" i="82"/>
  <c r="V46" i="82"/>
  <c r="V37" i="82"/>
  <c r="V36" i="82"/>
  <c r="V20" i="82"/>
  <c r="V11" i="82"/>
  <c r="U92" i="82"/>
  <c r="U89" i="82"/>
  <c r="U50" i="82"/>
  <c r="BY50" i="82" s="1"/>
  <c r="U46" i="82"/>
  <c r="U37" i="82"/>
  <c r="U36" i="82"/>
  <c r="U20" i="82"/>
  <c r="U11" i="82"/>
  <c r="I89" i="82"/>
  <c r="BZ82" i="82"/>
  <c r="BZ77" i="82"/>
  <c r="BZ67" i="82"/>
  <c r="BZ58" i="82"/>
  <c r="BZ52" i="82"/>
  <c r="I46" i="82"/>
  <c r="I37" i="82"/>
  <c r="BZ35" i="82"/>
  <c r="BZ33" i="82"/>
  <c r="BZ29" i="82"/>
  <c r="BZ25" i="82"/>
  <c r="BZ23" i="82"/>
  <c r="BZ22" i="82"/>
  <c r="CA22" i="82" s="1"/>
  <c r="BZ21" i="82"/>
  <c r="I11" i="82"/>
  <c r="BY99" i="82"/>
  <c r="H95" i="82"/>
  <c r="BY95" i="82" s="1"/>
  <c r="H93" i="82"/>
  <c r="H89" i="82"/>
  <c r="BY89" i="82" s="1"/>
  <c r="H77" i="82"/>
  <c r="BY77" i="82" s="1"/>
  <c r="BY69" i="82"/>
  <c r="H67" i="82"/>
  <c r="BY67" i="82" s="1"/>
  <c r="BY60" i="82"/>
  <c r="H58" i="82"/>
  <c r="BY58" i="82" s="1"/>
  <c r="H52" i="82"/>
  <c r="H47" i="82"/>
  <c r="H46" i="82" s="1"/>
  <c r="H39" i="82"/>
  <c r="H37" i="82" s="1"/>
  <c r="H35" i="82"/>
  <c r="H33" i="82"/>
  <c r="H29" i="82"/>
  <c r="BY29" i="82" s="1"/>
  <c r="H25" i="82"/>
  <c r="BY25" i="82" s="1"/>
  <c r="H23" i="82"/>
  <c r="BY23" i="82" s="1"/>
  <c r="H22" i="82"/>
  <c r="BY22" i="82" s="1"/>
  <c r="H21" i="82"/>
  <c r="BY21" i="82" s="1"/>
  <c r="H11" i="82"/>
  <c r="H36" i="82" l="1"/>
  <c r="BY36" i="82" s="1"/>
  <c r="K122" i="57" s="1"/>
  <c r="C122" i="81" s="1"/>
  <c r="BY93" i="82"/>
  <c r="CA23" i="82"/>
  <c r="U49" i="82"/>
  <c r="CA53" i="82"/>
  <c r="CA55" i="82"/>
  <c r="CA25" i="82"/>
  <c r="CA69" i="82"/>
  <c r="CA72" i="82"/>
  <c r="CA29" i="82"/>
  <c r="CA58" i="82"/>
  <c r="AC32" i="82"/>
  <c r="K127" i="57"/>
  <c r="C146" i="81"/>
  <c r="CA62" i="82"/>
  <c r="CA60" i="82"/>
  <c r="CA24" i="82"/>
  <c r="BY17" i="82"/>
  <c r="CA17" i="82" s="1"/>
  <c r="K71" i="36"/>
  <c r="CA102" i="82"/>
  <c r="BY46" i="82"/>
  <c r="CA67" i="82"/>
  <c r="AB32" i="82"/>
  <c r="CA64" i="82"/>
  <c r="CA66" i="82"/>
  <c r="BY52" i="82"/>
  <c r="CA52" i="82" s="1"/>
  <c r="BY82" i="82"/>
  <c r="CA82" i="82" s="1"/>
  <c r="CA21" i="82"/>
  <c r="CA77" i="82"/>
  <c r="AB20" i="82"/>
  <c r="CA65" i="82"/>
  <c r="CA95" i="82"/>
  <c r="CA63" i="82"/>
  <c r="CA27" i="82"/>
  <c r="CA19" i="82"/>
  <c r="L33" i="39"/>
  <c r="K39" i="39"/>
  <c r="L43" i="39"/>
  <c r="J18" i="39"/>
  <c r="I18" i="39" s="1"/>
  <c r="J55" i="39"/>
  <c r="I55" i="39" s="1"/>
  <c r="L56" i="39"/>
  <c r="L55" i="39"/>
  <c r="D15" i="81"/>
  <c r="D14" i="81"/>
  <c r="BL32" i="82"/>
  <c r="AQ32" i="82"/>
  <c r="K10" i="39"/>
  <c r="K51" i="36"/>
  <c r="C23" i="81" s="1"/>
  <c r="F23" i="81" s="1"/>
  <c r="I15" i="99"/>
  <c r="I59" i="99" s="1"/>
  <c r="L23" i="99"/>
  <c r="L15" i="99" s="1"/>
  <c r="L59" i="99" s="1"/>
  <c r="AD68" i="83"/>
  <c r="AD48" i="83"/>
  <c r="AD39" i="83"/>
  <c r="I77" i="83"/>
  <c r="I84" i="83" s="1"/>
  <c r="AD30" i="83"/>
  <c r="P77" i="83"/>
  <c r="P84" i="83" s="1"/>
  <c r="AD29" i="83"/>
  <c r="AD26" i="83"/>
  <c r="BY39" i="82"/>
  <c r="BY11" i="82"/>
  <c r="I92" i="82"/>
  <c r="AB49" i="82"/>
  <c r="AB101" i="82" s="1"/>
  <c r="AB105" i="82" s="1"/>
  <c r="AB107" i="82" s="1"/>
  <c r="BY37" i="82"/>
  <c r="BR92" i="82"/>
  <c r="BR101" i="82" s="1"/>
  <c r="BR105" i="82" s="1"/>
  <c r="BR107" i="82" s="1"/>
  <c r="BS36" i="82"/>
  <c r="BY91" i="82"/>
  <c r="CA91" i="82" s="1"/>
  <c r="BY66" i="82"/>
  <c r="BZ47" i="82"/>
  <c r="CA47" i="82" s="1"/>
  <c r="BZ28" i="82"/>
  <c r="CA28" i="82" s="1"/>
  <c r="AP101" i="82"/>
  <c r="AP105" i="82" s="1"/>
  <c r="AP107" i="82" s="1"/>
  <c r="AJ11" i="82"/>
  <c r="AJ32" i="82" s="1"/>
  <c r="BS32" i="82"/>
  <c r="BZ50" i="82"/>
  <c r="CA50" i="82" s="1"/>
  <c r="BY47" i="82"/>
  <c r="BY35" i="82"/>
  <c r="CA35" i="82" s="1"/>
  <c r="I20" i="82"/>
  <c r="I32" i="82" s="1"/>
  <c r="AJ49" i="82"/>
  <c r="BK49" i="82"/>
  <c r="BK101" i="82" s="1"/>
  <c r="BZ93" i="82"/>
  <c r="CA93" i="82" s="1"/>
  <c r="BY83" i="82"/>
  <c r="CA83" i="82" s="1"/>
  <c r="BZ30" i="82"/>
  <c r="CA30" i="82" s="1"/>
  <c r="AQ101" i="82"/>
  <c r="BY33" i="82"/>
  <c r="CA33" i="82" s="1"/>
  <c r="BY30" i="82"/>
  <c r="AC49" i="82"/>
  <c r="AC101" i="82" s="1"/>
  <c r="BS49" i="82"/>
  <c r="BZ39" i="82"/>
  <c r="CA39" i="82" s="1"/>
  <c r="K57" i="36"/>
  <c r="C41" i="81" s="1"/>
  <c r="K83" i="36"/>
  <c r="BL101" i="82"/>
  <c r="BL105" i="82" s="1"/>
  <c r="BL107" i="82" s="1"/>
  <c r="K48" i="58"/>
  <c r="K47" i="36"/>
  <c r="K30" i="36"/>
  <c r="K74" i="57"/>
  <c r="J74" i="57" s="1"/>
  <c r="K23" i="36"/>
  <c r="AC26" i="83"/>
  <c r="AC48" i="83"/>
  <c r="H77" i="83"/>
  <c r="H80" i="83" s="1"/>
  <c r="AC68" i="83"/>
  <c r="O77" i="83"/>
  <c r="AC77" i="83" s="1"/>
  <c r="J39" i="39"/>
  <c r="J12" i="57"/>
  <c r="K11" i="57"/>
  <c r="K28" i="57"/>
  <c r="J30" i="57"/>
  <c r="J48" i="57"/>
  <c r="K47" i="57"/>
  <c r="J47" i="57" s="1"/>
  <c r="J32" i="57"/>
  <c r="J15" i="39"/>
  <c r="L15" i="39" s="1"/>
  <c r="J59" i="57"/>
  <c r="J135" i="57"/>
  <c r="J54" i="57"/>
  <c r="J78" i="57"/>
  <c r="J114" i="57"/>
  <c r="AC96" i="83"/>
  <c r="J31" i="57"/>
  <c r="I80" i="83"/>
  <c r="K73" i="58"/>
  <c r="J57" i="58"/>
  <c r="K94" i="58"/>
  <c r="J94" i="58" s="1"/>
  <c r="J49" i="58"/>
  <c r="J80" i="58"/>
  <c r="K13" i="58"/>
  <c r="J39" i="58"/>
  <c r="J37" i="39"/>
  <c r="BS101" i="82"/>
  <c r="H32" i="82"/>
  <c r="H49" i="82"/>
  <c r="I49" i="82"/>
  <c r="H20" i="82"/>
  <c r="BY20" i="82" s="1"/>
  <c r="H92" i="82"/>
  <c r="I36" i="82"/>
  <c r="U32" i="82"/>
  <c r="V101" i="82"/>
  <c r="U101" i="82"/>
  <c r="V32" i="82"/>
  <c r="F146" i="81" l="1"/>
  <c r="E22" i="80"/>
  <c r="E14" i="80" s="1"/>
  <c r="E57" i="80" s="1"/>
  <c r="AQ105" i="82"/>
  <c r="AQ107" i="82" s="1"/>
  <c r="F122" i="81"/>
  <c r="C22" i="80"/>
  <c r="C14" i="80" s="1"/>
  <c r="C57" i="80" s="1"/>
  <c r="K37" i="39"/>
  <c r="L39" i="39"/>
  <c r="K9" i="39"/>
  <c r="L18" i="39"/>
  <c r="J11" i="39"/>
  <c r="K82" i="36"/>
  <c r="H22" i="80"/>
  <c r="H14" i="80" s="1"/>
  <c r="H57" i="80" s="1"/>
  <c r="H62" i="80" s="1"/>
  <c r="K56" i="36"/>
  <c r="K55" i="36" s="1"/>
  <c r="B49" i="99"/>
  <c r="B41" i="99" s="1"/>
  <c r="E14" i="81"/>
  <c r="H101" i="82"/>
  <c r="BS105" i="82"/>
  <c r="BS107" i="82" s="1"/>
  <c r="C138" i="81"/>
  <c r="F138" i="81" s="1"/>
  <c r="K22" i="80"/>
  <c r="BZ106" i="82"/>
  <c r="J48" i="58"/>
  <c r="K47" i="58"/>
  <c r="K76" i="36" s="1"/>
  <c r="P80" i="83"/>
  <c r="AD77" i="83"/>
  <c r="AD80" i="83" s="1"/>
  <c r="AD84" i="83" s="1"/>
  <c r="AC80" i="83"/>
  <c r="AC84" i="83" s="1"/>
  <c r="K126" i="57"/>
  <c r="D130" i="81"/>
  <c r="H84" i="83"/>
  <c r="F41" i="81"/>
  <c r="BY32" i="82"/>
  <c r="K119" i="57" s="1"/>
  <c r="C114" i="81" s="1"/>
  <c r="I101" i="82"/>
  <c r="H106" i="82"/>
  <c r="BY106" i="82" s="1"/>
  <c r="K77" i="36"/>
  <c r="BK105" i="82"/>
  <c r="BK107" i="82" s="1"/>
  <c r="AC105" i="82"/>
  <c r="AC107" i="82" s="1"/>
  <c r="O80" i="83"/>
  <c r="O84" i="83"/>
  <c r="AC97" i="83"/>
  <c r="K26" i="57"/>
  <c r="J26" i="57" s="1"/>
  <c r="J28" i="57"/>
  <c r="K10" i="57"/>
  <c r="J11" i="57"/>
  <c r="K8" i="58"/>
  <c r="J13" i="58"/>
  <c r="J36" i="39"/>
  <c r="V105" i="82"/>
  <c r="V107" i="82" s="1"/>
  <c r="U105" i="82"/>
  <c r="U107" i="82" s="1"/>
  <c r="CA106" i="82" l="1"/>
  <c r="B22" i="80"/>
  <c r="B14" i="80" s="1"/>
  <c r="B57" i="80" s="1"/>
  <c r="F114" i="81"/>
  <c r="J10" i="39"/>
  <c r="L11" i="39"/>
  <c r="L37" i="39"/>
  <c r="K36" i="39"/>
  <c r="K75" i="36"/>
  <c r="K46" i="58"/>
  <c r="K107" i="58" s="1"/>
  <c r="K14" i="80"/>
  <c r="N22" i="80"/>
  <c r="E130" i="81"/>
  <c r="D98" i="81"/>
  <c r="E98" i="81" s="1"/>
  <c r="D47" i="80"/>
  <c r="AC98" i="83"/>
  <c r="D64" i="81"/>
  <c r="K9" i="57"/>
  <c r="K10" i="36" s="1"/>
  <c r="K9" i="36" s="1"/>
  <c r="K64" i="36" s="1"/>
  <c r="J10" i="57"/>
  <c r="K45" i="58"/>
  <c r="J45" i="58" s="1"/>
  <c r="J8" i="58"/>
  <c r="F29" i="80"/>
  <c r="P38" i="80"/>
  <c r="X38" i="80"/>
  <c r="W38" i="80"/>
  <c r="V38" i="80"/>
  <c r="U38" i="80"/>
  <c r="T38" i="80"/>
  <c r="S38" i="80"/>
  <c r="R38" i="80"/>
  <c r="Q38" i="80"/>
  <c r="P21" i="80"/>
  <c r="P13" i="80" s="1"/>
  <c r="X13" i="80"/>
  <c r="W13" i="80"/>
  <c r="V13" i="80"/>
  <c r="U13" i="80"/>
  <c r="T13" i="80"/>
  <c r="S13" i="80"/>
  <c r="R13" i="80"/>
  <c r="Q13" i="80"/>
  <c r="I31" i="99"/>
  <c r="D40" i="81"/>
  <c r="K66" i="39" l="1"/>
  <c r="L36" i="39"/>
  <c r="J9" i="39"/>
  <c r="L10" i="39"/>
  <c r="V56" i="80"/>
  <c r="S56" i="80"/>
  <c r="N14" i="80"/>
  <c r="N57" i="80" s="1"/>
  <c r="K57" i="80"/>
  <c r="D39" i="80"/>
  <c r="J47" i="80"/>
  <c r="E64" i="81"/>
  <c r="F89" i="81" s="1"/>
  <c r="D32" i="81"/>
  <c r="E49" i="99"/>
  <c r="Q56" i="80"/>
  <c r="R56" i="80"/>
  <c r="X56" i="80"/>
  <c r="W56" i="80"/>
  <c r="T56" i="80"/>
  <c r="U56" i="80"/>
  <c r="J9" i="57"/>
  <c r="K8" i="57"/>
  <c r="C14" i="81" s="1"/>
  <c r="X133" i="82"/>
  <c r="AP119" i="82"/>
  <c r="AB90" i="83"/>
  <c r="AB89" i="83"/>
  <c r="D54" i="81" s="1"/>
  <c r="C48" i="99" s="1"/>
  <c r="AJ94" i="82" l="1"/>
  <c r="L9" i="39"/>
  <c r="J66" i="39"/>
  <c r="L66" i="39"/>
  <c r="I104" i="82"/>
  <c r="BZ104" i="82" s="1"/>
  <c r="F24" i="80"/>
  <c r="E41" i="99"/>
  <c r="E59" i="99" s="1"/>
  <c r="G49" i="99"/>
  <c r="G22" i="80"/>
  <c r="F64" i="81"/>
  <c r="J39" i="80"/>
  <c r="O39" i="80" s="1"/>
  <c r="O47" i="80"/>
  <c r="D82" i="81"/>
  <c r="E82" i="81" s="1"/>
  <c r="E32" i="81"/>
  <c r="F14" i="81"/>
  <c r="B23" i="99"/>
  <c r="K116" i="57"/>
  <c r="J116" i="57" s="1"/>
  <c r="J8" i="57"/>
  <c r="I105" i="82"/>
  <c r="I107" i="82" s="1"/>
  <c r="H103" i="57"/>
  <c r="H31" i="57"/>
  <c r="H89" i="36"/>
  <c r="H88" i="36"/>
  <c r="H86" i="36"/>
  <c r="H84" i="36"/>
  <c r="H80" i="36"/>
  <c r="H74" i="36"/>
  <c r="H73" i="36"/>
  <c r="H54" i="36"/>
  <c r="H53" i="36"/>
  <c r="H52" i="36"/>
  <c r="H50" i="36"/>
  <c r="H49" i="36"/>
  <c r="H48" i="36"/>
  <c r="H46" i="36"/>
  <c r="H45" i="36"/>
  <c r="H44" i="36"/>
  <c r="H43" i="36"/>
  <c r="H42" i="36"/>
  <c r="H40" i="36"/>
  <c r="H39" i="36"/>
  <c r="H38" i="36"/>
  <c r="H37" i="36"/>
  <c r="H36" i="36"/>
  <c r="H35" i="36"/>
  <c r="H34" i="36"/>
  <c r="H33" i="36"/>
  <c r="H32" i="36"/>
  <c r="H31" i="36"/>
  <c r="H29" i="36"/>
  <c r="H28" i="36"/>
  <c r="H27" i="36"/>
  <c r="H26" i="36"/>
  <c r="H25" i="36"/>
  <c r="H24" i="36"/>
  <c r="H22" i="36"/>
  <c r="H21" i="36"/>
  <c r="H20" i="36"/>
  <c r="H19" i="36"/>
  <c r="H18" i="36"/>
  <c r="H16" i="36"/>
  <c r="H15" i="36"/>
  <c r="H14" i="36"/>
  <c r="H13" i="36"/>
  <c r="H12" i="36"/>
  <c r="H11" i="36"/>
  <c r="H137" i="57"/>
  <c r="H136" i="57"/>
  <c r="H133" i="57"/>
  <c r="H132" i="57"/>
  <c r="H113" i="57"/>
  <c r="H111" i="57"/>
  <c r="H110" i="57"/>
  <c r="H105" i="57"/>
  <c r="H104" i="57"/>
  <c r="H102" i="57"/>
  <c r="H101" i="57"/>
  <c r="H100" i="57"/>
  <c r="H97" i="57"/>
  <c r="H96" i="57"/>
  <c r="H92" i="57"/>
  <c r="H89" i="57"/>
  <c r="H88" i="57"/>
  <c r="H85" i="57"/>
  <c r="H84" i="57"/>
  <c r="H83" i="57"/>
  <c r="H81" i="57"/>
  <c r="H80" i="57"/>
  <c r="H77" i="57"/>
  <c r="H76" i="57"/>
  <c r="H75" i="57"/>
  <c r="H73" i="57"/>
  <c r="H72" i="57"/>
  <c r="H71" i="57"/>
  <c r="H70" i="57"/>
  <c r="H69" i="57"/>
  <c r="H68" i="57"/>
  <c r="H67" i="57"/>
  <c r="H66" i="57"/>
  <c r="H63" i="57"/>
  <c r="H61" i="57"/>
  <c r="H56" i="57"/>
  <c r="H52" i="57"/>
  <c r="H51" i="57"/>
  <c r="H50" i="57"/>
  <c r="H45" i="57"/>
  <c r="H44" i="57"/>
  <c r="H42" i="57"/>
  <c r="H41" i="57"/>
  <c r="H40" i="57"/>
  <c r="H39" i="57"/>
  <c r="H36" i="57"/>
  <c r="H35" i="57"/>
  <c r="H34" i="57"/>
  <c r="H29" i="57"/>
  <c r="H27" i="57"/>
  <c r="H24" i="57"/>
  <c r="H22" i="57"/>
  <c r="H21" i="57"/>
  <c r="H20" i="57"/>
  <c r="H19" i="57"/>
  <c r="H18" i="57"/>
  <c r="H15" i="57"/>
  <c r="H106" i="58"/>
  <c r="H105" i="58"/>
  <c r="H104" i="58"/>
  <c r="H103" i="58"/>
  <c r="H100" i="58"/>
  <c r="H98" i="58"/>
  <c r="H97" i="58"/>
  <c r="H96" i="58"/>
  <c r="H95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77" i="58"/>
  <c r="H76" i="58"/>
  <c r="H75" i="58"/>
  <c r="H72" i="58"/>
  <c r="H69" i="58"/>
  <c r="H67" i="58"/>
  <c r="H66" i="58"/>
  <c r="H65" i="58"/>
  <c r="H61" i="58"/>
  <c r="H60" i="58"/>
  <c r="H59" i="58"/>
  <c r="H55" i="58"/>
  <c r="H53" i="58"/>
  <c r="H51" i="58"/>
  <c r="H50" i="58"/>
  <c r="H37" i="58"/>
  <c r="H36" i="58"/>
  <c r="H35" i="58"/>
  <c r="H33" i="58"/>
  <c r="H32" i="58"/>
  <c r="H31" i="58"/>
  <c r="H30" i="58"/>
  <c r="H29" i="58"/>
  <c r="H26" i="58"/>
  <c r="H25" i="58"/>
  <c r="H24" i="58"/>
  <c r="H22" i="58"/>
  <c r="H21" i="58"/>
  <c r="H20" i="58"/>
  <c r="H19" i="58"/>
  <c r="H18" i="58"/>
  <c r="H17" i="58"/>
  <c r="H15" i="58"/>
  <c r="H12" i="58"/>
  <c r="H11" i="58"/>
  <c r="H10" i="58"/>
  <c r="H9" i="58"/>
  <c r="G61" i="39"/>
  <c r="G60" i="39"/>
  <c r="G59" i="39"/>
  <c r="G58" i="39"/>
  <c r="G54" i="39"/>
  <c r="G52" i="39"/>
  <c r="G51" i="39"/>
  <c r="G50" i="39"/>
  <c r="G47" i="39"/>
  <c r="G46" i="39"/>
  <c r="G45" i="39"/>
  <c r="G44" i="39"/>
  <c r="G42" i="39"/>
  <c r="G41" i="39"/>
  <c r="G40" i="39"/>
  <c r="G38" i="39"/>
  <c r="G35" i="39"/>
  <c r="G34" i="39"/>
  <c r="G32" i="39"/>
  <c r="G31" i="39"/>
  <c r="G30" i="39"/>
  <c r="G29" i="39"/>
  <c r="G28" i="39"/>
  <c r="G27" i="39"/>
  <c r="G26" i="39"/>
  <c r="G25" i="39"/>
  <c r="G24" i="39"/>
  <c r="G23" i="39"/>
  <c r="G22" i="39"/>
  <c r="G21" i="39"/>
  <c r="G20" i="39"/>
  <c r="G17" i="39"/>
  <c r="AA11" i="82"/>
  <c r="AA32" i="82" s="1"/>
  <c r="AA105" i="82" s="1"/>
  <c r="AA107" i="82" s="1"/>
  <c r="T46" i="82"/>
  <c r="T37" i="82"/>
  <c r="T101" i="82" s="1"/>
  <c r="T36" i="82"/>
  <c r="T20" i="82"/>
  <c r="T11" i="82"/>
  <c r="I16" i="39"/>
  <c r="I13" i="39"/>
  <c r="L102" i="58"/>
  <c r="L101" i="58" s="1"/>
  <c r="L99" i="58"/>
  <c r="L94" i="58" s="1"/>
  <c r="L79" i="58"/>
  <c r="L74" i="58"/>
  <c r="L57" i="58"/>
  <c r="L49" i="58"/>
  <c r="M21" i="80"/>
  <c r="J79" i="58"/>
  <c r="L43" i="58"/>
  <c r="L42" i="58"/>
  <c r="L109" i="57" s="1"/>
  <c r="M109" i="57" s="1"/>
  <c r="L41" i="58"/>
  <c r="L40" i="58"/>
  <c r="L39" i="58" s="1"/>
  <c r="L34" i="58"/>
  <c r="L28" i="58"/>
  <c r="L23" i="58"/>
  <c r="L14" i="58"/>
  <c r="I22" i="99"/>
  <c r="L135" i="57"/>
  <c r="L134" i="57"/>
  <c r="L114" i="57"/>
  <c r="L112" i="57"/>
  <c r="L108" i="57"/>
  <c r="L107" i="57" s="1"/>
  <c r="L106" i="57" s="1"/>
  <c r="L99" i="57"/>
  <c r="L82" i="57"/>
  <c r="L78" i="57"/>
  <c r="L62" i="57"/>
  <c r="L60" i="57"/>
  <c r="L59" i="57"/>
  <c r="L57" i="57"/>
  <c r="L55" i="57"/>
  <c r="L54" i="57"/>
  <c r="L53" i="57" s="1"/>
  <c r="L49" i="57"/>
  <c r="L48" i="57" s="1"/>
  <c r="L43" i="57"/>
  <c r="L38" i="57"/>
  <c r="L37" i="57" s="1"/>
  <c r="L32" i="57"/>
  <c r="L30" i="57"/>
  <c r="L17" i="57"/>
  <c r="L14" i="57"/>
  <c r="L13" i="57"/>
  <c r="J109" i="57"/>
  <c r="I14" i="39"/>
  <c r="I12" i="39"/>
  <c r="I43" i="39"/>
  <c r="BZ94" i="82" l="1"/>
  <c r="AJ92" i="82"/>
  <c r="AJ101" i="82" s="1"/>
  <c r="AJ105" i="82" s="1"/>
  <c r="AJ107" i="82" s="1"/>
  <c r="F22" i="80"/>
  <c r="F14" i="80" s="1"/>
  <c r="F57" i="80" s="1"/>
  <c r="F62" i="80" s="1"/>
  <c r="H104" i="82"/>
  <c r="K129" i="57"/>
  <c r="G14" i="80"/>
  <c r="F105" i="81"/>
  <c r="O60" i="80" s="1"/>
  <c r="C162" i="81"/>
  <c r="F162" i="81" s="1"/>
  <c r="M62" i="99"/>
  <c r="M49" i="99"/>
  <c r="G41" i="99"/>
  <c r="M41" i="99" s="1"/>
  <c r="B15" i="99"/>
  <c r="B59" i="99" s="1"/>
  <c r="G23" i="99"/>
  <c r="T32" i="82"/>
  <c r="T105" i="82" s="1"/>
  <c r="T107" i="82" s="1"/>
  <c r="L13" i="58"/>
  <c r="L8" i="58" s="1"/>
  <c r="C169" i="81"/>
  <c r="J73" i="58"/>
  <c r="G106" i="82" s="1"/>
  <c r="L38" i="58"/>
  <c r="L74" i="57"/>
  <c r="H33" i="57"/>
  <c r="I39" i="39"/>
  <c r="L12" i="57"/>
  <c r="L11" i="57" s="1"/>
  <c r="L28" i="57"/>
  <c r="L26" i="57" s="1"/>
  <c r="L47" i="57"/>
  <c r="L58" i="57"/>
  <c r="L87" i="57"/>
  <c r="L73" i="58"/>
  <c r="L54" i="58"/>
  <c r="L48" i="58" s="1"/>
  <c r="K128" i="57" l="1"/>
  <c r="K72" i="36" s="1"/>
  <c r="C154" i="81"/>
  <c r="F154" i="81" s="1"/>
  <c r="BY104" i="82"/>
  <c r="CA104" i="82" s="1"/>
  <c r="H105" i="82"/>
  <c r="H107" i="82" s="1"/>
  <c r="G57" i="80"/>
  <c r="G15" i="99"/>
  <c r="M23" i="99"/>
  <c r="I15" i="39"/>
  <c r="H22" i="99"/>
  <c r="L21" i="80"/>
  <c r="K21" i="80"/>
  <c r="D22" i="99"/>
  <c r="I37" i="39"/>
  <c r="L10" i="57"/>
  <c r="L9" i="57" s="1"/>
  <c r="L8" i="57" s="1"/>
  <c r="L116" i="57" s="1"/>
  <c r="M15" i="99" l="1"/>
  <c r="G59" i="99"/>
  <c r="M59" i="99" s="1"/>
  <c r="I11" i="39"/>
  <c r="N21" i="80"/>
  <c r="I36" i="39"/>
  <c r="I10" i="39" l="1"/>
  <c r="I9" i="39"/>
  <c r="B8" i="39" l="1"/>
  <c r="C7" i="58"/>
  <c r="G16" i="57"/>
  <c r="H16" i="57" s="1"/>
  <c r="G130" i="57"/>
  <c r="H130" i="57" s="1"/>
  <c r="F56" i="39"/>
  <c r="G56" i="39" s="1"/>
  <c r="F19" i="39"/>
  <c r="G19" i="39" s="1"/>
  <c r="F63" i="83" l="1"/>
  <c r="F66" i="83"/>
  <c r="G86" i="57" l="1"/>
  <c r="H86" i="57" s="1"/>
  <c r="AA90" i="83"/>
  <c r="AG69" i="82"/>
  <c r="AJ2" i="82" l="1"/>
  <c r="X122" i="82"/>
  <c r="X124" i="82"/>
  <c r="X126" i="82"/>
  <c r="X128" i="82"/>
  <c r="X132" i="82"/>
  <c r="X135" i="82"/>
  <c r="X137" i="82"/>
  <c r="X117" i="82"/>
  <c r="X123" i="82"/>
  <c r="X120" i="82"/>
  <c r="X119" i="82" l="1"/>
  <c r="X131" i="82"/>
  <c r="X130" i="82"/>
  <c r="X118" i="82"/>
  <c r="D155" i="82"/>
  <c r="Q155" i="82"/>
  <c r="X37" i="80"/>
  <c r="W37" i="80"/>
  <c r="V37" i="80"/>
  <c r="U37" i="80"/>
  <c r="T37" i="80"/>
  <c r="S37" i="80"/>
  <c r="R37" i="80"/>
  <c r="Q37" i="80"/>
  <c r="X36" i="80"/>
  <c r="W36" i="80"/>
  <c r="V36" i="80"/>
  <c r="U36" i="80"/>
  <c r="T36" i="80"/>
  <c r="S36" i="80"/>
  <c r="R36" i="80"/>
  <c r="Q36" i="80"/>
  <c r="X35" i="80"/>
  <c r="W35" i="80"/>
  <c r="V35" i="80"/>
  <c r="U35" i="80"/>
  <c r="T35" i="80"/>
  <c r="S35" i="80"/>
  <c r="R35" i="80"/>
  <c r="Q35" i="80"/>
  <c r="X85" i="83"/>
  <c r="BY74" i="82" l="1"/>
  <c r="CA74" i="82" s="1"/>
  <c r="AI49" i="82"/>
  <c r="BY49" i="82" s="1"/>
  <c r="P44" i="80"/>
  <c r="P36" i="80" s="1"/>
  <c r="P45" i="80"/>
  <c r="P37" i="80" s="1"/>
  <c r="P43" i="80"/>
  <c r="P35" i="80" s="1"/>
  <c r="P27" i="80"/>
  <c r="P28" i="80"/>
  <c r="P26" i="80"/>
  <c r="P19" i="80"/>
  <c r="P20" i="80"/>
  <c r="P23" i="80"/>
  <c r="P24" i="80"/>
  <c r="P18" i="80"/>
  <c r="X10" i="80"/>
  <c r="X53" i="80" s="1"/>
  <c r="X11" i="80"/>
  <c r="X54" i="80" s="1"/>
  <c r="X12" i="80"/>
  <c r="X55" i="80" s="1"/>
  <c r="Q10" i="80"/>
  <c r="Q53" i="80" s="1"/>
  <c r="R10" i="80"/>
  <c r="R53" i="80" s="1"/>
  <c r="S10" i="80"/>
  <c r="S53" i="80" s="1"/>
  <c r="T10" i="80"/>
  <c r="T53" i="80" s="1"/>
  <c r="U10" i="80"/>
  <c r="U53" i="80" s="1"/>
  <c r="V10" i="80"/>
  <c r="V53" i="80" s="1"/>
  <c r="W10" i="80"/>
  <c r="W53" i="80" s="1"/>
  <c r="Q11" i="80"/>
  <c r="Q54" i="80" s="1"/>
  <c r="R11" i="80"/>
  <c r="R54" i="80" s="1"/>
  <c r="S11" i="80"/>
  <c r="S54" i="80" s="1"/>
  <c r="T11" i="80"/>
  <c r="T54" i="80" s="1"/>
  <c r="U11" i="80"/>
  <c r="U54" i="80" s="1"/>
  <c r="V11" i="80"/>
  <c r="V54" i="80" s="1"/>
  <c r="W11" i="80"/>
  <c r="W54" i="80" s="1"/>
  <c r="Q12" i="80"/>
  <c r="Q55" i="80" s="1"/>
  <c r="R12" i="80"/>
  <c r="R55" i="80" s="1"/>
  <c r="S12" i="80"/>
  <c r="S55" i="80" s="1"/>
  <c r="T12" i="80"/>
  <c r="T55" i="80" s="1"/>
  <c r="U12" i="80"/>
  <c r="U55" i="80" s="1"/>
  <c r="V12" i="80"/>
  <c r="V55" i="80" s="1"/>
  <c r="W12" i="80"/>
  <c r="W55" i="80" s="1"/>
  <c r="P25" i="80"/>
  <c r="G65" i="57"/>
  <c r="H65" i="57" s="1"/>
  <c r="BN92" i="82" l="1"/>
  <c r="BN89" i="82"/>
  <c r="BG92" i="82"/>
  <c r="BG89" i="82"/>
  <c r="AL92" i="82"/>
  <c r="AL89" i="82"/>
  <c r="AE92" i="82"/>
  <c r="AE89" i="82"/>
  <c r="X92" i="82"/>
  <c r="X89" i="82"/>
  <c r="Q92" i="82"/>
  <c r="Q89" i="82"/>
  <c r="D99" i="82"/>
  <c r="BU99" i="82" s="1"/>
  <c r="D95" i="82"/>
  <c r="BU95" i="82" s="1"/>
  <c r="D93" i="82"/>
  <c r="BU93" i="82" s="1"/>
  <c r="D89" i="82"/>
  <c r="D82" i="82"/>
  <c r="BU82" i="82" s="1"/>
  <c r="BN49" i="82"/>
  <c r="BN46" i="82"/>
  <c r="BG62" i="82"/>
  <c r="BG49" i="82" s="1"/>
  <c r="BG46" i="82"/>
  <c r="AL49" i="82"/>
  <c r="AL46" i="82"/>
  <c r="AE78" i="82"/>
  <c r="BU78" i="82" s="1"/>
  <c r="AE52" i="82"/>
  <c r="AE46" i="82"/>
  <c r="X53" i="82"/>
  <c r="BU53" i="82" s="1"/>
  <c r="X46" i="82"/>
  <c r="Q49" i="82"/>
  <c r="Q46" i="82"/>
  <c r="D67" i="82"/>
  <c r="BU67" i="82" s="1"/>
  <c r="D58" i="82"/>
  <c r="BU58" i="82" s="1"/>
  <c r="D52" i="82"/>
  <c r="D46" i="82"/>
  <c r="BN37" i="82"/>
  <c r="BN36" i="82"/>
  <c r="BN20" i="82"/>
  <c r="BN11" i="82"/>
  <c r="BG37" i="82"/>
  <c r="BG36" i="82"/>
  <c r="BG28" i="82"/>
  <c r="BG20" i="82" s="1"/>
  <c r="BG11" i="82"/>
  <c r="AL37" i="82"/>
  <c r="AL36" i="82"/>
  <c r="AL20" i="82"/>
  <c r="AL11" i="82"/>
  <c r="AE37" i="82"/>
  <c r="AE36" i="82"/>
  <c r="AE20" i="82"/>
  <c r="AE11" i="82"/>
  <c r="X37" i="82"/>
  <c r="X33" i="82"/>
  <c r="X36" i="82" s="1"/>
  <c r="X20" i="82"/>
  <c r="X11" i="82"/>
  <c r="Q37" i="82"/>
  <c r="Q36" i="82"/>
  <c r="Q20" i="82"/>
  <c r="Q11" i="82"/>
  <c r="D37" i="82"/>
  <c r="D33" i="82"/>
  <c r="D21" i="82"/>
  <c r="BU21" i="82" s="1"/>
  <c r="D11" i="82"/>
  <c r="BU12" i="82"/>
  <c r="BU13" i="82"/>
  <c r="BU14" i="82"/>
  <c r="BU15" i="82"/>
  <c r="BU16" i="82"/>
  <c r="BU17" i="82"/>
  <c r="BU18" i="82"/>
  <c r="BU19" i="82"/>
  <c r="BU22" i="82"/>
  <c r="BU23" i="82"/>
  <c r="BU24" i="82"/>
  <c r="BU25" i="82"/>
  <c r="BU26" i="82"/>
  <c r="BU27" i="82"/>
  <c r="BU29" i="82"/>
  <c r="BU30" i="82"/>
  <c r="BU31" i="82"/>
  <c r="BU34" i="82"/>
  <c r="BU35" i="82"/>
  <c r="BU38" i="82"/>
  <c r="BU39" i="82"/>
  <c r="BU40" i="82"/>
  <c r="BU41" i="82"/>
  <c r="BU42" i="82"/>
  <c r="BU43" i="82"/>
  <c r="BU44" i="82"/>
  <c r="BU45" i="82"/>
  <c r="BU47" i="82"/>
  <c r="BU48" i="82"/>
  <c r="BU50" i="82"/>
  <c r="BU51" i="82"/>
  <c r="BU54" i="82"/>
  <c r="BU55" i="82"/>
  <c r="BU56" i="82"/>
  <c r="BU57" i="82"/>
  <c r="BU59" i="82"/>
  <c r="BU60" i="82"/>
  <c r="BU61" i="82"/>
  <c r="BU63" i="82"/>
  <c r="BU64" i="82"/>
  <c r="BU65" i="82"/>
  <c r="BU66" i="82"/>
  <c r="BU68" i="82"/>
  <c r="BU69" i="82"/>
  <c r="BU70" i="82"/>
  <c r="BU71" i="82"/>
  <c r="BU72" i="82"/>
  <c r="BU73" i="82"/>
  <c r="BU74" i="82"/>
  <c r="BU75" i="82"/>
  <c r="BU76" i="82"/>
  <c r="BU77" i="82"/>
  <c r="BU79" i="82"/>
  <c r="BU80" i="82"/>
  <c r="BU81" i="82"/>
  <c r="BU83" i="82"/>
  <c r="BU84" i="82"/>
  <c r="BU85" i="82"/>
  <c r="BU86" i="82"/>
  <c r="BU87" i="82"/>
  <c r="BU88" i="82"/>
  <c r="BU90" i="82"/>
  <c r="BU91" i="82"/>
  <c r="BU94" i="82"/>
  <c r="BU96" i="82"/>
  <c r="BU98" i="82"/>
  <c r="BU100" i="82"/>
  <c r="BU102" i="82"/>
  <c r="D127" i="57" s="1"/>
  <c r="BU103" i="82"/>
  <c r="BU108" i="82"/>
  <c r="BU10" i="82"/>
  <c r="BN10" i="82"/>
  <c r="AL10" i="82"/>
  <c r="BG10" i="82" s="1"/>
  <c r="AE10" i="82"/>
  <c r="X10" i="82"/>
  <c r="Q10" i="82"/>
  <c r="BI82" i="82"/>
  <c r="F49" i="39"/>
  <c r="G49" i="39" s="1"/>
  <c r="G25" i="57"/>
  <c r="H25" i="57" s="1"/>
  <c r="BY94" i="82" l="1"/>
  <c r="CA94" i="82" s="1"/>
  <c r="AI92" i="82"/>
  <c r="AE32" i="82"/>
  <c r="AE49" i="82"/>
  <c r="AE101" i="82" s="1"/>
  <c r="D49" i="82"/>
  <c r="X49" i="82"/>
  <c r="X101" i="82" s="1"/>
  <c r="D20" i="82"/>
  <c r="D32" i="82" s="1"/>
  <c r="D92" i="82"/>
  <c r="X32" i="82"/>
  <c r="BN32" i="82"/>
  <c r="BG101" i="82"/>
  <c r="Q32" i="82"/>
  <c r="AL101" i="82"/>
  <c r="BN101" i="82"/>
  <c r="BU62" i="82"/>
  <c r="BG32" i="82"/>
  <c r="Q101" i="82"/>
  <c r="AL32" i="82"/>
  <c r="BU52" i="82"/>
  <c r="BU28" i="82"/>
  <c r="BU33" i="82"/>
  <c r="D36" i="82"/>
  <c r="BY92" i="82" l="1"/>
  <c r="AI101" i="82"/>
  <c r="AE105" i="82"/>
  <c r="AE107" i="82" s="1"/>
  <c r="D101" i="82"/>
  <c r="X105" i="82"/>
  <c r="X107" i="82" s="1"/>
  <c r="Q105" i="82"/>
  <c r="Q107" i="82" s="1"/>
  <c r="BN105" i="82"/>
  <c r="BN107" i="82" s="1"/>
  <c r="BG105" i="82"/>
  <c r="BG107" i="82" s="1"/>
  <c r="AL105" i="82"/>
  <c r="AL107" i="82" s="1"/>
  <c r="AI105" i="82" l="1"/>
  <c r="BY101" i="82"/>
  <c r="K81" i="83"/>
  <c r="K68" i="83"/>
  <c r="K65" i="83"/>
  <c r="K63" i="83"/>
  <c r="Y63" i="83" s="1"/>
  <c r="K39" i="83"/>
  <c r="K30" i="83"/>
  <c r="K27" i="83"/>
  <c r="K29" i="83" s="1"/>
  <c r="K11" i="83"/>
  <c r="K26" i="83" s="1"/>
  <c r="D81" i="83"/>
  <c r="D73" i="83"/>
  <c r="Y73" i="83" s="1"/>
  <c r="D65" i="83"/>
  <c r="D50" i="83"/>
  <c r="D48" i="83" s="1"/>
  <c r="D44" i="83"/>
  <c r="D43" i="83"/>
  <c r="Y43" i="83" s="1"/>
  <c r="D42" i="83"/>
  <c r="D33" i="83"/>
  <c r="Y33" i="83" s="1"/>
  <c r="D31" i="83"/>
  <c r="D27" i="83"/>
  <c r="D29" i="83" s="1"/>
  <c r="D11" i="83"/>
  <c r="D26" i="83" s="1"/>
  <c r="Y12" i="83"/>
  <c r="Y13" i="83"/>
  <c r="Y14" i="83"/>
  <c r="Y15" i="83"/>
  <c r="Y16" i="83"/>
  <c r="Y17" i="83"/>
  <c r="Y18" i="83"/>
  <c r="Y19" i="83"/>
  <c r="Y20" i="83"/>
  <c r="Y21" i="83"/>
  <c r="Y22" i="83"/>
  <c r="Y23" i="83"/>
  <c r="Y24" i="83"/>
  <c r="Y25" i="83"/>
  <c r="Y28" i="83"/>
  <c r="Y32" i="83"/>
  <c r="Y34" i="83"/>
  <c r="Y35" i="83"/>
  <c r="Y36" i="83"/>
  <c r="Y37" i="83"/>
  <c r="Y38" i="83"/>
  <c r="Y40" i="83"/>
  <c r="Y41" i="83"/>
  <c r="Y44" i="83"/>
  <c r="Y45" i="83"/>
  <c r="Y46" i="83"/>
  <c r="Y47" i="83"/>
  <c r="Y49" i="83"/>
  <c r="Y50" i="83"/>
  <c r="Y51" i="83"/>
  <c r="Y52" i="83"/>
  <c r="Y53" i="83"/>
  <c r="Y54" i="83"/>
  <c r="Y55" i="83"/>
  <c r="Y56" i="83"/>
  <c r="Y57" i="83"/>
  <c r="Y58" i="83"/>
  <c r="Y59" i="83"/>
  <c r="Y60" i="83"/>
  <c r="Y61" i="83"/>
  <c r="Y62" i="83"/>
  <c r="Y64" i="83"/>
  <c r="Y66" i="83"/>
  <c r="Y67" i="83"/>
  <c r="Y69" i="83"/>
  <c r="Y70" i="83"/>
  <c r="Y71" i="83"/>
  <c r="Y72" i="83"/>
  <c r="Y74" i="83"/>
  <c r="Y75" i="83"/>
  <c r="Y76" i="83"/>
  <c r="Y78" i="83"/>
  <c r="Y79" i="83"/>
  <c r="Y83" i="83"/>
  <c r="D71" i="58" s="1"/>
  <c r="X11" i="83"/>
  <c r="Y9" i="83"/>
  <c r="K9" i="83"/>
  <c r="R9" i="83" s="1"/>
  <c r="E17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4" i="39"/>
  <c r="E35" i="39"/>
  <c r="E38" i="39"/>
  <c r="E40" i="39"/>
  <c r="E41" i="39"/>
  <c r="E42" i="39"/>
  <c r="E44" i="39"/>
  <c r="E45" i="39"/>
  <c r="E46" i="39"/>
  <c r="E47" i="39"/>
  <c r="E49" i="39"/>
  <c r="E50" i="39"/>
  <c r="E51" i="39"/>
  <c r="E52" i="39"/>
  <c r="E54" i="39"/>
  <c r="E56" i="39"/>
  <c r="E58" i="39"/>
  <c r="E59" i="39"/>
  <c r="E60" i="39"/>
  <c r="E61" i="39"/>
  <c r="E62" i="39"/>
  <c r="E63" i="39"/>
  <c r="E64" i="39"/>
  <c r="E65" i="39"/>
  <c r="B72" i="39"/>
  <c r="B39" i="39"/>
  <c r="B37" i="39" s="1"/>
  <c r="B55" i="39"/>
  <c r="B33" i="39"/>
  <c r="B18" i="39"/>
  <c r="B11" i="39"/>
  <c r="F50" i="58"/>
  <c r="F51" i="58"/>
  <c r="F53" i="58"/>
  <c r="F55" i="58"/>
  <c r="F59" i="58"/>
  <c r="F60" i="58"/>
  <c r="F61" i="58"/>
  <c r="F65" i="58"/>
  <c r="F66" i="58"/>
  <c r="F67" i="58"/>
  <c r="F69" i="58"/>
  <c r="F72" i="58"/>
  <c r="F75" i="58"/>
  <c r="F76" i="58"/>
  <c r="F77" i="58"/>
  <c r="F81" i="58"/>
  <c r="F82" i="58"/>
  <c r="F83" i="58"/>
  <c r="F84" i="58"/>
  <c r="F85" i="58"/>
  <c r="F86" i="58"/>
  <c r="F87" i="58"/>
  <c r="F88" i="58"/>
  <c r="F89" i="58"/>
  <c r="F90" i="58"/>
  <c r="F91" i="58"/>
  <c r="F92" i="58"/>
  <c r="F95" i="58"/>
  <c r="F96" i="58"/>
  <c r="F97" i="58"/>
  <c r="F98" i="58"/>
  <c r="F100" i="58"/>
  <c r="F103" i="58"/>
  <c r="F104" i="58"/>
  <c r="F105" i="58"/>
  <c r="F106" i="58"/>
  <c r="F9" i="58"/>
  <c r="F10" i="58"/>
  <c r="F11" i="58"/>
  <c r="F12" i="58"/>
  <c r="F15" i="58"/>
  <c r="F17" i="58"/>
  <c r="F18" i="58"/>
  <c r="F19" i="58"/>
  <c r="F20" i="58"/>
  <c r="F21" i="58"/>
  <c r="F22" i="58"/>
  <c r="F24" i="58"/>
  <c r="F25" i="58"/>
  <c r="F26" i="58"/>
  <c r="F29" i="58"/>
  <c r="F30" i="58"/>
  <c r="F31" i="58"/>
  <c r="F32" i="58"/>
  <c r="F33" i="58"/>
  <c r="F35" i="58"/>
  <c r="F36" i="58"/>
  <c r="F37" i="58"/>
  <c r="C102" i="58"/>
  <c r="C101" i="58" s="1"/>
  <c r="C74" i="58"/>
  <c r="C73" i="58" s="1"/>
  <c r="C70" i="58"/>
  <c r="C49" i="58"/>
  <c r="C48" i="58" s="1"/>
  <c r="C39" i="58"/>
  <c r="C38" i="58" s="1"/>
  <c r="C28" i="58"/>
  <c r="C13" i="58"/>
  <c r="F136" i="57"/>
  <c r="F137" i="57"/>
  <c r="F133" i="57"/>
  <c r="F110" i="57"/>
  <c r="F111" i="57"/>
  <c r="F113" i="57"/>
  <c r="F15" i="57"/>
  <c r="F16" i="57"/>
  <c r="F18" i="57"/>
  <c r="F19" i="57"/>
  <c r="F20" i="57"/>
  <c r="F21" i="57"/>
  <c r="F22" i="57"/>
  <c r="F24" i="57"/>
  <c r="F27" i="57"/>
  <c r="F29" i="57"/>
  <c r="F31" i="57"/>
  <c r="F33" i="57"/>
  <c r="F34" i="57"/>
  <c r="F35" i="57"/>
  <c r="F36" i="57"/>
  <c r="F39" i="57"/>
  <c r="F40" i="57"/>
  <c r="F41" i="57"/>
  <c r="F42" i="57"/>
  <c r="F44" i="57"/>
  <c r="F45" i="57"/>
  <c r="F50" i="57"/>
  <c r="F51" i="57"/>
  <c r="F52" i="57"/>
  <c r="F56" i="57"/>
  <c r="F61" i="57"/>
  <c r="F63" i="57"/>
  <c r="F66" i="57"/>
  <c r="F67" i="57"/>
  <c r="F68" i="57"/>
  <c r="F69" i="57"/>
  <c r="F70" i="57"/>
  <c r="F71" i="57"/>
  <c r="F72" i="57"/>
  <c r="F73" i="57"/>
  <c r="F75" i="57"/>
  <c r="F76" i="57"/>
  <c r="F77" i="57"/>
  <c r="F80" i="57"/>
  <c r="F81" i="57"/>
  <c r="F83" i="57"/>
  <c r="F84" i="57"/>
  <c r="F85" i="57"/>
  <c r="F88" i="57"/>
  <c r="F89" i="57"/>
  <c r="F92" i="57"/>
  <c r="F96" i="57"/>
  <c r="F97" i="57"/>
  <c r="F100" i="57"/>
  <c r="F101" i="57"/>
  <c r="F102" i="57"/>
  <c r="F103" i="57"/>
  <c r="F104" i="57"/>
  <c r="F105" i="57"/>
  <c r="C124" i="57"/>
  <c r="C135" i="57"/>
  <c r="C134" i="57" s="1"/>
  <c r="C128" i="57"/>
  <c r="C121" i="57"/>
  <c r="C118" i="57"/>
  <c r="C114" i="57"/>
  <c r="C107" i="57"/>
  <c r="C103" i="57"/>
  <c r="C99" i="57" s="1"/>
  <c r="C87" i="57"/>
  <c r="C82" i="57"/>
  <c r="C68" i="57"/>
  <c r="C62" i="57" s="1"/>
  <c r="C78" i="57"/>
  <c r="C74" i="57" s="1"/>
  <c r="C58" i="57"/>
  <c r="C55" i="57"/>
  <c r="C53" i="57"/>
  <c r="C48" i="57"/>
  <c r="C43" i="57"/>
  <c r="C37" i="57"/>
  <c r="C32" i="57"/>
  <c r="C30" i="57"/>
  <c r="C12" i="57"/>
  <c r="C11" i="57" s="1"/>
  <c r="C7" i="57"/>
  <c r="F73" i="36"/>
  <c r="F74" i="36"/>
  <c r="F80" i="36"/>
  <c r="F84" i="36"/>
  <c r="F86" i="36"/>
  <c r="F88" i="36"/>
  <c r="F89" i="36"/>
  <c r="F11" i="36"/>
  <c r="F12" i="36"/>
  <c r="F13" i="36"/>
  <c r="F14" i="36"/>
  <c r="F15" i="36"/>
  <c r="F16" i="36"/>
  <c r="F18" i="36"/>
  <c r="F19" i="36"/>
  <c r="F20" i="36"/>
  <c r="F21" i="36"/>
  <c r="F22" i="36"/>
  <c r="F24" i="36"/>
  <c r="F25" i="36"/>
  <c r="F26" i="36"/>
  <c r="F27" i="36"/>
  <c r="F28" i="36"/>
  <c r="F29" i="36"/>
  <c r="F31" i="36"/>
  <c r="F32" i="36"/>
  <c r="F33" i="36"/>
  <c r="F34" i="36"/>
  <c r="F35" i="36"/>
  <c r="F36" i="36"/>
  <c r="F37" i="36"/>
  <c r="F38" i="36"/>
  <c r="F39" i="36"/>
  <c r="F40" i="36"/>
  <c r="F42" i="36"/>
  <c r="F43" i="36"/>
  <c r="F44" i="36"/>
  <c r="F45" i="36"/>
  <c r="F46" i="36"/>
  <c r="F48" i="36"/>
  <c r="F49" i="36"/>
  <c r="F50" i="36"/>
  <c r="F52" i="36"/>
  <c r="F53" i="36"/>
  <c r="F54" i="36"/>
  <c r="K125" i="57" l="1"/>
  <c r="C130" i="81" s="1"/>
  <c r="D22" i="80" s="1"/>
  <c r="AI107" i="82"/>
  <c r="BY107" i="82" s="1"/>
  <c r="BY105" i="82"/>
  <c r="D68" i="83"/>
  <c r="Y68" i="83" s="1"/>
  <c r="Y65" i="83"/>
  <c r="D39" i="83"/>
  <c r="Y39" i="83" s="1"/>
  <c r="K48" i="83"/>
  <c r="K77" i="83" s="1"/>
  <c r="K84" i="83" s="1"/>
  <c r="C106" i="82"/>
  <c r="C106" i="57"/>
  <c r="D30" i="83"/>
  <c r="Y30" i="83" s="1"/>
  <c r="Y81" i="83"/>
  <c r="D134" i="81" s="1"/>
  <c r="Y27" i="83"/>
  <c r="Y29" i="83" s="1"/>
  <c r="Y31" i="83"/>
  <c r="Y42" i="83"/>
  <c r="Y11" i="83"/>
  <c r="Y26" i="83" s="1"/>
  <c r="B10" i="39"/>
  <c r="B9" i="39" s="1"/>
  <c r="B36" i="39"/>
  <c r="C47" i="58"/>
  <c r="C46" i="58" s="1"/>
  <c r="C107" i="58" s="1"/>
  <c r="C8" i="58"/>
  <c r="C45" i="58" s="1"/>
  <c r="C117" i="57"/>
  <c r="C140" i="57" s="1"/>
  <c r="C47" i="57"/>
  <c r="C28" i="57"/>
  <c r="C26" i="57" s="1"/>
  <c r="C67" i="36"/>
  <c r="C66" i="36" s="1"/>
  <c r="C83" i="36"/>
  <c r="C82" i="36" s="1"/>
  <c r="C81" i="36"/>
  <c r="C79" i="36"/>
  <c r="C64" i="36"/>
  <c r="C98" i="81" l="1"/>
  <c r="F98" i="81" s="1"/>
  <c r="F130" i="81"/>
  <c r="D14" i="80"/>
  <c r="J22" i="80"/>
  <c r="O22" i="80" s="1"/>
  <c r="Y48" i="83"/>
  <c r="D77" i="83"/>
  <c r="Y77" i="83" s="1"/>
  <c r="D110" i="81"/>
  <c r="D120" i="57"/>
  <c r="D118" i="81"/>
  <c r="D123" i="57"/>
  <c r="K80" i="83"/>
  <c r="D84" i="83"/>
  <c r="D80" i="83"/>
  <c r="B66" i="39"/>
  <c r="C104" i="82" s="1"/>
  <c r="C10" i="57"/>
  <c r="C9" i="57" s="1"/>
  <c r="C8" i="57" s="1"/>
  <c r="C116" i="57" s="1"/>
  <c r="C75" i="36"/>
  <c r="C65" i="36" s="1"/>
  <c r="C90" i="36" s="1"/>
  <c r="D57" i="80" l="1"/>
  <c r="J14" i="80"/>
  <c r="D126" i="57"/>
  <c r="Y80" i="83"/>
  <c r="Y84" i="83" s="1"/>
  <c r="D126" i="81"/>
  <c r="O14" i="80" l="1"/>
  <c r="O57" i="80" s="1"/>
  <c r="J57" i="80"/>
  <c r="BP91" i="82"/>
  <c r="AG91" i="82"/>
  <c r="AG53" i="82"/>
  <c r="AG82" i="82"/>
  <c r="AG93" i="82"/>
  <c r="BP99" i="82"/>
  <c r="G63" i="58"/>
  <c r="F63" i="58" l="1"/>
  <c r="H63" i="58"/>
  <c r="F69" i="82"/>
  <c r="BI65" i="82"/>
  <c r="AN93" i="82"/>
  <c r="AN82" i="82"/>
  <c r="G98" i="57" l="1"/>
  <c r="H98" i="57" s="1"/>
  <c r="G62" i="58"/>
  <c r="G58" i="58"/>
  <c r="H58" i="58" s="1"/>
  <c r="F48" i="39"/>
  <c r="AG89" i="82"/>
  <c r="F60" i="82"/>
  <c r="M17" i="83"/>
  <c r="F16" i="83"/>
  <c r="BP93" i="82"/>
  <c r="BP82" i="82"/>
  <c r="BI92" i="82"/>
  <c r="BI89" i="82"/>
  <c r="BI62" i="82"/>
  <c r="BI49" i="82" s="1"/>
  <c r="AG99" i="82"/>
  <c r="AG78" i="82"/>
  <c r="F99" i="82"/>
  <c r="F95" i="82"/>
  <c r="F93" i="82"/>
  <c r="F89" i="82"/>
  <c r="F82" i="82"/>
  <c r="F67" i="82"/>
  <c r="F58" i="82"/>
  <c r="BP46" i="82"/>
  <c r="BP39" i="82"/>
  <c r="BI46" i="82"/>
  <c r="BI43" i="82"/>
  <c r="AG52" i="82"/>
  <c r="AG46" i="82"/>
  <c r="Z53" i="82"/>
  <c r="Z49" i="82" s="1"/>
  <c r="Z47" i="82"/>
  <c r="Z46" i="82" s="1"/>
  <c r="Z39" i="82"/>
  <c r="F52" i="82"/>
  <c r="F47" i="82"/>
  <c r="F46" i="82" s="1"/>
  <c r="BP35" i="82"/>
  <c r="BP33" i="82"/>
  <c r="BI35" i="82"/>
  <c r="BI33" i="82"/>
  <c r="AG33" i="82"/>
  <c r="F35" i="82"/>
  <c r="F33" i="82"/>
  <c r="BP30" i="82"/>
  <c r="BP20" i="82" s="1"/>
  <c r="BP17" i="82"/>
  <c r="BI28" i="82"/>
  <c r="BI20" i="82" s="1"/>
  <c r="BI17" i="82"/>
  <c r="AN20" i="82"/>
  <c r="AN17" i="82"/>
  <c r="AG17" i="82"/>
  <c r="Z28" i="82"/>
  <c r="F29" i="82"/>
  <c r="F25" i="82"/>
  <c r="F23" i="82"/>
  <c r="F22" i="82"/>
  <c r="F21" i="82"/>
  <c r="G93" i="57"/>
  <c r="H93" i="57" s="1"/>
  <c r="AA89" i="83"/>
  <c r="M63" i="83"/>
  <c r="F81" i="83"/>
  <c r="F73" i="83"/>
  <c r="F68" i="83" s="1"/>
  <c r="F65" i="83"/>
  <c r="F60" i="83"/>
  <c r="F59" i="83"/>
  <c r="F53" i="83"/>
  <c r="F52" i="83"/>
  <c r="F50" i="83"/>
  <c r="F44" i="83"/>
  <c r="F43" i="83"/>
  <c r="AA43" i="83" s="1"/>
  <c r="F42" i="83"/>
  <c r="F41" i="83"/>
  <c r="F33" i="83"/>
  <c r="F31" i="83"/>
  <c r="M27" i="83"/>
  <c r="M29" i="83" s="1"/>
  <c r="M19" i="83"/>
  <c r="M16" i="83"/>
  <c r="M11" i="83"/>
  <c r="F27" i="83"/>
  <c r="F20" i="83"/>
  <c r="F19" i="83"/>
  <c r="F13" i="83"/>
  <c r="F12" i="83"/>
  <c r="F11" i="83"/>
  <c r="I30" i="99"/>
  <c r="I14" i="99"/>
  <c r="I58" i="99" s="1"/>
  <c r="I17" i="99"/>
  <c r="I61" i="99" s="1"/>
  <c r="K13" i="99"/>
  <c r="K57" i="99" s="1"/>
  <c r="E13" i="99"/>
  <c r="C13" i="99"/>
  <c r="M2" i="99"/>
  <c r="C11" i="99"/>
  <c r="E11" i="99"/>
  <c r="K11" i="99"/>
  <c r="C12" i="99"/>
  <c r="E12" i="99"/>
  <c r="K12" i="99"/>
  <c r="K56" i="99" s="1"/>
  <c r="C14" i="99"/>
  <c r="B16" i="99"/>
  <c r="C16" i="99"/>
  <c r="D16" i="99"/>
  <c r="E16" i="99"/>
  <c r="F16" i="99"/>
  <c r="H16" i="99"/>
  <c r="H60" i="99" s="1"/>
  <c r="J16" i="99"/>
  <c r="J60" i="99" s="1"/>
  <c r="K16" i="99"/>
  <c r="C17" i="99"/>
  <c r="D14" i="99"/>
  <c r="G24" i="99"/>
  <c r="L24" i="99"/>
  <c r="D25" i="99"/>
  <c r="D17" i="99" s="1"/>
  <c r="E25" i="99"/>
  <c r="E17" i="99" s="1"/>
  <c r="G26" i="99"/>
  <c r="L26" i="99"/>
  <c r="G28" i="99"/>
  <c r="G29" i="99"/>
  <c r="I29" i="99"/>
  <c r="L29" i="99" s="1"/>
  <c r="G30" i="99"/>
  <c r="G31" i="99"/>
  <c r="G33" i="99"/>
  <c r="A34" i="99"/>
  <c r="G34" i="99"/>
  <c r="A35" i="99"/>
  <c r="G35" i="99"/>
  <c r="L35" i="99"/>
  <c r="D37" i="99"/>
  <c r="D38" i="99"/>
  <c r="D39" i="99"/>
  <c r="D40" i="99"/>
  <c r="D42" i="99"/>
  <c r="D43" i="99"/>
  <c r="A45" i="99"/>
  <c r="A46" i="99"/>
  <c r="A47" i="99"/>
  <c r="A48" i="99"/>
  <c r="C50" i="99"/>
  <c r="C42" i="99" s="1"/>
  <c r="E50" i="99"/>
  <c r="F50" i="99"/>
  <c r="F42" i="99" s="1"/>
  <c r="A51" i="99"/>
  <c r="A52" i="99"/>
  <c r="G52" i="99"/>
  <c r="M52" i="99" s="1"/>
  <c r="G53" i="99"/>
  <c r="M53" i="99" s="1"/>
  <c r="K55" i="99"/>
  <c r="K60" i="99"/>
  <c r="F57" i="39"/>
  <c r="G57" i="39" s="1"/>
  <c r="F18" i="39"/>
  <c r="G18" i="39" s="1"/>
  <c r="F16" i="39"/>
  <c r="G16" i="39" s="1"/>
  <c r="F13" i="39"/>
  <c r="G13" i="39" s="1"/>
  <c r="G102" i="58"/>
  <c r="H102" i="58" s="1"/>
  <c r="G99" i="58"/>
  <c r="H99" i="58" s="1"/>
  <c r="G80" i="58"/>
  <c r="H80" i="58" s="1"/>
  <c r="G74" i="58"/>
  <c r="H74" i="58" s="1"/>
  <c r="G64" i="58"/>
  <c r="H64" i="58" s="1"/>
  <c r="G57" i="58"/>
  <c r="H57" i="58" s="1"/>
  <c r="G56" i="58"/>
  <c r="H56" i="58" s="1"/>
  <c r="G49" i="58"/>
  <c r="H49" i="58" s="1"/>
  <c r="G43" i="58"/>
  <c r="H43" i="58" s="1"/>
  <c r="G42" i="58"/>
  <c r="H42" i="58" s="1"/>
  <c r="G41" i="58"/>
  <c r="H41" i="58" s="1"/>
  <c r="G40" i="58"/>
  <c r="H40" i="58" s="1"/>
  <c r="G34" i="58"/>
  <c r="H34" i="58" s="1"/>
  <c r="G28" i="58"/>
  <c r="H28" i="58" s="1"/>
  <c r="G23" i="58"/>
  <c r="H23" i="58" s="1"/>
  <c r="G14" i="58"/>
  <c r="H14" i="58" s="1"/>
  <c r="G114" i="57"/>
  <c r="H114" i="57" s="1"/>
  <c r="G112" i="57"/>
  <c r="H112" i="57" s="1"/>
  <c r="G108" i="57"/>
  <c r="H108" i="57" s="1"/>
  <c r="G99" i="57"/>
  <c r="H99" i="57" s="1"/>
  <c r="G95" i="57"/>
  <c r="H95" i="57" s="1"/>
  <c r="G94" i="57"/>
  <c r="H94" i="57" s="1"/>
  <c r="G91" i="57"/>
  <c r="H91" i="57" s="1"/>
  <c r="G90" i="57"/>
  <c r="H90" i="57" s="1"/>
  <c r="G82" i="57"/>
  <c r="H82" i="57" s="1"/>
  <c r="G79" i="57"/>
  <c r="H79" i="57" s="1"/>
  <c r="G64" i="57"/>
  <c r="H64" i="57" s="1"/>
  <c r="G60" i="57"/>
  <c r="H60" i="57" s="1"/>
  <c r="G59" i="57"/>
  <c r="H59" i="57" s="1"/>
  <c r="G57" i="57"/>
  <c r="H57" i="57" s="1"/>
  <c r="G54" i="57"/>
  <c r="H54" i="57" s="1"/>
  <c r="G49" i="57"/>
  <c r="H49" i="57" s="1"/>
  <c r="G48" i="57"/>
  <c r="H48" i="57" s="1"/>
  <c r="G46" i="57"/>
  <c r="H46" i="57" s="1"/>
  <c r="G38" i="57"/>
  <c r="H38" i="57" s="1"/>
  <c r="G32" i="57"/>
  <c r="H32" i="57" s="1"/>
  <c r="G30" i="57"/>
  <c r="H30" i="57" s="1"/>
  <c r="F12" i="39"/>
  <c r="G12" i="39" s="1"/>
  <c r="G23" i="57"/>
  <c r="H23" i="57" s="1"/>
  <c r="G17" i="57"/>
  <c r="H17" i="57" s="1"/>
  <c r="G14" i="57"/>
  <c r="H14" i="57" s="1"/>
  <c r="G13" i="57"/>
  <c r="H13" i="57" s="1"/>
  <c r="E27" i="83"/>
  <c r="L27" i="83"/>
  <c r="E11" i="83"/>
  <c r="L11" i="83"/>
  <c r="M24" i="99" l="1"/>
  <c r="E48" i="39"/>
  <c r="G48" i="39"/>
  <c r="F62" i="58"/>
  <c r="H62" i="58"/>
  <c r="G78" i="57"/>
  <c r="H78" i="57" s="1"/>
  <c r="F92" i="82"/>
  <c r="G28" i="57"/>
  <c r="H28" i="57" s="1"/>
  <c r="G53" i="57"/>
  <c r="H53" i="57" s="1"/>
  <c r="D21" i="99"/>
  <c r="D13" i="99" s="1"/>
  <c r="D57" i="99" s="1"/>
  <c r="G62" i="57"/>
  <c r="H62" i="57" s="1"/>
  <c r="F15" i="39"/>
  <c r="G15" i="39" s="1"/>
  <c r="G55" i="57"/>
  <c r="H55" i="57" s="1"/>
  <c r="G107" i="57"/>
  <c r="H107" i="57" s="1"/>
  <c r="G37" i="57"/>
  <c r="H37" i="57" s="1"/>
  <c r="G58" i="57"/>
  <c r="H58" i="57" s="1"/>
  <c r="G43" i="57"/>
  <c r="H43" i="57" s="1"/>
  <c r="G13" i="58"/>
  <c r="H13" i="58" s="1"/>
  <c r="G109" i="57"/>
  <c r="H109" i="57" s="1"/>
  <c r="G79" i="58"/>
  <c r="H79" i="58" s="1"/>
  <c r="G94" i="58"/>
  <c r="H94" i="58" s="1"/>
  <c r="G101" i="58"/>
  <c r="H101" i="58" s="1"/>
  <c r="G39" i="58"/>
  <c r="H39" i="58" s="1"/>
  <c r="I21" i="99"/>
  <c r="I13" i="99" s="1"/>
  <c r="I57" i="99" s="1"/>
  <c r="F39" i="83"/>
  <c r="F48" i="83"/>
  <c r="M26" i="99"/>
  <c r="G16" i="99"/>
  <c r="D60" i="99"/>
  <c r="G12" i="57"/>
  <c r="H12" i="57" s="1"/>
  <c r="G74" i="57"/>
  <c r="H74" i="57" s="1"/>
  <c r="F14" i="39"/>
  <c r="G14" i="39" s="1"/>
  <c r="F49" i="82"/>
  <c r="G54" i="58"/>
  <c r="H54" i="58" s="1"/>
  <c r="M26" i="83"/>
  <c r="F26" i="83"/>
  <c r="G87" i="57"/>
  <c r="H87" i="57" s="1"/>
  <c r="E42" i="99"/>
  <c r="E60" i="99" s="1"/>
  <c r="L30" i="99"/>
  <c r="M30" i="99" s="1"/>
  <c r="M35" i="99"/>
  <c r="F60" i="99"/>
  <c r="D61" i="99"/>
  <c r="M29" i="99"/>
  <c r="D58" i="99"/>
  <c r="C60" i="99"/>
  <c r="E14" i="99"/>
  <c r="G106" i="57"/>
  <c r="H106" i="57" s="1"/>
  <c r="E69" i="82"/>
  <c r="AF53" i="82"/>
  <c r="AF69" i="82"/>
  <c r="G73" i="58" l="1"/>
  <c r="H73" i="58" s="1"/>
  <c r="G8" i="58"/>
  <c r="H8" i="58" s="1"/>
  <c r="G38" i="58"/>
  <c r="H38" i="58" s="1"/>
  <c r="G47" i="57"/>
  <c r="H47" i="57" s="1"/>
  <c r="G26" i="57"/>
  <c r="H26" i="57" s="1"/>
  <c r="G48" i="58"/>
  <c r="H48" i="58" s="1"/>
  <c r="H21" i="99"/>
  <c r="H13" i="99" s="1"/>
  <c r="H57" i="99" s="1"/>
  <c r="G11" i="57"/>
  <c r="H11" i="57" s="1"/>
  <c r="G10" i="57" l="1"/>
  <c r="E132" i="57"/>
  <c r="F132" i="57" s="1"/>
  <c r="E47" i="82"/>
  <c r="AF17" i="82"/>
  <c r="BO17" i="82"/>
  <c r="BH17" i="82"/>
  <c r="AM17" i="82"/>
  <c r="E22" i="82"/>
  <c r="E21" i="82"/>
  <c r="E29" i="82"/>
  <c r="G9" i="57" l="1"/>
  <c r="H9" i="57" s="1"/>
  <c r="H10" i="57"/>
  <c r="G8" i="57"/>
  <c r="H8" i="57" s="1"/>
  <c r="E130" i="57"/>
  <c r="F130" i="57" s="1"/>
  <c r="Y28" i="82"/>
  <c r="AF99" i="82" l="1"/>
  <c r="E80" i="58"/>
  <c r="F80" i="58" s="1"/>
  <c r="E64" i="58"/>
  <c r="F64" i="58" s="1"/>
  <c r="E14" i="58"/>
  <c r="F14" i="58" s="1"/>
  <c r="D14" i="58"/>
  <c r="AF93" i="82" l="1"/>
  <c r="BO93" i="82"/>
  <c r="BO82" i="82"/>
  <c r="R52" i="82"/>
  <c r="BO39" i="82"/>
  <c r="E35" i="82"/>
  <c r="E33" i="82"/>
  <c r="BO30" i="82"/>
  <c r="D57" i="39"/>
  <c r="E57" i="39" s="1"/>
  <c r="AF78" i="82"/>
  <c r="BH43" i="82"/>
  <c r="Y53" i="82"/>
  <c r="Y39" i="82"/>
  <c r="E82" i="82"/>
  <c r="E52" i="82"/>
  <c r="Y47" i="82"/>
  <c r="E93" i="82"/>
  <c r="BH28" i="82"/>
  <c r="E23" i="82"/>
  <c r="BO35" i="82"/>
  <c r="BO33" i="82"/>
  <c r="BH33" i="82"/>
  <c r="BH35" i="82"/>
  <c r="AF33" i="82"/>
  <c r="E25" i="82"/>
  <c r="BT29" i="82" l="1"/>
  <c r="BV29" i="82"/>
  <c r="BW29" i="82"/>
  <c r="BX29" i="82"/>
  <c r="E57" i="58"/>
  <c r="F57" i="58" s="1"/>
  <c r="E60" i="57" l="1"/>
  <c r="F60" i="57" s="1"/>
  <c r="E46" i="57"/>
  <c r="F46" i="57" s="1"/>
  <c r="E59" i="57"/>
  <c r="F59" i="57" s="1"/>
  <c r="D16" i="39"/>
  <c r="E16" i="39" s="1"/>
  <c r="E57" i="57"/>
  <c r="F57" i="57" s="1"/>
  <c r="E54" i="57"/>
  <c r="F54" i="57" s="1"/>
  <c r="E25" i="57"/>
  <c r="E23" i="57"/>
  <c r="F23" i="57" s="1"/>
  <c r="Z89" i="83"/>
  <c r="E13" i="57"/>
  <c r="F13" i="57" s="1"/>
  <c r="E63" i="83"/>
  <c r="E41" i="83"/>
  <c r="E43" i="83"/>
  <c r="E52" i="83"/>
  <c r="E53" i="83"/>
  <c r="E59" i="83"/>
  <c r="E60" i="83"/>
  <c r="L63" i="83"/>
  <c r="E12" i="83"/>
  <c r="L16" i="83"/>
  <c r="E16" i="83"/>
  <c r="E19" i="83"/>
  <c r="L19" i="83"/>
  <c r="E20" i="83"/>
  <c r="E13" i="83"/>
  <c r="D12" i="39" l="1"/>
  <c r="E12" i="39" s="1"/>
  <c r="F25" i="57"/>
  <c r="Z43" i="83"/>
  <c r="E49" i="57"/>
  <c r="F49" i="57" s="1"/>
  <c r="E29" i="83"/>
  <c r="L26" i="83"/>
  <c r="L87" i="36"/>
  <c r="M87" i="36" s="1"/>
  <c r="L85" i="36"/>
  <c r="M85" i="36" s="1"/>
  <c r="L79" i="36"/>
  <c r="M79" i="36" s="1"/>
  <c r="I87" i="36"/>
  <c r="J87" i="36" s="1"/>
  <c r="I85" i="36"/>
  <c r="J85" i="36" s="1"/>
  <c r="I79" i="36"/>
  <c r="J79" i="36" s="1"/>
  <c r="G87" i="36"/>
  <c r="G85" i="36"/>
  <c r="G79" i="36"/>
  <c r="E87" i="36"/>
  <c r="E85" i="36"/>
  <c r="E79" i="36"/>
  <c r="BV84" i="82"/>
  <c r="BW84" i="82"/>
  <c r="BX84" i="82"/>
  <c r="BV85" i="82"/>
  <c r="BW85" i="82"/>
  <c r="BX85" i="82"/>
  <c r="BV86" i="82"/>
  <c r="BW86" i="82"/>
  <c r="BX86" i="82"/>
  <c r="BV23" i="82"/>
  <c r="BW23" i="82"/>
  <c r="BX23" i="82"/>
  <c r="BV14" i="82"/>
  <c r="BW14" i="82"/>
  <c r="BX14" i="82"/>
  <c r="BP92" i="82"/>
  <c r="BP89" i="82"/>
  <c r="BP66" i="82"/>
  <c r="BP49" i="82" s="1"/>
  <c r="BP37" i="82"/>
  <c r="BP36" i="82"/>
  <c r="BO92" i="82"/>
  <c r="BO89" i="82"/>
  <c r="BO49" i="82"/>
  <c r="BO46" i="82"/>
  <c r="BO37" i="82"/>
  <c r="BO36" i="82"/>
  <c r="BO20" i="82"/>
  <c r="BI37" i="82"/>
  <c r="BI36" i="82"/>
  <c r="BH92" i="82"/>
  <c r="BH89" i="82"/>
  <c r="BH62" i="82"/>
  <c r="BH49" i="82" s="1"/>
  <c r="BH46" i="82"/>
  <c r="BH37" i="82"/>
  <c r="BH36" i="82"/>
  <c r="BH20" i="82"/>
  <c r="AN92" i="82"/>
  <c r="AN89" i="82"/>
  <c r="AN49" i="82"/>
  <c r="AN46" i="82"/>
  <c r="AN37" i="82"/>
  <c r="AN36" i="82"/>
  <c r="AM92" i="82"/>
  <c r="AM89" i="82"/>
  <c r="AM49" i="82"/>
  <c r="AM46" i="82"/>
  <c r="AM37" i="82"/>
  <c r="AM36" i="82"/>
  <c r="AM20" i="82"/>
  <c r="AG37" i="82"/>
  <c r="AG36" i="82"/>
  <c r="AG20" i="82"/>
  <c r="AF89" i="82"/>
  <c r="AF52" i="82"/>
  <c r="AF46" i="82"/>
  <c r="AF37" i="82"/>
  <c r="AF36" i="82"/>
  <c r="AF20" i="82"/>
  <c r="Z92" i="82"/>
  <c r="Z89" i="82"/>
  <c r="Z37" i="82"/>
  <c r="Z33" i="82"/>
  <c r="Z36" i="82" s="1"/>
  <c r="Z20" i="82"/>
  <c r="Y92" i="82"/>
  <c r="Y89" i="82"/>
  <c r="Y49" i="82"/>
  <c r="Y46" i="82"/>
  <c r="Y37" i="82"/>
  <c r="Y33" i="82"/>
  <c r="Y36" i="82" s="1"/>
  <c r="Y20" i="82"/>
  <c r="S92" i="82"/>
  <c r="S89" i="82"/>
  <c r="S49" i="82"/>
  <c r="S46" i="82"/>
  <c r="S37" i="82"/>
  <c r="S36" i="82"/>
  <c r="S20" i="82"/>
  <c r="R92" i="82"/>
  <c r="R89" i="82"/>
  <c r="R49" i="82"/>
  <c r="R46" i="82"/>
  <c r="R37" i="82"/>
  <c r="R36" i="82"/>
  <c r="R20" i="82"/>
  <c r="F37" i="82"/>
  <c r="F36" i="82"/>
  <c r="F20" i="82"/>
  <c r="E99" i="82"/>
  <c r="E95" i="82"/>
  <c r="E89" i="82"/>
  <c r="E67" i="82"/>
  <c r="E58" i="82"/>
  <c r="E46" i="82"/>
  <c r="E37" i="82"/>
  <c r="E36" i="82"/>
  <c r="E20" i="82"/>
  <c r="H72" i="39"/>
  <c r="F72" i="39"/>
  <c r="F55" i="39"/>
  <c r="G55" i="39" s="1"/>
  <c r="F53" i="39"/>
  <c r="G53" i="39" s="1"/>
  <c r="F33" i="39"/>
  <c r="D72" i="39"/>
  <c r="D55" i="39"/>
  <c r="D53" i="39"/>
  <c r="D33" i="39"/>
  <c r="D18" i="39"/>
  <c r="E18" i="39" s="1"/>
  <c r="D13" i="39"/>
  <c r="E13" i="39" s="1"/>
  <c r="AB92" i="83"/>
  <c r="AA92" i="83"/>
  <c r="Z92" i="83"/>
  <c r="Z90" i="83"/>
  <c r="Z15" i="83"/>
  <c r="AA15" i="83"/>
  <c r="AB15" i="83"/>
  <c r="Z85" i="83"/>
  <c r="AA85" i="83"/>
  <c r="AB85" i="83"/>
  <c r="M81" i="83"/>
  <c r="M68" i="83"/>
  <c r="M65" i="83"/>
  <c r="M48" i="83"/>
  <c r="M39" i="83"/>
  <c r="M30" i="83"/>
  <c r="L81" i="83"/>
  <c r="L68" i="83"/>
  <c r="L65" i="83"/>
  <c r="L48" i="83"/>
  <c r="L39" i="83"/>
  <c r="L30" i="83"/>
  <c r="L29" i="83"/>
  <c r="F30" i="83"/>
  <c r="F77" i="83" s="1"/>
  <c r="F29" i="83"/>
  <c r="E81" i="83"/>
  <c r="E73" i="83"/>
  <c r="E68" i="83" s="1"/>
  <c r="E65" i="83"/>
  <c r="E50" i="83"/>
  <c r="E48" i="83" s="1"/>
  <c r="E44" i="83"/>
  <c r="E42" i="83"/>
  <c r="E33" i="83"/>
  <c r="E31" i="83"/>
  <c r="E26" i="83"/>
  <c r="E102" i="58"/>
  <c r="E99" i="58"/>
  <c r="E79" i="58"/>
  <c r="F79" i="58" s="1"/>
  <c r="E74" i="58"/>
  <c r="F74" i="58" s="1"/>
  <c r="E58" i="58"/>
  <c r="F58" i="58" s="1"/>
  <c r="E56" i="58"/>
  <c r="F56" i="58" s="1"/>
  <c r="E49" i="58"/>
  <c r="F49" i="58" s="1"/>
  <c r="K17" i="99"/>
  <c r="K61" i="99" s="1"/>
  <c r="K14" i="99"/>
  <c r="K58" i="99" s="1"/>
  <c r="E43" i="58"/>
  <c r="F43" i="58" s="1"/>
  <c r="E42" i="58"/>
  <c r="F42" i="58" s="1"/>
  <c r="E41" i="58"/>
  <c r="F41" i="58" s="1"/>
  <c r="E40" i="58"/>
  <c r="E34" i="58"/>
  <c r="F34" i="58" s="1"/>
  <c r="E28" i="58"/>
  <c r="F28" i="58" s="1"/>
  <c r="E23" i="58"/>
  <c r="G135" i="57"/>
  <c r="H135" i="57" s="1"/>
  <c r="G131" i="57"/>
  <c r="E135" i="57"/>
  <c r="E134" i="57" s="1"/>
  <c r="E131" i="57"/>
  <c r="AB91" i="83"/>
  <c r="AA91" i="83"/>
  <c r="E114" i="57"/>
  <c r="F114" i="57" s="1"/>
  <c r="E112" i="57"/>
  <c r="F112" i="57" s="1"/>
  <c r="E108" i="57"/>
  <c r="E99" i="57"/>
  <c r="E98" i="57"/>
  <c r="F98" i="57" s="1"/>
  <c r="E95" i="57"/>
  <c r="F95" i="57" s="1"/>
  <c r="E94" i="57"/>
  <c r="F94" i="57" s="1"/>
  <c r="E93" i="57"/>
  <c r="F93" i="57" s="1"/>
  <c r="E91" i="57"/>
  <c r="F91" i="57" s="1"/>
  <c r="E90" i="57"/>
  <c r="F90" i="57" s="1"/>
  <c r="E86" i="57"/>
  <c r="F86" i="57" s="1"/>
  <c r="E82" i="57"/>
  <c r="F82" i="57" s="1"/>
  <c r="E79" i="57"/>
  <c r="F79" i="57" s="1"/>
  <c r="E65" i="57"/>
  <c r="E64" i="57"/>
  <c r="F64" i="57" s="1"/>
  <c r="E58" i="57"/>
  <c r="F58" i="57" s="1"/>
  <c r="E55" i="57"/>
  <c r="F55" i="57" s="1"/>
  <c r="E53" i="57"/>
  <c r="F53" i="57" s="1"/>
  <c r="E43" i="57"/>
  <c r="F43" i="57" s="1"/>
  <c r="E38" i="57"/>
  <c r="E32" i="57"/>
  <c r="F32" i="57" s="1"/>
  <c r="E30" i="57"/>
  <c r="F30" i="57" s="1"/>
  <c r="E17" i="57"/>
  <c r="F17" i="57" s="1"/>
  <c r="E14" i="57"/>
  <c r="E39" i="83" l="1"/>
  <c r="E33" i="39"/>
  <c r="G33" i="39"/>
  <c r="E109" i="57"/>
  <c r="F109" i="57" s="1"/>
  <c r="H79" i="36"/>
  <c r="E48" i="57"/>
  <c r="F48" i="57" s="1"/>
  <c r="D13" i="81"/>
  <c r="F131" i="57"/>
  <c r="H131" i="57"/>
  <c r="H85" i="36"/>
  <c r="H87" i="36"/>
  <c r="F87" i="36"/>
  <c r="G134" i="57"/>
  <c r="F135" i="57"/>
  <c r="D14" i="39"/>
  <c r="E14" i="39" s="1"/>
  <c r="F38" i="57"/>
  <c r="D20" i="99"/>
  <c r="D12" i="99" s="1"/>
  <c r="D56" i="99" s="1"/>
  <c r="F99" i="57"/>
  <c r="Z91" i="83"/>
  <c r="F65" i="57"/>
  <c r="E107" i="57"/>
  <c r="F107" i="57" s="1"/>
  <c r="F108" i="57"/>
  <c r="F85" i="36"/>
  <c r="E12" i="57"/>
  <c r="D43" i="39"/>
  <c r="D39" i="39" s="1"/>
  <c r="D37" i="39" s="1"/>
  <c r="D36" i="39" s="1"/>
  <c r="F14" i="57"/>
  <c r="E78" i="57"/>
  <c r="F78" i="57" s="1"/>
  <c r="E94" i="58"/>
  <c r="F94" i="58" s="1"/>
  <c r="F99" i="58"/>
  <c r="E39" i="58"/>
  <c r="F39" i="58" s="1"/>
  <c r="F40" i="58"/>
  <c r="E101" i="58"/>
  <c r="F101" i="58" s="1"/>
  <c r="F102" i="58"/>
  <c r="E13" i="58"/>
  <c r="F23" i="58"/>
  <c r="E53" i="39"/>
  <c r="E55" i="39"/>
  <c r="F80" i="83"/>
  <c r="E30" i="83"/>
  <c r="F79" i="36"/>
  <c r="E28" i="57"/>
  <c r="I20" i="99"/>
  <c r="I12" i="99" s="1"/>
  <c r="I56" i="99" s="1"/>
  <c r="I33" i="99"/>
  <c r="L77" i="36"/>
  <c r="M77" i="36" s="1"/>
  <c r="L81" i="36"/>
  <c r="M77" i="83"/>
  <c r="M84" i="83" s="1"/>
  <c r="N84" i="83"/>
  <c r="E101" i="83"/>
  <c r="BI101" i="82"/>
  <c r="G83" i="36"/>
  <c r="E54" i="58"/>
  <c r="I81" i="36"/>
  <c r="J81" i="36" s="1"/>
  <c r="I83" i="36"/>
  <c r="J83" i="36" s="1"/>
  <c r="E87" i="57"/>
  <c r="F87" i="57" s="1"/>
  <c r="E37" i="57"/>
  <c r="F37" i="57" s="1"/>
  <c r="L83" i="36"/>
  <c r="F11" i="39"/>
  <c r="G11" i="39" s="1"/>
  <c r="F43" i="39"/>
  <c r="G43" i="39" s="1"/>
  <c r="E74" i="57"/>
  <c r="F74" i="57" s="1"/>
  <c r="E106" i="57"/>
  <c r="F106" i="57" s="1"/>
  <c r="E83" i="36"/>
  <c r="E82" i="36" s="1"/>
  <c r="E62" i="57"/>
  <c r="F62" i="57" s="1"/>
  <c r="D15" i="39"/>
  <c r="E73" i="58"/>
  <c r="E8" i="58"/>
  <c r="F8" i="58" s="1"/>
  <c r="G77" i="36"/>
  <c r="I77" i="36"/>
  <c r="J77" i="36" s="1"/>
  <c r="E81" i="36"/>
  <c r="E78" i="36" s="1"/>
  <c r="F106" i="82"/>
  <c r="G81" i="36"/>
  <c r="BP101" i="82"/>
  <c r="R101" i="82"/>
  <c r="F101" i="82"/>
  <c r="E92" i="82"/>
  <c r="S101" i="82"/>
  <c r="E49" i="82"/>
  <c r="BH101" i="82"/>
  <c r="AM101" i="82"/>
  <c r="Z101" i="82"/>
  <c r="AN101" i="82"/>
  <c r="E47" i="57"/>
  <c r="G116" i="57"/>
  <c r="H116" i="57" s="1"/>
  <c r="L77" i="83"/>
  <c r="L80" i="83" s="1"/>
  <c r="BO101" i="82"/>
  <c r="Y101" i="82"/>
  <c r="F84" i="83"/>
  <c r="L78" i="36" l="1"/>
  <c r="M81" i="36"/>
  <c r="L82" i="36"/>
  <c r="M83" i="36"/>
  <c r="E77" i="83"/>
  <c r="E84" i="83" s="1"/>
  <c r="E38" i="58"/>
  <c r="F38" i="58" s="1"/>
  <c r="F134" i="57"/>
  <c r="H134" i="57"/>
  <c r="H77" i="36"/>
  <c r="I78" i="36"/>
  <c r="J78" i="36" s="1"/>
  <c r="H81" i="36"/>
  <c r="I82" i="36"/>
  <c r="J82" i="36" s="1"/>
  <c r="H83" i="36"/>
  <c r="E11" i="57"/>
  <c r="F11" i="57" s="1"/>
  <c r="F12" i="57"/>
  <c r="E26" i="57"/>
  <c r="F26" i="57" s="1"/>
  <c r="F28" i="57"/>
  <c r="E10" i="57"/>
  <c r="F10" i="57" s="1"/>
  <c r="F47" i="57"/>
  <c r="E77" i="36"/>
  <c r="F77" i="36" s="1"/>
  <c r="F73" i="58"/>
  <c r="E48" i="58"/>
  <c r="F48" i="58" s="1"/>
  <c r="F54" i="58"/>
  <c r="H20" i="99"/>
  <c r="H12" i="99" s="1"/>
  <c r="H56" i="99" s="1"/>
  <c r="F13" i="58"/>
  <c r="F39" i="39"/>
  <c r="G39" i="39" s="1"/>
  <c r="E43" i="39"/>
  <c r="D11" i="39"/>
  <c r="D10" i="39" s="1"/>
  <c r="D9" i="39" s="1"/>
  <c r="D66" i="39" s="1"/>
  <c r="E15" i="39"/>
  <c r="F10" i="39"/>
  <c r="G10" i="39" s="1"/>
  <c r="G78" i="36"/>
  <c r="F78" i="36" s="1"/>
  <c r="F81" i="36"/>
  <c r="G82" i="36"/>
  <c r="F82" i="36" s="1"/>
  <c r="F83" i="36"/>
  <c r="I16" i="99"/>
  <c r="I60" i="99" s="1"/>
  <c r="L33" i="99"/>
  <c r="H17" i="99"/>
  <c r="H61" i="99" s="1"/>
  <c r="L34" i="99"/>
  <c r="M34" i="99" s="1"/>
  <c r="M80" i="83"/>
  <c r="E101" i="82"/>
  <c r="E106" i="82"/>
  <c r="L84" i="83"/>
  <c r="E80" i="83"/>
  <c r="D130" i="57"/>
  <c r="B10" i="52"/>
  <c r="C8" i="52"/>
  <c r="B8" i="52"/>
  <c r="D8" i="52"/>
  <c r="D15" i="52" s="1"/>
  <c r="H12" i="105" l="1"/>
  <c r="I12" i="105" s="1"/>
  <c r="M82" i="36"/>
  <c r="I66" i="39"/>
  <c r="G104" i="82" s="1"/>
  <c r="G105" i="82" s="1"/>
  <c r="G107" i="82" s="1"/>
  <c r="F21" i="80"/>
  <c r="H78" i="36"/>
  <c r="H82" i="36"/>
  <c r="E9" i="57"/>
  <c r="F19" i="80"/>
  <c r="E104" i="82"/>
  <c r="E11" i="39"/>
  <c r="F37" i="39"/>
  <c r="G37" i="39" s="1"/>
  <c r="E39" i="39"/>
  <c r="L129" i="57"/>
  <c r="M129" i="57" s="1"/>
  <c r="F9" i="39"/>
  <c r="G9" i="39" s="1"/>
  <c r="E10" i="39"/>
  <c r="H14" i="99"/>
  <c r="H58" i="99" s="1"/>
  <c r="L31" i="99"/>
  <c r="M31" i="99" s="1"/>
  <c r="M33" i="99"/>
  <c r="L16" i="99"/>
  <c r="E129" i="57"/>
  <c r="C151" i="81" s="1"/>
  <c r="B15" i="52"/>
  <c r="L128" i="57" l="1"/>
  <c r="M128" i="57" s="1"/>
  <c r="C156" i="81"/>
  <c r="C153" i="81"/>
  <c r="J129" i="57"/>
  <c r="E8" i="57"/>
  <c r="F9" i="57"/>
  <c r="F36" i="39"/>
  <c r="E37" i="39"/>
  <c r="L72" i="36"/>
  <c r="M72" i="36" s="1"/>
  <c r="E9" i="39"/>
  <c r="L60" i="99"/>
  <c r="M16" i="99"/>
  <c r="E128" i="57"/>
  <c r="E72" i="36" s="1"/>
  <c r="D95" i="57"/>
  <c r="BT86" i="82"/>
  <c r="BT87" i="82"/>
  <c r="BT88" i="82"/>
  <c r="I72" i="36" l="1"/>
  <c r="J72" i="36" s="1"/>
  <c r="J128" i="57"/>
  <c r="E36" i="39"/>
  <c r="G36" i="39"/>
  <c r="F66" i="39"/>
  <c r="E116" i="57"/>
  <c r="F116" i="57" s="1"/>
  <c r="F8" i="57"/>
  <c r="G129" i="57" l="1"/>
  <c r="H129" i="57" s="1"/>
  <c r="G66" i="39"/>
  <c r="F20" i="80"/>
  <c r="E66" i="39"/>
  <c r="F104" i="82"/>
  <c r="BT85" i="82"/>
  <c r="D79" i="57"/>
  <c r="C152" i="81" l="1"/>
  <c r="G128" i="57"/>
  <c r="H128" i="57" s="1"/>
  <c r="F129" i="57"/>
  <c r="D131" i="57"/>
  <c r="D64" i="57"/>
  <c r="D108" i="57"/>
  <c r="F128" i="57" l="1"/>
  <c r="G72" i="36"/>
  <c r="F72" i="36"/>
  <c r="H72" i="36"/>
  <c r="D93" i="57"/>
  <c r="D91" i="57"/>
  <c r="D40" i="58" l="1"/>
  <c r="J19" i="99" s="1"/>
  <c r="J11" i="99" s="1"/>
  <c r="J55" i="99" s="1"/>
  <c r="X15" i="83" l="1"/>
  <c r="D90" i="57" l="1"/>
  <c r="D86" i="57" l="1"/>
  <c r="C12" i="39" l="1"/>
  <c r="D94" i="57"/>
  <c r="D98" i="57" l="1"/>
  <c r="Y90" i="83"/>
  <c r="D23" i="58" l="1"/>
  <c r="BT23" i="82" l="1"/>
  <c r="BT24" i="82"/>
  <c r="BT14" i="82" l="1"/>
  <c r="D58" i="58" l="1"/>
  <c r="J101" i="83" l="1"/>
  <c r="X43" i="83"/>
  <c r="D48" i="57"/>
  <c r="D53" i="57"/>
  <c r="D55" i="57"/>
  <c r="D58" i="57"/>
  <c r="C101" i="83" l="1"/>
  <c r="D47" i="57"/>
  <c r="C16" i="39"/>
  <c r="D56" i="58" l="1"/>
  <c r="E28" i="52" l="1"/>
  <c r="X51" i="83"/>
  <c r="X52" i="83"/>
  <c r="C13" i="39" l="1"/>
  <c r="D65" i="57"/>
  <c r="D62" i="57" s="1"/>
  <c r="BT51" i="82" l="1"/>
  <c r="Y92" i="83" l="1"/>
  <c r="D79" i="36" l="1"/>
  <c r="BV103" i="82"/>
  <c r="BW103" i="82"/>
  <c r="BX103" i="82"/>
  <c r="BV83" i="82"/>
  <c r="BV88" i="82"/>
  <c r="BW83" i="82"/>
  <c r="BW88" i="82"/>
  <c r="BM92" i="82"/>
  <c r="BM89" i="82"/>
  <c r="BM49" i="82"/>
  <c r="BM46" i="82"/>
  <c r="BM37" i="82"/>
  <c r="BM36" i="82"/>
  <c r="BM20" i="82"/>
  <c r="BF92" i="82"/>
  <c r="BF89" i="82"/>
  <c r="BF49" i="82"/>
  <c r="BF46" i="82"/>
  <c r="BF37" i="82"/>
  <c r="BF36" i="82"/>
  <c r="BF20" i="82"/>
  <c r="AK92" i="82"/>
  <c r="AK89" i="82"/>
  <c r="AK49" i="82"/>
  <c r="AK46" i="82"/>
  <c r="AK37" i="82"/>
  <c r="AK36" i="82"/>
  <c r="AK20" i="82"/>
  <c r="AK11" i="82"/>
  <c r="AM11" i="82"/>
  <c r="AM32" i="82" s="1"/>
  <c r="AM105" i="82" s="1"/>
  <c r="AM107" i="82" s="1"/>
  <c r="AD89" i="82"/>
  <c r="AD46" i="82"/>
  <c r="AD37" i="82"/>
  <c r="AD36" i="82"/>
  <c r="AD20" i="82"/>
  <c r="AD11" i="82"/>
  <c r="BV87" i="82"/>
  <c r="AF11" i="82"/>
  <c r="AF32" i="82" s="1"/>
  <c r="W92" i="82"/>
  <c r="W89" i="82"/>
  <c r="W49" i="82"/>
  <c r="W46" i="82"/>
  <c r="W37" i="82"/>
  <c r="W36" i="82"/>
  <c r="W20" i="82"/>
  <c r="W11" i="82"/>
  <c r="Y11" i="82"/>
  <c r="Y32" i="82" s="1"/>
  <c r="Y105" i="82" s="1"/>
  <c r="Y107" i="82" s="1"/>
  <c r="P49" i="82"/>
  <c r="C92" i="82"/>
  <c r="C89" i="82"/>
  <c r="C67" i="82"/>
  <c r="C49" i="82" s="1"/>
  <c r="C46" i="82"/>
  <c r="C36" i="82"/>
  <c r="C11" i="82"/>
  <c r="E11" i="82"/>
  <c r="E32" i="82" s="1"/>
  <c r="E105" i="82" s="1"/>
  <c r="E107" i="82" s="1"/>
  <c r="J81" i="83"/>
  <c r="J68" i="83"/>
  <c r="J65" i="83"/>
  <c r="J48" i="83"/>
  <c r="J39" i="83"/>
  <c r="J30" i="83"/>
  <c r="J29" i="83"/>
  <c r="J26" i="83"/>
  <c r="C81" i="83"/>
  <c r="C68" i="83"/>
  <c r="C65" i="83"/>
  <c r="C48" i="83"/>
  <c r="C39" i="83"/>
  <c r="C30" i="83"/>
  <c r="C29" i="83"/>
  <c r="C26" i="83"/>
  <c r="C55" i="39"/>
  <c r="C53" i="39"/>
  <c r="C33" i="39"/>
  <c r="C18" i="39"/>
  <c r="D102" i="58"/>
  <c r="D101" i="58" s="1"/>
  <c r="D99" i="58"/>
  <c r="D79" i="58"/>
  <c r="D74" i="58"/>
  <c r="D54" i="58"/>
  <c r="D49" i="58"/>
  <c r="D43" i="58"/>
  <c r="D42" i="58"/>
  <c r="D109" i="57" s="1"/>
  <c r="D41" i="58"/>
  <c r="D39" i="58"/>
  <c r="D34" i="58"/>
  <c r="D28" i="58"/>
  <c r="D114" i="57"/>
  <c r="D112" i="57"/>
  <c r="D107" i="57"/>
  <c r="D99" i="57"/>
  <c r="D19" i="99" s="1"/>
  <c r="D11" i="99" s="1"/>
  <c r="D55" i="99" s="1"/>
  <c r="D87" i="57"/>
  <c r="D82" i="57"/>
  <c r="D78" i="57"/>
  <c r="D43" i="57"/>
  <c r="D38" i="57"/>
  <c r="D32" i="57"/>
  <c r="D30" i="57"/>
  <c r="D17" i="57"/>
  <c r="D14" i="57"/>
  <c r="I28" i="99" l="1"/>
  <c r="I19" i="99"/>
  <c r="C15" i="39"/>
  <c r="D37" i="57"/>
  <c r="C14" i="39"/>
  <c r="AD32" i="82"/>
  <c r="D48" i="58"/>
  <c r="C43" i="39"/>
  <c r="C20" i="82"/>
  <c r="C32" i="82" s="1"/>
  <c r="AK32" i="82"/>
  <c r="D12" i="57"/>
  <c r="D11" i="57" s="1"/>
  <c r="D94" i="58"/>
  <c r="C37" i="82"/>
  <c r="D106" i="57"/>
  <c r="D28" i="57"/>
  <c r="D26" i="57" s="1"/>
  <c r="BM101" i="82"/>
  <c r="AK101" i="82"/>
  <c r="W101" i="82"/>
  <c r="D74" i="57"/>
  <c r="D73" i="58"/>
  <c r="D38" i="58"/>
  <c r="D13" i="58"/>
  <c r="J77" i="83"/>
  <c r="J80" i="83" s="1"/>
  <c r="W32" i="82"/>
  <c r="C77" i="83"/>
  <c r="C80" i="83" s="1"/>
  <c r="E167" i="81"/>
  <c r="E168" i="81"/>
  <c r="E159" i="81"/>
  <c r="E160" i="81"/>
  <c r="E161" i="81"/>
  <c r="E163" i="81"/>
  <c r="E164" i="81"/>
  <c r="E143" i="81"/>
  <c r="E144" i="81"/>
  <c r="E70" i="81"/>
  <c r="E71" i="81"/>
  <c r="G28" i="52"/>
  <c r="I28" i="52"/>
  <c r="K28" i="52"/>
  <c r="C168" i="81"/>
  <c r="F28" i="80"/>
  <c r="W105" i="82" l="1"/>
  <c r="D106" i="82"/>
  <c r="BU106" i="82" s="1"/>
  <c r="I11" i="99"/>
  <c r="I55" i="99" s="1"/>
  <c r="L28" i="99"/>
  <c r="M28" i="99" s="1"/>
  <c r="D8" i="58"/>
  <c r="H19" i="99"/>
  <c r="C39" i="39"/>
  <c r="C37" i="39" s="1"/>
  <c r="C36" i="39" s="1"/>
  <c r="C11" i="39"/>
  <c r="C10" i="39" s="1"/>
  <c r="C9" i="39" s="1"/>
  <c r="C134" i="81"/>
  <c r="C135" i="81"/>
  <c r="D10" i="57"/>
  <c r="D9" i="57" s="1"/>
  <c r="D8" i="57" s="1"/>
  <c r="BW87" i="82"/>
  <c r="H11" i="99" l="1"/>
  <c r="H55" i="99" s="1"/>
  <c r="L19" i="99"/>
  <c r="L11" i="99" s="1"/>
  <c r="L55" i="99" s="1"/>
  <c r="C66" i="39"/>
  <c r="D104" i="82" s="1"/>
  <c r="BX87" i="82"/>
  <c r="BU104" i="82" l="1"/>
  <c r="D105" i="82"/>
  <c r="D107" i="82" s="1"/>
  <c r="BP11" i="82"/>
  <c r="BP32" i="82" s="1"/>
  <c r="BP105" i="82" s="1"/>
  <c r="BP107" i="82" s="1"/>
  <c r="AN11" i="82"/>
  <c r="AN32" i="82" s="1"/>
  <c r="AN105" i="82" s="1"/>
  <c r="AN107" i="82" s="1"/>
  <c r="AG11" i="82"/>
  <c r="AG32" i="82" s="1"/>
  <c r="F11" i="82"/>
  <c r="F32" i="82" s="1"/>
  <c r="F105" i="82" s="1"/>
  <c r="F107" i="82" s="1"/>
  <c r="L2" i="58"/>
  <c r="L2" i="57"/>
  <c r="F101" i="83" l="1"/>
  <c r="G45" i="58" l="1"/>
  <c r="C136" i="81"/>
  <c r="BT84" i="82" l="1"/>
  <c r="F27" i="80" l="1"/>
  <c r="C167" i="81" l="1"/>
  <c r="C76" i="97"/>
  <c r="C80" i="97" l="1"/>
  <c r="C79" i="97" s="1"/>
  <c r="C72" i="39" l="1"/>
  <c r="D135" i="57" l="1"/>
  <c r="D62" i="36"/>
  <c r="C78" i="97" l="1"/>
  <c r="C75" i="97" s="1"/>
  <c r="C166" i="81"/>
  <c r="BT103" i="82" l="1"/>
  <c r="N2" i="52" l="1"/>
  <c r="L30" i="52"/>
  <c r="J30" i="52"/>
  <c r="H30" i="52"/>
  <c r="F30" i="52"/>
  <c r="D30" i="52"/>
  <c r="J28" i="52"/>
  <c r="H28" i="52"/>
  <c r="F28" i="52"/>
  <c r="C28" i="52"/>
  <c r="D26" i="52"/>
  <c r="D24" i="52"/>
  <c r="D28" i="52" l="1"/>
  <c r="L28" i="52"/>
  <c r="M28" i="52"/>
  <c r="N24" i="52"/>
  <c r="N27" i="52"/>
  <c r="N26" i="52"/>
  <c r="N25" i="52"/>
  <c r="N28" i="52" l="1"/>
  <c r="BX83" i="82" l="1"/>
  <c r="BT83" i="82"/>
  <c r="BT26" i="82" l="1"/>
  <c r="BV26" i="82"/>
  <c r="BW26" i="82"/>
  <c r="BX26" i="82"/>
  <c r="D58" i="36" l="1"/>
  <c r="BX82" i="82" l="1"/>
  <c r="BW82" i="82"/>
  <c r="BV82" i="82"/>
  <c r="BT82" i="82"/>
  <c r="BX81" i="82"/>
  <c r="BW81" i="82"/>
  <c r="BV81" i="82"/>
  <c r="BT81" i="82"/>
  <c r="BX80" i="82"/>
  <c r="BW80" i="82"/>
  <c r="BV80" i="82"/>
  <c r="BT80" i="82"/>
  <c r="BX79" i="82"/>
  <c r="BW79" i="82"/>
  <c r="BV79" i="82"/>
  <c r="BT79" i="82"/>
  <c r="BX78" i="82"/>
  <c r="BW78" i="82"/>
  <c r="BV78" i="82"/>
  <c r="BT78" i="82"/>
  <c r="BX77" i="82"/>
  <c r="BW77" i="82"/>
  <c r="BV77" i="82"/>
  <c r="BT77" i="82"/>
  <c r="BX76" i="82"/>
  <c r="BW76" i="82"/>
  <c r="BV76" i="82"/>
  <c r="BT76" i="82"/>
  <c r="BX75" i="82"/>
  <c r="BW75" i="82"/>
  <c r="BV75" i="82"/>
  <c r="BT75" i="82"/>
  <c r="BX73" i="82"/>
  <c r="BW73" i="82"/>
  <c r="BV73" i="82"/>
  <c r="BT73" i="82"/>
  <c r="BX72" i="82"/>
  <c r="BW72" i="82"/>
  <c r="BV72" i="82"/>
  <c r="BT72" i="82"/>
  <c r="BX71" i="82"/>
  <c r="BW71" i="82"/>
  <c r="BV71" i="82"/>
  <c r="BT71" i="82"/>
  <c r="BX70" i="82"/>
  <c r="BW70" i="82"/>
  <c r="BV70" i="82"/>
  <c r="BT70" i="82"/>
  <c r="BX68" i="82"/>
  <c r="BW68" i="82"/>
  <c r="BV68" i="82"/>
  <c r="BT68" i="82"/>
  <c r="BX67" i="82"/>
  <c r="BW67" i="82"/>
  <c r="BV67" i="82"/>
  <c r="BT67" i="82"/>
  <c r="BV51" i="82"/>
  <c r="BW51" i="82"/>
  <c r="BX51" i="82"/>
  <c r="BT52" i="82"/>
  <c r="BV52" i="82"/>
  <c r="BW52" i="82"/>
  <c r="BX52" i="82"/>
  <c r="BT53" i="82"/>
  <c r="BV53" i="82"/>
  <c r="BW53" i="82"/>
  <c r="BX53" i="82"/>
  <c r="BT54" i="82"/>
  <c r="BV54" i="82"/>
  <c r="BW54" i="82"/>
  <c r="BX54" i="82"/>
  <c r="BT55" i="82"/>
  <c r="BV55" i="82"/>
  <c r="BW55" i="82"/>
  <c r="BX55" i="82"/>
  <c r="BT56" i="82"/>
  <c r="BV56" i="82"/>
  <c r="BW56" i="82"/>
  <c r="BX56" i="82"/>
  <c r="BT57" i="82"/>
  <c r="BV57" i="82"/>
  <c r="BW57" i="82"/>
  <c r="BX57" i="82"/>
  <c r="BT58" i="82"/>
  <c r="BV58" i="82"/>
  <c r="BW58" i="82"/>
  <c r="BX58" i="82"/>
  <c r="BT59" i="82"/>
  <c r="BV59" i="82"/>
  <c r="BW59" i="82"/>
  <c r="BX59" i="82"/>
  <c r="BT60" i="82"/>
  <c r="BV60" i="82"/>
  <c r="BW60" i="82"/>
  <c r="BX60" i="82"/>
  <c r="BT61" i="82"/>
  <c r="BV61" i="82"/>
  <c r="BW61" i="82"/>
  <c r="BX61" i="82"/>
  <c r="BT62" i="82"/>
  <c r="BV62" i="82"/>
  <c r="BW62" i="82"/>
  <c r="BX62" i="82"/>
  <c r="BT63" i="82"/>
  <c r="BV63" i="82"/>
  <c r="BW63" i="82"/>
  <c r="BX63" i="82"/>
  <c r="BT64" i="82"/>
  <c r="BV64" i="82"/>
  <c r="BW64" i="82"/>
  <c r="BX64" i="82"/>
  <c r="BT65" i="82"/>
  <c r="BV65" i="82"/>
  <c r="BW65" i="82"/>
  <c r="BX65" i="82"/>
  <c r="BT66" i="82"/>
  <c r="BV66" i="82"/>
  <c r="BW66" i="82"/>
  <c r="BX66" i="82"/>
  <c r="BT38" i="82"/>
  <c r="BT39" i="82"/>
  <c r="BT40" i="82"/>
  <c r="BT41" i="82"/>
  <c r="BV12" i="82"/>
  <c r="BW12" i="82"/>
  <c r="BX12" i="82"/>
  <c r="BV13" i="82"/>
  <c r="BW13" i="82"/>
  <c r="BX13" i="82"/>
  <c r="BV15" i="82"/>
  <c r="BW15" i="82"/>
  <c r="BX15" i="82"/>
  <c r="BV16" i="82"/>
  <c r="BW16" i="82"/>
  <c r="BX16" i="82"/>
  <c r="BV17" i="82"/>
  <c r="BW17" i="82"/>
  <c r="BX17" i="82"/>
  <c r="BV18" i="82"/>
  <c r="BW18" i="82"/>
  <c r="BX18" i="82"/>
  <c r="BV19" i="82"/>
  <c r="BW19" i="82"/>
  <c r="BX19" i="82"/>
  <c r="BV21" i="82"/>
  <c r="BW21" i="82"/>
  <c r="BX21" i="82"/>
  <c r="BV24" i="82"/>
  <c r="BW24" i="82"/>
  <c r="BX24" i="82"/>
  <c r="BV25" i="82"/>
  <c r="BW25" i="82"/>
  <c r="BX25" i="82"/>
  <c r="BV27" i="82"/>
  <c r="BW27" i="82"/>
  <c r="BX27" i="82"/>
  <c r="BV28" i="82"/>
  <c r="BW28" i="82"/>
  <c r="BX28" i="82"/>
  <c r="BV30" i="82"/>
  <c r="BW30" i="82"/>
  <c r="BX30" i="82"/>
  <c r="BV69" i="82"/>
  <c r="BW69" i="82" l="1"/>
  <c r="BX69" i="82"/>
  <c r="BT69" i="82"/>
  <c r="L101" i="83" l="1"/>
  <c r="M101" i="83"/>
  <c r="N101" i="83"/>
  <c r="P101" i="83"/>
  <c r="I101" i="83" l="1"/>
  <c r="G101" i="83"/>
  <c r="X41" i="83"/>
  <c r="Z41" i="83"/>
  <c r="AA41" i="83"/>
  <c r="AB41" i="83"/>
  <c r="X42" i="83"/>
  <c r="Z42" i="83"/>
  <c r="AA42" i="83"/>
  <c r="AB42" i="83"/>
  <c r="X44" i="83"/>
  <c r="Z44" i="83"/>
  <c r="AA44" i="83"/>
  <c r="AB44" i="83"/>
  <c r="X45" i="83"/>
  <c r="Z45" i="83"/>
  <c r="AA45" i="83"/>
  <c r="AB45" i="83"/>
  <c r="X37" i="83"/>
  <c r="Z37" i="83"/>
  <c r="AA37" i="83"/>
  <c r="AB37" i="83"/>
  <c r="X38" i="83"/>
  <c r="Z38" i="83"/>
  <c r="AA38" i="83"/>
  <c r="AB38" i="83"/>
  <c r="X24" i="83"/>
  <c r="Z24" i="83"/>
  <c r="AA24" i="83"/>
  <c r="AB24" i="83"/>
  <c r="Z11" i="83"/>
  <c r="AA11" i="83"/>
  <c r="AB11" i="83"/>
  <c r="Z12" i="83"/>
  <c r="AA12" i="83"/>
  <c r="AB12" i="83"/>
  <c r="Z13" i="83"/>
  <c r="AA13" i="83"/>
  <c r="AB13" i="83"/>
  <c r="Z14" i="83"/>
  <c r="AA14" i="83"/>
  <c r="AB14" i="83"/>
  <c r="Z16" i="83"/>
  <c r="AA16" i="83"/>
  <c r="AB16" i="83"/>
  <c r="Z17" i="83"/>
  <c r="AA17" i="83"/>
  <c r="AB17" i="83"/>
  <c r="Z18" i="83"/>
  <c r="AA18" i="83"/>
  <c r="AB18" i="83"/>
  <c r="AB19" i="83"/>
  <c r="Z20" i="83"/>
  <c r="AA20" i="83"/>
  <c r="AB20" i="83"/>
  <c r="Z21" i="83"/>
  <c r="AA21" i="83"/>
  <c r="AB21" i="83"/>
  <c r="Z22" i="83"/>
  <c r="AA22" i="83"/>
  <c r="AB22" i="83"/>
  <c r="Z23" i="83"/>
  <c r="AA23" i="83"/>
  <c r="AB23" i="83"/>
  <c r="AB25" i="83"/>
  <c r="X12" i="83"/>
  <c r="X13" i="83"/>
  <c r="X14" i="83"/>
  <c r="X16" i="83"/>
  <c r="X17" i="83"/>
  <c r="X20" i="83"/>
  <c r="X21" i="83"/>
  <c r="X22" i="83"/>
  <c r="X23" i="83"/>
  <c r="AA9" i="83" l="1"/>
  <c r="AB9" i="83"/>
  <c r="AD9" i="83"/>
  <c r="M9" i="83"/>
  <c r="N9" i="83"/>
  <c r="P9" i="83"/>
  <c r="BZ2" i="82"/>
  <c r="E69" i="81"/>
  <c r="E142" i="81"/>
  <c r="E166" i="81"/>
  <c r="E158" i="81"/>
  <c r="C61" i="97" l="1"/>
  <c r="X18" i="83" l="1"/>
  <c r="AF92" i="82" l="1"/>
  <c r="AG92" i="82"/>
  <c r="BV94" i="82"/>
  <c r="BT94" i="82"/>
  <c r="AD92" i="82"/>
  <c r="BV22" i="82"/>
  <c r="BW22" i="82"/>
  <c r="Z25" i="83" l="1"/>
  <c r="AA25" i="83"/>
  <c r="X25" i="83"/>
  <c r="Z19" i="83" l="1"/>
  <c r="AA19" i="83"/>
  <c r="X19" i="83"/>
  <c r="BV38" i="82" l="1"/>
  <c r="BW38" i="82"/>
  <c r="BT25" i="82" l="1"/>
  <c r="BT27" i="82"/>
  <c r="BT28" i="82"/>
  <c r="BT30" i="82"/>
  <c r="BT13" i="82"/>
  <c r="BT15" i="82"/>
  <c r="BT16" i="82"/>
  <c r="BT17" i="82"/>
  <c r="BT18" i="82"/>
  <c r="BT19" i="82"/>
  <c r="X61" i="83" l="1"/>
  <c r="Z61" i="83"/>
  <c r="AA61" i="83"/>
  <c r="Z60" i="83"/>
  <c r="X60" i="83"/>
  <c r="AA60" i="83"/>
  <c r="AA59" i="83"/>
  <c r="Z59" i="83"/>
  <c r="X59" i="83"/>
  <c r="AA58" i="83"/>
  <c r="Z58" i="83"/>
  <c r="X58" i="83"/>
  <c r="AA57" i="83"/>
  <c r="Z57" i="83"/>
  <c r="X57" i="83"/>
  <c r="X35" i="83"/>
  <c r="AA35" i="83"/>
  <c r="Z35" i="83"/>
  <c r="F2" i="97"/>
  <c r="Z11" i="82" l="1"/>
  <c r="Z32" i="82" s="1"/>
  <c r="Z105" i="82" s="1"/>
  <c r="Z107" i="82" s="1"/>
  <c r="Y10" i="82"/>
  <c r="Z10" i="82"/>
  <c r="W10" i="82"/>
  <c r="BJ105" i="82"/>
  <c r="BJ107" i="82" s="1"/>
  <c r="BI11" i="82"/>
  <c r="BI32" i="82" s="1"/>
  <c r="BI105" i="82" s="1"/>
  <c r="BI107" i="82" s="1"/>
  <c r="BH11" i="82"/>
  <c r="BH32" i="82" s="1"/>
  <c r="BH105" i="82" s="1"/>
  <c r="BH107" i="82" s="1"/>
  <c r="BF11" i="82"/>
  <c r="BF32" i="82" s="1"/>
  <c r="BF101" i="82" l="1"/>
  <c r="BF105" i="82" l="1"/>
  <c r="BF107" i="82" s="1"/>
  <c r="I20" i="80"/>
  <c r="I12" i="80" s="1"/>
  <c r="E37" i="80"/>
  <c r="G37" i="80"/>
  <c r="H37" i="80"/>
  <c r="I37" i="80"/>
  <c r="L37" i="80"/>
  <c r="M37" i="80"/>
  <c r="A55" i="80"/>
  <c r="A37" i="80"/>
  <c r="A28" i="80"/>
  <c r="A20" i="80"/>
  <c r="P12" i="80"/>
  <c r="A12" i="80"/>
  <c r="A45" i="80"/>
  <c r="P55" i="80" l="1"/>
  <c r="I55" i="80"/>
  <c r="J28" i="80" l="1"/>
  <c r="O28" i="80" s="1"/>
  <c r="BW98" i="82" l="1"/>
  <c r="BW96" i="82"/>
  <c r="BW95" i="82"/>
  <c r="BW93" i="82"/>
  <c r="BW90" i="82"/>
  <c r="BW99" i="82"/>
  <c r="BW45" i="82"/>
  <c r="BW44" i="82"/>
  <c r="BW42" i="82"/>
  <c r="BW41" i="82"/>
  <c r="BW40" i="82"/>
  <c r="BW43" i="82"/>
  <c r="BW39" i="82"/>
  <c r="BW50" i="82"/>
  <c r="L49" i="82"/>
  <c r="L46" i="82"/>
  <c r="BW35" i="82"/>
  <c r="BW34" i="82"/>
  <c r="BW31" i="82"/>
  <c r="BW33" i="82"/>
  <c r="AG10" i="82"/>
  <c r="S10" i="82"/>
  <c r="L10" i="82"/>
  <c r="AA76" i="83"/>
  <c r="AA73" i="83"/>
  <c r="AA72" i="83"/>
  <c r="AA71" i="83"/>
  <c r="AA70" i="83"/>
  <c r="AA67" i="83"/>
  <c r="AA66" i="83"/>
  <c r="AA56" i="83"/>
  <c r="AA55" i="83"/>
  <c r="AA51" i="83"/>
  <c r="AA50" i="83"/>
  <c r="AA47" i="83"/>
  <c r="AA46" i="83"/>
  <c r="AA40" i="83"/>
  <c r="AA36" i="83"/>
  <c r="AA33" i="83"/>
  <c r="AA32" i="83"/>
  <c r="T68" i="83"/>
  <c r="T65" i="83"/>
  <c r="T48" i="83"/>
  <c r="T39" i="83"/>
  <c r="AA75" i="83"/>
  <c r="AA74" i="83"/>
  <c r="AA69" i="83"/>
  <c r="AA64" i="83"/>
  <c r="AA63" i="83"/>
  <c r="AA62" i="83"/>
  <c r="AA54" i="83"/>
  <c r="AA53" i="83"/>
  <c r="AA52" i="83"/>
  <c r="AA49" i="83"/>
  <c r="AA34" i="83"/>
  <c r="AA31" i="83"/>
  <c r="AA65" i="83" l="1"/>
  <c r="BW47" i="82"/>
  <c r="BW48" i="82"/>
  <c r="BW91" i="82"/>
  <c r="AA39" i="83"/>
  <c r="AA68" i="83"/>
  <c r="F2" i="81"/>
  <c r="O2" i="80"/>
  <c r="K20" i="80" l="1"/>
  <c r="K12" i="80" s="1"/>
  <c r="L20" i="80"/>
  <c r="L12" i="80" s="1"/>
  <c r="L55" i="80" s="1"/>
  <c r="AA48" i="83"/>
  <c r="Z9" i="83" l="1"/>
  <c r="S9" i="83"/>
  <c r="L9" i="83"/>
  <c r="AF10" i="82"/>
  <c r="R10" i="82"/>
  <c r="K10" i="82"/>
  <c r="W68" i="83"/>
  <c r="W65" i="83"/>
  <c r="W48" i="83"/>
  <c r="W39" i="83"/>
  <c r="W30" i="83"/>
  <c r="W29" i="83"/>
  <c r="W26" i="83"/>
  <c r="U68" i="83"/>
  <c r="U65" i="83"/>
  <c r="U48" i="83"/>
  <c r="U39" i="83"/>
  <c r="U30" i="83"/>
  <c r="U29" i="83"/>
  <c r="U26" i="83"/>
  <c r="T30" i="83"/>
  <c r="T29" i="83"/>
  <c r="T26" i="83"/>
  <c r="S68" i="83"/>
  <c r="S65" i="83"/>
  <c r="S48" i="83"/>
  <c r="S39" i="83"/>
  <c r="S30" i="83"/>
  <c r="S29" i="83"/>
  <c r="S26" i="83"/>
  <c r="BV93" i="82"/>
  <c r="BX93" i="82"/>
  <c r="BV95" i="82"/>
  <c r="BX95" i="82"/>
  <c r="BV96" i="82"/>
  <c r="BX96" i="82"/>
  <c r="BV98" i="82"/>
  <c r="BX98" i="82"/>
  <c r="BV99" i="82"/>
  <c r="BX99" i="82"/>
  <c r="O92" i="82"/>
  <c r="O89" i="82"/>
  <c r="M92" i="82"/>
  <c r="M89" i="82"/>
  <c r="L92" i="82"/>
  <c r="L89" i="82"/>
  <c r="K92" i="82"/>
  <c r="BU92" i="82" s="1"/>
  <c r="K89" i="82"/>
  <c r="BU89" i="82" s="1"/>
  <c r="O49" i="82"/>
  <c r="O46" i="82"/>
  <c r="O37" i="82"/>
  <c r="M49" i="82"/>
  <c r="M46" i="82"/>
  <c r="M37" i="82"/>
  <c r="L37" i="82"/>
  <c r="K49" i="82"/>
  <c r="BU49" i="82" s="1"/>
  <c r="K46" i="82"/>
  <c r="BU46" i="82" s="1"/>
  <c r="K37" i="82"/>
  <c r="BU37" i="82" s="1"/>
  <c r="BO11" i="82"/>
  <c r="BO32" i="82" s="1"/>
  <c r="BO105" i="82" s="1"/>
  <c r="BO107" i="82" s="1"/>
  <c r="O36" i="82"/>
  <c r="O20" i="82"/>
  <c r="O11" i="82"/>
  <c r="M36" i="82"/>
  <c r="M20" i="82"/>
  <c r="M11" i="82"/>
  <c r="L36" i="82"/>
  <c r="L20" i="82"/>
  <c r="L11" i="82"/>
  <c r="K36" i="82"/>
  <c r="BU36" i="82" s="1"/>
  <c r="D122" i="57" s="1"/>
  <c r="K20" i="82"/>
  <c r="BU20" i="82" s="1"/>
  <c r="K11" i="82"/>
  <c r="BU11" i="82" s="1"/>
  <c r="BX22" i="82"/>
  <c r="M20" i="80" l="1"/>
  <c r="S77" i="83"/>
  <c r="T77" i="83"/>
  <c r="U77" i="83"/>
  <c r="W77" i="83"/>
  <c r="L32" i="82"/>
  <c r="M32" i="82"/>
  <c r="K32" i="82"/>
  <c r="BU32" i="82" s="1"/>
  <c r="D119" i="57" s="1"/>
  <c r="O32" i="82"/>
  <c r="G17" i="36"/>
  <c r="I17" i="36"/>
  <c r="L17" i="36"/>
  <c r="M17" i="36" s="1"/>
  <c r="D12" i="81"/>
  <c r="B47" i="99" s="1"/>
  <c r="B39" i="99" s="1"/>
  <c r="D11" i="81"/>
  <c r="B46" i="99" s="1"/>
  <c r="H17" i="36" l="1"/>
  <c r="J17" i="36"/>
  <c r="B38" i="99"/>
  <c r="AA96" i="83"/>
  <c r="M12" i="80"/>
  <c r="N20" i="80"/>
  <c r="I10" i="36"/>
  <c r="Z96" i="83"/>
  <c r="H20" i="80"/>
  <c r="H12" i="80" s="1"/>
  <c r="H55" i="80" s="1"/>
  <c r="G10" i="36"/>
  <c r="H10" i="36" l="1"/>
  <c r="J10" i="36"/>
  <c r="M55" i="80"/>
  <c r="N12" i="80"/>
  <c r="L10" i="36"/>
  <c r="M10" i="36" s="1"/>
  <c r="I18" i="80" l="1"/>
  <c r="F26" i="80"/>
  <c r="BT98" i="82" l="1"/>
  <c r="Y91" i="83" l="1"/>
  <c r="X28" i="83"/>
  <c r="G47" i="36"/>
  <c r="G59" i="36"/>
  <c r="D39" i="81"/>
  <c r="G63" i="36"/>
  <c r="G51" i="36"/>
  <c r="D53" i="81"/>
  <c r="C47" i="99" s="1"/>
  <c r="AA27" i="83"/>
  <c r="AA28" i="83"/>
  <c r="AA78" i="83"/>
  <c r="AA79" i="83"/>
  <c r="F37" i="80" s="1"/>
  <c r="T81" i="83"/>
  <c r="D30" i="36"/>
  <c r="D47" i="36"/>
  <c r="D60" i="36"/>
  <c r="BT22" i="82"/>
  <c r="J11" i="82"/>
  <c r="J20" i="82"/>
  <c r="P11" i="82"/>
  <c r="P20" i="82"/>
  <c r="AR11" i="82"/>
  <c r="AR20" i="82"/>
  <c r="AY11" i="82"/>
  <c r="AY20" i="82"/>
  <c r="BM11" i="82"/>
  <c r="BM32" i="82" s="1"/>
  <c r="BM105" i="82" s="1"/>
  <c r="BM107" i="82" s="1"/>
  <c r="BT35" i="82"/>
  <c r="J36" i="82"/>
  <c r="P36" i="82"/>
  <c r="AR36" i="82"/>
  <c r="AY36" i="82"/>
  <c r="X27" i="83"/>
  <c r="BT43" i="82"/>
  <c r="J37" i="82"/>
  <c r="J46" i="82"/>
  <c r="J49" i="82"/>
  <c r="J89" i="82"/>
  <c r="J92" i="82"/>
  <c r="P37" i="82"/>
  <c r="P46" i="82"/>
  <c r="P89" i="82"/>
  <c r="P92" i="82"/>
  <c r="AR37" i="82"/>
  <c r="AR46" i="82"/>
  <c r="AR49" i="82"/>
  <c r="AR89" i="82"/>
  <c r="AR92" i="82"/>
  <c r="AY37" i="82"/>
  <c r="AY46" i="82"/>
  <c r="AY89" i="82"/>
  <c r="AY92" i="82"/>
  <c r="Q30" i="83"/>
  <c r="Q39" i="83"/>
  <c r="Q48" i="83"/>
  <c r="Q65" i="83"/>
  <c r="Q68" i="83"/>
  <c r="BT102" i="82"/>
  <c r="D134" i="57"/>
  <c r="D85" i="36"/>
  <c r="D87" i="36"/>
  <c r="X78" i="83"/>
  <c r="X79" i="83"/>
  <c r="Q81" i="83"/>
  <c r="AD2" i="83"/>
  <c r="K2" i="39"/>
  <c r="F168" i="81"/>
  <c r="A51" i="80"/>
  <c r="C75" i="81"/>
  <c r="F75" i="81" s="1"/>
  <c r="BV48" i="82"/>
  <c r="Z54" i="83"/>
  <c r="Z53" i="83"/>
  <c r="Z34" i="83"/>
  <c r="E30" i="36"/>
  <c r="BT99" i="82"/>
  <c r="BV100" i="82"/>
  <c r="BV33" i="82"/>
  <c r="D52" i="81"/>
  <c r="C46" i="99" s="1"/>
  <c r="BV42" i="82"/>
  <c r="BV41" i="82"/>
  <c r="BV90" i="82"/>
  <c r="BX90" i="82"/>
  <c r="BV91" i="82"/>
  <c r="BX91" i="82"/>
  <c r="BV102" i="82"/>
  <c r="E127" i="57" s="1"/>
  <c r="E71" i="36" s="1"/>
  <c r="BW102" i="82"/>
  <c r="G127" i="57" s="1"/>
  <c r="BX102" i="82"/>
  <c r="BV108" i="82"/>
  <c r="BW108" i="82"/>
  <c r="BX108" i="82"/>
  <c r="BZ108" i="82"/>
  <c r="CA108" i="82" s="1"/>
  <c r="BV39" i="82"/>
  <c r="BV44" i="82"/>
  <c r="BX44" i="82"/>
  <c r="BV45" i="82"/>
  <c r="BX45" i="82"/>
  <c r="BX50" i="82"/>
  <c r="BV31" i="82"/>
  <c r="BX31" i="82"/>
  <c r="BV34" i="82"/>
  <c r="BX34" i="82"/>
  <c r="Z39" i="83"/>
  <c r="Z28" i="83"/>
  <c r="E142" i="57"/>
  <c r="E143" i="57"/>
  <c r="E41" i="36"/>
  <c r="D143" i="57"/>
  <c r="BT108" i="82"/>
  <c r="BT100" i="82"/>
  <c r="BT90" i="82"/>
  <c r="BT91" i="82"/>
  <c r="BT96" i="82"/>
  <c r="BT44" i="82"/>
  <c r="BT45" i="82"/>
  <c r="BT48" i="82"/>
  <c r="BT50" i="82"/>
  <c r="BT33" i="82"/>
  <c r="BT21" i="82"/>
  <c r="BT31" i="82"/>
  <c r="BT12" i="82"/>
  <c r="L70" i="58"/>
  <c r="C51" i="99"/>
  <c r="C43" i="99" s="1"/>
  <c r="C61" i="99" s="1"/>
  <c r="C64" i="99" s="1"/>
  <c r="C40" i="99"/>
  <c r="C58" i="99" s="1"/>
  <c r="L51" i="36"/>
  <c r="M51" i="36" s="1"/>
  <c r="L41" i="36"/>
  <c r="M41" i="36" s="1"/>
  <c r="I51" i="36"/>
  <c r="BX100" i="82"/>
  <c r="AX92" i="82"/>
  <c r="AV92" i="82"/>
  <c r="BX48" i="82"/>
  <c r="BX42" i="82"/>
  <c r="BX41" i="82"/>
  <c r="BX40" i="82"/>
  <c r="L47" i="36"/>
  <c r="M47" i="36" s="1"/>
  <c r="I47" i="36"/>
  <c r="J47" i="36" s="1"/>
  <c r="B48" i="99"/>
  <c r="B40" i="99" s="1"/>
  <c r="AB75" i="83"/>
  <c r="AB69" i="83"/>
  <c r="AB62" i="83"/>
  <c r="AB57" i="83"/>
  <c r="AB49" i="83"/>
  <c r="AB34" i="83"/>
  <c r="I10" i="80"/>
  <c r="A40" i="80"/>
  <c r="E40" i="80"/>
  <c r="G40" i="80"/>
  <c r="H40" i="80"/>
  <c r="I40" i="80"/>
  <c r="L40" i="80"/>
  <c r="M40" i="80"/>
  <c r="A41" i="80"/>
  <c r="E41" i="80"/>
  <c r="G41" i="80"/>
  <c r="H41" i="80"/>
  <c r="I41" i="80"/>
  <c r="L41" i="80"/>
  <c r="M41" i="80"/>
  <c r="L36" i="80"/>
  <c r="M36" i="80"/>
  <c r="L35" i="80"/>
  <c r="M35" i="80"/>
  <c r="L38" i="80"/>
  <c r="M38" i="80"/>
  <c r="E36" i="80"/>
  <c r="G36" i="80"/>
  <c r="H36" i="80"/>
  <c r="I36" i="80"/>
  <c r="E35" i="80"/>
  <c r="G35" i="80"/>
  <c r="H35" i="80"/>
  <c r="I35" i="80"/>
  <c r="E38" i="80"/>
  <c r="G38" i="80"/>
  <c r="H38" i="80"/>
  <c r="I38" i="80"/>
  <c r="K48" i="80"/>
  <c r="K40" i="80" s="1"/>
  <c r="F48" i="80"/>
  <c r="F40" i="80" s="1"/>
  <c r="C48" i="80"/>
  <c r="C40" i="80" s="1"/>
  <c r="D48" i="80"/>
  <c r="D40" i="80" s="1"/>
  <c r="B48" i="80"/>
  <c r="B40" i="80" s="1"/>
  <c r="P11" i="80"/>
  <c r="P10" i="80"/>
  <c r="K15" i="80"/>
  <c r="L15" i="80"/>
  <c r="M15" i="80"/>
  <c r="I15" i="80"/>
  <c r="G15" i="80"/>
  <c r="B15" i="80"/>
  <c r="C15" i="80"/>
  <c r="D15" i="80"/>
  <c r="E15" i="80"/>
  <c r="F15" i="80"/>
  <c r="H15" i="80"/>
  <c r="J31" i="80"/>
  <c r="A54" i="80"/>
  <c r="A53" i="80"/>
  <c r="A56" i="80"/>
  <c r="A58" i="80"/>
  <c r="A59" i="80"/>
  <c r="A48" i="80"/>
  <c r="A36" i="80"/>
  <c r="A35" i="80"/>
  <c r="A38" i="80"/>
  <c r="A33" i="80"/>
  <c r="A27" i="80"/>
  <c r="A26" i="80"/>
  <c r="A29" i="80"/>
  <c r="A31" i="80"/>
  <c r="A19" i="80"/>
  <c r="A18" i="80"/>
  <c r="A43" i="80" s="1"/>
  <c r="A21" i="80"/>
  <c r="A23" i="80"/>
  <c r="A24" i="80"/>
  <c r="A11" i="80"/>
  <c r="A10" i="80"/>
  <c r="A13" i="80"/>
  <c r="A15" i="80"/>
  <c r="A16" i="80"/>
  <c r="A50" i="80"/>
  <c r="A49" i="80"/>
  <c r="A46" i="80"/>
  <c r="A44" i="80"/>
  <c r="A32" i="80"/>
  <c r="D99" i="81"/>
  <c r="E99" i="81" s="1"/>
  <c r="E155" i="81"/>
  <c r="F155" i="81" s="1"/>
  <c r="F147" i="81"/>
  <c r="E139" i="81"/>
  <c r="F139" i="81" s="1"/>
  <c r="E123" i="81"/>
  <c r="F123" i="81" s="1"/>
  <c r="E115" i="81"/>
  <c r="F115" i="81" s="1"/>
  <c r="B79" i="81"/>
  <c r="B111" i="81" s="1"/>
  <c r="B119" i="81" s="1"/>
  <c r="B127" i="81" s="1"/>
  <c r="B135" i="81" s="1"/>
  <c r="B143" i="81" s="1"/>
  <c r="B151" i="81" s="1"/>
  <c r="B159" i="81" s="1"/>
  <c r="B167" i="81" s="1"/>
  <c r="B80" i="81"/>
  <c r="B112" i="81" s="1"/>
  <c r="B120" i="81" s="1"/>
  <c r="B128" i="81" s="1"/>
  <c r="B136" i="81" s="1"/>
  <c r="B144" i="81" s="1"/>
  <c r="B152" i="81" s="1"/>
  <c r="B160" i="81" s="1"/>
  <c r="B168" i="81" s="1"/>
  <c r="B81" i="81"/>
  <c r="B88" i="81" s="1"/>
  <c r="B104" i="81" s="1"/>
  <c r="B83" i="81"/>
  <c r="B115" i="81" s="1"/>
  <c r="B123" i="81" s="1"/>
  <c r="B131" i="81" s="1"/>
  <c r="B139" i="81" s="1"/>
  <c r="B147" i="81" s="1"/>
  <c r="B155" i="81" s="1"/>
  <c r="B163" i="81" s="1"/>
  <c r="B171" i="81" s="1"/>
  <c r="B84" i="81"/>
  <c r="B91" i="81" s="1"/>
  <c r="B107" i="81" s="1"/>
  <c r="B78" i="81"/>
  <c r="B94" i="81" s="1"/>
  <c r="D33" i="81"/>
  <c r="E33" i="81" s="1"/>
  <c r="B20" i="81"/>
  <c r="B29" i="81" s="1"/>
  <c r="B38" i="81" s="1"/>
  <c r="B52" i="81" s="1"/>
  <c r="B61" i="81" s="1"/>
  <c r="B70" i="81" s="1"/>
  <c r="B21" i="81"/>
  <c r="B30" i="81" s="1"/>
  <c r="B39" i="81" s="1"/>
  <c r="B53" i="81" s="1"/>
  <c r="B62" i="81" s="1"/>
  <c r="B71" i="81" s="1"/>
  <c r="B22" i="81"/>
  <c r="B31" i="81" s="1"/>
  <c r="B40" i="81" s="1"/>
  <c r="B54" i="81" s="1"/>
  <c r="B63" i="81" s="1"/>
  <c r="B72" i="81" s="1"/>
  <c r="B24" i="81"/>
  <c r="B33" i="81" s="1"/>
  <c r="B42" i="81" s="1"/>
  <c r="B25" i="81"/>
  <c r="B34" i="81" s="1"/>
  <c r="B43" i="81" s="1"/>
  <c r="B57" i="81" s="1"/>
  <c r="B66" i="81" s="1"/>
  <c r="B75" i="81" s="1"/>
  <c r="BW100" i="82"/>
  <c r="D38" i="81"/>
  <c r="Z83" i="83"/>
  <c r="E71" i="58" s="1"/>
  <c r="E70" i="58" s="1"/>
  <c r="E47" i="58" s="1"/>
  <c r="E76" i="36" s="1"/>
  <c r="E75" i="36" s="1"/>
  <c r="AA83" i="83"/>
  <c r="AB83" i="83"/>
  <c r="J71" i="58" s="1"/>
  <c r="Z79" i="83"/>
  <c r="F36" i="80" s="1"/>
  <c r="AB79" i="83"/>
  <c r="F38" i="80" s="1"/>
  <c r="AB78" i="83"/>
  <c r="Z78" i="83"/>
  <c r="X67" i="83"/>
  <c r="Z67" i="83"/>
  <c r="AB67" i="83"/>
  <c r="X69" i="83"/>
  <c r="Z69" i="83"/>
  <c r="X70" i="83"/>
  <c r="Z70" i="83"/>
  <c r="AB70" i="83"/>
  <c r="X71" i="83"/>
  <c r="Z71" i="83"/>
  <c r="AB71" i="83"/>
  <c r="X72" i="83"/>
  <c r="Z72" i="83"/>
  <c r="AB72" i="83"/>
  <c r="X73" i="83"/>
  <c r="Z73" i="83"/>
  <c r="AB73" i="83"/>
  <c r="X74" i="83"/>
  <c r="Z74" i="83"/>
  <c r="AB74" i="83"/>
  <c r="X75" i="83"/>
  <c r="Z75" i="83"/>
  <c r="X76" i="83"/>
  <c r="Z66" i="83"/>
  <c r="X66" i="83"/>
  <c r="X55" i="83"/>
  <c r="Z55" i="83"/>
  <c r="AB55" i="83"/>
  <c r="X56" i="83"/>
  <c r="Z56" i="83"/>
  <c r="AB56" i="83"/>
  <c r="AB58" i="83"/>
  <c r="AB59" i="83"/>
  <c r="AB60" i="83"/>
  <c r="X62" i="83"/>
  <c r="X63" i="83"/>
  <c r="Z63" i="83"/>
  <c r="AB63" i="83"/>
  <c r="X64" i="83"/>
  <c r="Z64" i="83"/>
  <c r="AB64" i="83"/>
  <c r="X46" i="83"/>
  <c r="Z46" i="83"/>
  <c r="AB46" i="83"/>
  <c r="X47" i="83"/>
  <c r="Z47" i="83"/>
  <c r="AB47" i="83"/>
  <c r="X49" i="83"/>
  <c r="Z49" i="83"/>
  <c r="X50" i="83"/>
  <c r="Z50" i="83"/>
  <c r="AB50" i="83"/>
  <c r="Z51" i="83"/>
  <c r="AB51" i="83"/>
  <c r="Z52" i="83"/>
  <c r="AB52" i="83"/>
  <c r="X53" i="83"/>
  <c r="AB53" i="83"/>
  <c r="X54" i="83"/>
  <c r="AB54" i="83"/>
  <c r="X40" i="83"/>
  <c r="Z40" i="83"/>
  <c r="AB40" i="83"/>
  <c r="X32" i="83"/>
  <c r="Z32" i="83"/>
  <c r="AB32" i="83"/>
  <c r="X33" i="83"/>
  <c r="Z33" i="83"/>
  <c r="AB33" i="83"/>
  <c r="X34" i="83"/>
  <c r="AB35" i="83"/>
  <c r="X36" i="83"/>
  <c r="Z36" i="83"/>
  <c r="AB36" i="83"/>
  <c r="AB31" i="83"/>
  <c r="Z31" i="83"/>
  <c r="X31" i="83"/>
  <c r="AB28" i="83"/>
  <c r="U81" i="83"/>
  <c r="S81" i="83"/>
  <c r="S84" i="83" s="1"/>
  <c r="U9" i="83"/>
  <c r="Z76" i="83"/>
  <c r="Z62" i="83"/>
  <c r="BT34" i="82"/>
  <c r="BV10" i="82"/>
  <c r="BW10" i="82"/>
  <c r="BX10" i="82"/>
  <c r="BZ10" i="82"/>
  <c r="BT10" i="82"/>
  <c r="BO10" i="82"/>
  <c r="BP10" i="82"/>
  <c r="BQ10" i="82"/>
  <c r="BS10" i="82"/>
  <c r="BM10" i="82"/>
  <c r="BA89" i="82"/>
  <c r="BB89" i="82"/>
  <c r="BC89" i="82"/>
  <c r="BA92" i="82"/>
  <c r="BB92" i="82"/>
  <c r="BC92" i="82"/>
  <c r="BA49" i="82"/>
  <c r="BA46" i="82"/>
  <c r="BB46" i="82"/>
  <c r="BC46" i="82"/>
  <c r="BA36" i="82"/>
  <c r="BB36" i="82"/>
  <c r="BC36" i="82"/>
  <c r="BA37" i="82"/>
  <c r="BB37" i="82"/>
  <c r="BC37" i="82"/>
  <c r="BA11" i="82"/>
  <c r="BB11" i="82"/>
  <c r="BC11" i="82"/>
  <c r="BE11" i="82"/>
  <c r="BA20" i="82"/>
  <c r="BB20" i="82"/>
  <c r="BC20" i="82"/>
  <c r="BE20" i="82"/>
  <c r="BA10" i="82"/>
  <c r="BB10" i="82"/>
  <c r="BC10" i="82"/>
  <c r="BE10" i="82"/>
  <c r="AY10" i="82"/>
  <c r="AU92" i="82"/>
  <c r="AU89" i="82"/>
  <c r="AU46" i="82"/>
  <c r="AU49" i="82"/>
  <c r="AU36" i="82"/>
  <c r="AU37" i="82"/>
  <c r="AU11" i="82"/>
  <c r="AU20" i="82"/>
  <c r="AT10" i="82"/>
  <c r="AU10" i="82"/>
  <c r="AV10" i="82"/>
  <c r="AX10" i="82"/>
  <c r="AR10" i="82"/>
  <c r="AV11" i="82"/>
  <c r="AV20" i="82"/>
  <c r="AV36" i="82"/>
  <c r="AV37" i="82"/>
  <c r="AV46" i="82"/>
  <c r="AV49" i="82"/>
  <c r="AV89" i="82"/>
  <c r="AM10" i="82"/>
  <c r="BH10" i="82" s="1"/>
  <c r="AN10" i="82"/>
  <c r="BI10" i="82" s="1"/>
  <c r="AO10" i="82"/>
  <c r="BJ10" i="82" s="1"/>
  <c r="AQ10" i="82"/>
  <c r="BL10" i="82" s="1"/>
  <c r="AK10" i="82"/>
  <c r="BF10" i="82" s="1"/>
  <c r="AH10" i="82"/>
  <c r="AJ10" i="82"/>
  <c r="AD10" i="82"/>
  <c r="T10" i="82"/>
  <c r="V10" i="82"/>
  <c r="P10" i="82"/>
  <c r="BT95" i="82"/>
  <c r="BT42" i="82"/>
  <c r="M10" i="82"/>
  <c r="O10" i="82"/>
  <c r="AC10" i="82" s="1"/>
  <c r="J10" i="82"/>
  <c r="K8" i="39"/>
  <c r="D8" i="39"/>
  <c r="F8" i="39"/>
  <c r="L7" i="58"/>
  <c r="E7" i="58"/>
  <c r="G7" i="58"/>
  <c r="I7" i="58"/>
  <c r="L7" i="57"/>
  <c r="E7" i="57"/>
  <c r="G7" i="57"/>
  <c r="I7" i="57"/>
  <c r="E42" i="81"/>
  <c r="F42" i="81" s="1"/>
  <c r="BE36" i="82"/>
  <c r="BE37" i="82"/>
  <c r="BE46" i="82"/>
  <c r="BE89" i="82"/>
  <c r="BE92" i="82"/>
  <c r="AT36" i="82"/>
  <c r="AX36" i="82"/>
  <c r="BZ36" i="82" s="1"/>
  <c r="AT37" i="82"/>
  <c r="AX37" i="82"/>
  <c r="BZ37" i="82" s="1"/>
  <c r="CA37" i="82" s="1"/>
  <c r="AT46" i="82"/>
  <c r="AX46" i="82"/>
  <c r="AT49" i="82"/>
  <c r="AX49" i="82"/>
  <c r="AT89" i="82"/>
  <c r="AX89" i="82"/>
  <c r="BZ89" i="82" s="1"/>
  <c r="CA89" i="82" s="1"/>
  <c r="AT92" i="82"/>
  <c r="W81" i="83"/>
  <c r="W84" i="83" s="1"/>
  <c r="Q26" i="83"/>
  <c r="D37" i="81"/>
  <c r="D8" i="97"/>
  <c r="E8" i="97"/>
  <c r="F8" i="97"/>
  <c r="W9" i="83"/>
  <c r="J9" i="83"/>
  <c r="Q9" i="83" s="1"/>
  <c r="X9" i="83"/>
  <c r="Q29" i="83"/>
  <c r="X83" i="83"/>
  <c r="R11" i="82"/>
  <c r="R32" i="82" s="1"/>
  <c r="R105" i="82" s="1"/>
  <c r="R107" i="82" s="1"/>
  <c r="S11" i="82"/>
  <c r="S32" i="82" s="1"/>
  <c r="S105" i="82" s="1"/>
  <c r="S107" i="82" s="1"/>
  <c r="AT11" i="82"/>
  <c r="AX11" i="82"/>
  <c r="AT20" i="82"/>
  <c r="AX20" i="82"/>
  <c r="BZ20" i="82" s="1"/>
  <c r="CA20" i="82" s="1"/>
  <c r="B19" i="81"/>
  <c r="B28" i="81" s="1"/>
  <c r="B37" i="81" s="1"/>
  <c r="B51" i="81" s="1"/>
  <c r="B60" i="81" s="1"/>
  <c r="B69" i="81" s="1"/>
  <c r="E20" i="81"/>
  <c r="E21" i="81"/>
  <c r="E22" i="81"/>
  <c r="E24" i="81"/>
  <c r="F24" i="81" s="1"/>
  <c r="E25" i="81"/>
  <c r="B101" i="81"/>
  <c r="B110" i="81"/>
  <c r="B118" i="81" s="1"/>
  <c r="B126" i="81" s="1"/>
  <c r="B134" i="81" s="1"/>
  <c r="B142" i="81" s="1"/>
  <c r="B150" i="81" s="1"/>
  <c r="B158" i="81" s="1"/>
  <c r="B166" i="81" s="1"/>
  <c r="N23" i="80"/>
  <c r="C8" i="39"/>
  <c r="D7" i="58"/>
  <c r="D7" i="57"/>
  <c r="B107" i="57"/>
  <c r="B108" i="57"/>
  <c r="I58" i="36"/>
  <c r="J58" i="36" s="1"/>
  <c r="L58" i="36"/>
  <c r="M58" i="36" s="1"/>
  <c r="I59" i="36"/>
  <c r="J59" i="36" s="1"/>
  <c r="L59" i="36"/>
  <c r="E60" i="36"/>
  <c r="G60" i="36"/>
  <c r="I60" i="36"/>
  <c r="L60" i="36"/>
  <c r="M60" i="36" s="1"/>
  <c r="N31" i="80"/>
  <c r="F171" i="81"/>
  <c r="N24" i="80"/>
  <c r="E56" i="81"/>
  <c r="F56" i="81" s="1"/>
  <c r="E65" i="81"/>
  <c r="F65" i="81" s="1"/>
  <c r="E131" i="81"/>
  <c r="J23" i="80"/>
  <c r="C99" i="81"/>
  <c r="F163" i="81"/>
  <c r="AB76" i="83"/>
  <c r="Z65" i="83"/>
  <c r="AB65" i="83"/>
  <c r="AB66" i="83"/>
  <c r="Z27" i="83"/>
  <c r="BB49" i="82"/>
  <c r="E59" i="36"/>
  <c r="J20" i="99" s="1"/>
  <c r="Z30" i="83"/>
  <c r="Z68" i="83"/>
  <c r="BC49" i="82"/>
  <c r="I24" i="80"/>
  <c r="I16" i="80" s="1"/>
  <c r="L23" i="36"/>
  <c r="M23" i="36" s="1"/>
  <c r="E23" i="36"/>
  <c r="I19" i="80"/>
  <c r="I11" i="80" s="1"/>
  <c r="AB48" i="83"/>
  <c r="E47" i="36"/>
  <c r="I21" i="80"/>
  <c r="I13" i="80" s="1"/>
  <c r="W80" i="83"/>
  <c r="E58" i="36"/>
  <c r="S80" i="83"/>
  <c r="BT93" i="82"/>
  <c r="AB68" i="83"/>
  <c r="L30" i="36"/>
  <c r="M30" i="36" s="1"/>
  <c r="Z48" i="83"/>
  <c r="L63" i="36"/>
  <c r="BV35" i="82"/>
  <c r="BE49" i="82"/>
  <c r="E51" i="36"/>
  <c r="E63" i="36"/>
  <c r="E61" i="36" s="1"/>
  <c r="C70" i="81" s="1"/>
  <c r="K101" i="82"/>
  <c r="BV47" i="82"/>
  <c r="BX43" i="82"/>
  <c r="M19" i="80"/>
  <c r="BX38" i="82"/>
  <c r="BV40" i="82"/>
  <c r="AA30" i="83"/>
  <c r="AB30" i="83"/>
  <c r="I30" i="36"/>
  <c r="J30" i="36" s="1"/>
  <c r="BX33" i="82"/>
  <c r="L47" i="58" l="1"/>
  <c r="M70" i="58"/>
  <c r="I127" i="57"/>
  <c r="J127" i="57" s="1"/>
  <c r="BZ49" i="82"/>
  <c r="CA49" i="82" s="1"/>
  <c r="K121" i="57"/>
  <c r="K69" i="36" s="1"/>
  <c r="CA36" i="82"/>
  <c r="G61" i="36"/>
  <c r="C73" i="81"/>
  <c r="L61" i="36"/>
  <c r="C74" i="81" s="1"/>
  <c r="C33" i="81" s="1"/>
  <c r="M63" i="36"/>
  <c r="J25" i="99"/>
  <c r="J17" i="99" s="1"/>
  <c r="J61" i="99" s="1"/>
  <c r="M59" i="36"/>
  <c r="P59" i="80"/>
  <c r="P58" i="80"/>
  <c r="B56" i="81"/>
  <c r="B65" i="81" s="1"/>
  <c r="B74" i="81" s="1"/>
  <c r="BZ92" i="82"/>
  <c r="CA92" i="82" s="1"/>
  <c r="BZ11" i="82"/>
  <c r="CA11" i="82" s="1"/>
  <c r="BZ46" i="82"/>
  <c r="CA46" i="82" s="1"/>
  <c r="H51" i="36"/>
  <c r="J51" i="36"/>
  <c r="H60" i="36"/>
  <c r="J60" i="36"/>
  <c r="H127" i="57"/>
  <c r="H47" i="36"/>
  <c r="J70" i="58"/>
  <c r="J22" i="99"/>
  <c r="L22" i="99" s="1"/>
  <c r="L14" i="99" s="1"/>
  <c r="L58" i="99" s="1"/>
  <c r="H59" i="36"/>
  <c r="L127" i="57"/>
  <c r="K105" i="82"/>
  <c r="BU101" i="82"/>
  <c r="D125" i="57" s="1"/>
  <c r="G71" i="36"/>
  <c r="F71" i="36" s="1"/>
  <c r="F127" i="57"/>
  <c r="G71" i="58"/>
  <c r="H71" i="58" s="1"/>
  <c r="F51" i="36"/>
  <c r="C71" i="81"/>
  <c r="F71" i="81" s="1"/>
  <c r="F61" i="36"/>
  <c r="J21" i="99"/>
  <c r="J13" i="99" s="1"/>
  <c r="J57" i="99" s="1"/>
  <c r="F59" i="36"/>
  <c r="F47" i="36"/>
  <c r="F60" i="36"/>
  <c r="J12" i="99"/>
  <c r="J56" i="99" s="1"/>
  <c r="L20" i="99"/>
  <c r="L12" i="99" s="1"/>
  <c r="L56" i="99" s="1"/>
  <c r="AF49" i="82"/>
  <c r="AF101" i="82" s="1"/>
  <c r="AF105" i="82" s="1"/>
  <c r="AF107" i="82" s="1"/>
  <c r="AG49" i="82"/>
  <c r="AG101" i="82" s="1"/>
  <c r="AG105" i="82" s="1"/>
  <c r="AG107" i="82" s="1"/>
  <c r="F51" i="99"/>
  <c r="F43" i="99" s="1"/>
  <c r="F25" i="99"/>
  <c r="F17" i="99" s="1"/>
  <c r="F21" i="99"/>
  <c r="F13" i="99" s="1"/>
  <c r="F47" i="99"/>
  <c r="F39" i="99" s="1"/>
  <c r="E40" i="81"/>
  <c r="F22" i="99"/>
  <c r="F14" i="99" s="1"/>
  <c r="F48" i="99"/>
  <c r="F40" i="99" s="1"/>
  <c r="E37" i="81"/>
  <c r="F45" i="99"/>
  <c r="C38" i="99"/>
  <c r="C56" i="99" s="1"/>
  <c r="E38" i="81"/>
  <c r="F46" i="99"/>
  <c r="F38" i="99" s="1"/>
  <c r="F20" i="99"/>
  <c r="F12" i="99" s="1"/>
  <c r="L76" i="36"/>
  <c r="F66" i="97"/>
  <c r="F65" i="97" s="1"/>
  <c r="F64" i="97" s="1"/>
  <c r="F87" i="97" s="1"/>
  <c r="I71" i="36"/>
  <c r="J71" i="36" s="1"/>
  <c r="E46" i="58"/>
  <c r="E107" i="58" s="1"/>
  <c r="D70" i="58"/>
  <c r="D47" i="58" s="1"/>
  <c r="AD49" i="82"/>
  <c r="AD101" i="82" s="1"/>
  <c r="O23" i="80"/>
  <c r="J27" i="80"/>
  <c r="O27" i="80" s="1"/>
  <c r="C143" i="81"/>
  <c r="F143" i="81" s="1"/>
  <c r="D51" i="36"/>
  <c r="F169" i="81"/>
  <c r="D51" i="81"/>
  <c r="D83" i="36"/>
  <c r="H18" i="80" s="1"/>
  <c r="H10" i="80" s="1"/>
  <c r="H53" i="80" s="1"/>
  <c r="D10" i="81"/>
  <c r="B45" i="99" s="1"/>
  <c r="E150" i="81"/>
  <c r="BB32" i="82"/>
  <c r="E156" i="81"/>
  <c r="N48" i="80"/>
  <c r="B97" i="81"/>
  <c r="B113" i="81"/>
  <c r="B121" i="81" s="1"/>
  <c r="B129" i="81" s="1"/>
  <c r="B137" i="81" s="1"/>
  <c r="B145" i="81" s="1"/>
  <c r="B153" i="81" s="1"/>
  <c r="B161" i="81" s="1"/>
  <c r="B169" i="81" s="1"/>
  <c r="O31" i="80"/>
  <c r="BW20" i="82"/>
  <c r="B96" i="81"/>
  <c r="B86" i="81"/>
  <c r="B102" i="81" s="1"/>
  <c r="BV20" i="82"/>
  <c r="BX20" i="82"/>
  <c r="F63" i="97"/>
  <c r="L58" i="80"/>
  <c r="E58" i="80"/>
  <c r="P53" i="80"/>
  <c r="BW46" i="82"/>
  <c r="Y96" i="83"/>
  <c r="Y97" i="83" s="1"/>
  <c r="X65" i="83"/>
  <c r="I54" i="80"/>
  <c r="D63" i="36"/>
  <c r="D61" i="36" s="1"/>
  <c r="I58" i="80"/>
  <c r="J15" i="80"/>
  <c r="P54" i="80"/>
  <c r="I56" i="80"/>
  <c r="I59" i="80"/>
  <c r="F90" i="81"/>
  <c r="F106" i="81" s="1"/>
  <c r="B90" i="81"/>
  <c r="B106" i="81" s="1"/>
  <c r="B116" i="81"/>
  <c r="B124" i="81" s="1"/>
  <c r="B132" i="81" s="1"/>
  <c r="B140" i="81" s="1"/>
  <c r="B148" i="81" s="1"/>
  <c r="B156" i="81" s="1"/>
  <c r="B164" i="81" s="1"/>
  <c r="B172" i="81" s="1"/>
  <c r="D58" i="80"/>
  <c r="B99" i="81"/>
  <c r="BW89" i="82"/>
  <c r="BW37" i="82"/>
  <c r="X48" i="83"/>
  <c r="AB81" i="83"/>
  <c r="BW94" i="82"/>
  <c r="BW92" i="82"/>
  <c r="E39" i="81"/>
  <c r="E57" i="81"/>
  <c r="F57" i="81" s="1"/>
  <c r="E153" i="81"/>
  <c r="BV50" i="82"/>
  <c r="BX89" i="82"/>
  <c r="M11" i="80"/>
  <c r="M54" i="80" s="1"/>
  <c r="BA32" i="82"/>
  <c r="BB101" i="82"/>
  <c r="F167" i="81"/>
  <c r="D110" i="58"/>
  <c r="M58" i="80"/>
  <c r="G58" i="80"/>
  <c r="N40" i="80"/>
  <c r="P56" i="80"/>
  <c r="C58" i="80"/>
  <c r="F58" i="80"/>
  <c r="B58" i="80"/>
  <c r="H58" i="80"/>
  <c r="N15" i="80"/>
  <c r="K58" i="80"/>
  <c r="B95" i="81"/>
  <c r="B87" i="81"/>
  <c r="B103" i="81" s="1"/>
  <c r="J48" i="80"/>
  <c r="B100" i="81"/>
  <c r="F99" i="81"/>
  <c r="X30" i="83"/>
  <c r="E54" i="81"/>
  <c r="E52" i="81"/>
  <c r="E151" i="81"/>
  <c r="X39" i="83"/>
  <c r="X81" i="83"/>
  <c r="E43" i="81"/>
  <c r="AU32" i="82"/>
  <c r="AV32" i="82"/>
  <c r="BT89" i="82"/>
  <c r="C144" i="81"/>
  <c r="C145" i="81"/>
  <c r="E21" i="80" s="1"/>
  <c r="E13" i="80" s="1"/>
  <c r="E56" i="80" s="1"/>
  <c r="BC101" i="82"/>
  <c r="AR32" i="82"/>
  <c r="P32" i="82"/>
  <c r="AV101" i="82"/>
  <c r="BT92" i="82"/>
  <c r="AU101" i="82"/>
  <c r="D23" i="36"/>
  <c r="E57" i="36"/>
  <c r="Z29" i="83"/>
  <c r="E123" i="57" s="1"/>
  <c r="L123" i="57"/>
  <c r="M123" i="57" s="1"/>
  <c r="L120" i="57"/>
  <c r="M120" i="57" s="1"/>
  <c r="F35" i="80"/>
  <c r="E152" i="81"/>
  <c r="B51" i="99"/>
  <c r="E13" i="81"/>
  <c r="M16" i="80"/>
  <c r="M59" i="80" s="1"/>
  <c r="E11" i="81"/>
  <c r="H99" i="81"/>
  <c r="F131" i="81"/>
  <c r="G99" i="81" s="1"/>
  <c r="Z26" i="83"/>
  <c r="Z81" i="83"/>
  <c r="BC32" i="82"/>
  <c r="AX32" i="82"/>
  <c r="E63" i="97"/>
  <c r="AT32" i="82"/>
  <c r="D63" i="97"/>
  <c r="H19" i="80"/>
  <c r="H11" i="80" s="1"/>
  <c r="H54" i="80" s="1"/>
  <c r="AT101" i="82"/>
  <c r="BE101" i="82"/>
  <c r="I53" i="80"/>
  <c r="M101" i="82"/>
  <c r="M105" i="82" s="1"/>
  <c r="M107" i="82" s="1"/>
  <c r="J32" i="80"/>
  <c r="AX101" i="82"/>
  <c r="AB61" i="83"/>
  <c r="J29" i="80"/>
  <c r="BA101" i="82"/>
  <c r="C84" i="83"/>
  <c r="D59" i="36"/>
  <c r="BT46" i="82"/>
  <c r="L57" i="36"/>
  <c r="E45" i="58"/>
  <c r="F45" i="58" s="1"/>
  <c r="E17" i="36"/>
  <c r="C137" i="81"/>
  <c r="M13" i="80"/>
  <c r="M56" i="80" s="1"/>
  <c r="I63" i="36"/>
  <c r="I61" i="36" s="1"/>
  <c r="J61" i="36" s="1"/>
  <c r="F33" i="81"/>
  <c r="F74" i="81"/>
  <c r="F172" i="81"/>
  <c r="L19" i="80"/>
  <c r="L16" i="80"/>
  <c r="L59" i="80" s="1"/>
  <c r="L45" i="58"/>
  <c r="C25" i="81"/>
  <c r="F25" i="81" s="1"/>
  <c r="I41" i="36"/>
  <c r="J41" i="36" s="1"/>
  <c r="D41" i="36"/>
  <c r="G41" i="36"/>
  <c r="C62" i="97"/>
  <c r="C60" i="97" s="1"/>
  <c r="I57" i="36"/>
  <c r="J57" i="36" s="1"/>
  <c r="H24" i="80"/>
  <c r="H16" i="80" s="1"/>
  <c r="H59" i="80" s="1"/>
  <c r="BT11" i="82"/>
  <c r="BX39" i="82"/>
  <c r="BX37" i="82"/>
  <c r="L101" i="82"/>
  <c r="C142" i="81"/>
  <c r="E18" i="80" s="1"/>
  <c r="J101" i="82"/>
  <c r="BV36" i="82"/>
  <c r="E122" i="57" s="1"/>
  <c r="BX47" i="82"/>
  <c r="BV11" i="82"/>
  <c r="BV37" i="82"/>
  <c r="BV43" i="82"/>
  <c r="AR101" i="82"/>
  <c r="BV89" i="82"/>
  <c r="BX35" i="82"/>
  <c r="BX36" i="82"/>
  <c r="L122" i="57"/>
  <c r="M122" i="57" s="1"/>
  <c r="BT47" i="82"/>
  <c r="BE32" i="82"/>
  <c r="O101" i="82"/>
  <c r="BZ101" i="82" s="1"/>
  <c r="BV46" i="82"/>
  <c r="AY49" i="82"/>
  <c r="AY101" i="82" s="1"/>
  <c r="J32" i="82"/>
  <c r="P101" i="82"/>
  <c r="AY32" i="82"/>
  <c r="C148" i="81"/>
  <c r="F148" i="81" s="1"/>
  <c r="X68" i="83"/>
  <c r="X29" i="83"/>
  <c r="E10" i="36"/>
  <c r="F10" i="36" s="1"/>
  <c r="H45" i="58"/>
  <c r="J26" i="80"/>
  <c r="I23" i="36"/>
  <c r="J23" i="36" s="1"/>
  <c r="F70" i="81"/>
  <c r="BV106" i="82"/>
  <c r="K19" i="80"/>
  <c r="K11" i="80" s="1"/>
  <c r="AB39" i="83"/>
  <c r="L9" i="36"/>
  <c r="Z77" i="83"/>
  <c r="E126" i="57" s="1"/>
  <c r="G58" i="36"/>
  <c r="H58" i="36" s="1"/>
  <c r="D81" i="36"/>
  <c r="AB27" i="83"/>
  <c r="AB29" i="83" s="1"/>
  <c r="J123" i="57" s="1"/>
  <c r="BT36" i="82"/>
  <c r="C118" i="81" s="1"/>
  <c r="C18" i="80" s="1"/>
  <c r="E53" i="81"/>
  <c r="X26" i="83"/>
  <c r="AA29" i="83"/>
  <c r="G123" i="57" s="1"/>
  <c r="G30" i="36"/>
  <c r="F30" i="36" s="1"/>
  <c r="G23" i="36"/>
  <c r="F23" i="36" s="1"/>
  <c r="Q77" i="83"/>
  <c r="Q80" i="83" s="1"/>
  <c r="AA81" i="83"/>
  <c r="D136" i="81" s="1"/>
  <c r="K45" i="80" s="1"/>
  <c r="L46" i="58" l="1"/>
  <c r="M47" i="58"/>
  <c r="I122" i="57"/>
  <c r="I121" i="57" s="1"/>
  <c r="K124" i="57"/>
  <c r="K70" i="36" s="1"/>
  <c r="CA101" i="82"/>
  <c r="L71" i="36"/>
  <c r="M71" i="36" s="1"/>
  <c r="M127" i="57"/>
  <c r="L25" i="99"/>
  <c r="L17" i="99" s="1"/>
  <c r="L61" i="99" s="1"/>
  <c r="F73" i="81"/>
  <c r="C32" i="81"/>
  <c r="L75" i="36"/>
  <c r="M75" i="36" s="1"/>
  <c r="M76" i="36"/>
  <c r="H8" i="105"/>
  <c r="M9" i="36"/>
  <c r="C43" i="81"/>
  <c r="C34" i="81" s="1"/>
  <c r="M57" i="36"/>
  <c r="BZ32" i="82"/>
  <c r="H71" i="36"/>
  <c r="J14" i="99"/>
  <c r="J58" i="99" s="1"/>
  <c r="F54" i="81"/>
  <c r="L121" i="57"/>
  <c r="M121" i="57" s="1"/>
  <c r="J47" i="58"/>
  <c r="H123" i="57"/>
  <c r="H41" i="36"/>
  <c r="H23" i="36"/>
  <c r="H61" i="36"/>
  <c r="H30" i="36"/>
  <c r="K107" i="82"/>
  <c r="BU107" i="82" s="1"/>
  <c r="BU105" i="82"/>
  <c r="F57" i="99"/>
  <c r="F123" i="57"/>
  <c r="G70" i="58"/>
  <c r="H70" i="58" s="1"/>
  <c r="F71" i="58"/>
  <c r="F61" i="99"/>
  <c r="F64" i="99" s="1"/>
  <c r="L21" i="99"/>
  <c r="L13" i="99" s="1"/>
  <c r="L57" i="99" s="1"/>
  <c r="C20" i="81"/>
  <c r="F20" i="81" s="1"/>
  <c r="F17" i="36"/>
  <c r="C21" i="81"/>
  <c r="F21" i="81" s="1"/>
  <c r="F41" i="36"/>
  <c r="F58" i="99"/>
  <c r="G57" i="36"/>
  <c r="H57" i="36" s="1"/>
  <c r="F58" i="36"/>
  <c r="F56" i="99"/>
  <c r="B43" i="99"/>
  <c r="F19" i="99"/>
  <c r="F11" i="99" s="1"/>
  <c r="F37" i="99"/>
  <c r="E51" i="81"/>
  <c r="F51" i="81" s="1"/>
  <c r="C45" i="99"/>
  <c r="C37" i="99" s="1"/>
  <c r="C55" i="99" s="1"/>
  <c r="B37" i="99"/>
  <c r="F52" i="81"/>
  <c r="E120" i="57"/>
  <c r="C124" i="81"/>
  <c r="C24" i="80" s="1"/>
  <c r="C16" i="80" s="1"/>
  <c r="E121" i="57"/>
  <c r="E69" i="36" s="1"/>
  <c r="D46" i="58"/>
  <c r="D107" i="58" s="1"/>
  <c r="BW101" i="82"/>
  <c r="E66" i="97"/>
  <c r="E65" i="97" s="1"/>
  <c r="E64" i="97" s="1"/>
  <c r="E87" i="97" s="1"/>
  <c r="BB105" i="82"/>
  <c r="BB107" i="82" s="1"/>
  <c r="E19" i="80"/>
  <c r="E11" i="80" s="1"/>
  <c r="E54" i="80" s="1"/>
  <c r="C38" i="81"/>
  <c r="F38" i="81" s="1"/>
  <c r="D66" i="97"/>
  <c r="D65" i="97" s="1"/>
  <c r="D64" i="97" s="1"/>
  <c r="D87" i="97" s="1"/>
  <c r="C72" i="97"/>
  <c r="D71" i="36"/>
  <c r="D17" i="36"/>
  <c r="N31" i="52"/>
  <c r="F41" i="80"/>
  <c r="C43" i="80"/>
  <c r="D116" i="81"/>
  <c r="E116" i="81" s="1"/>
  <c r="D140" i="81"/>
  <c r="K49" i="80" s="1"/>
  <c r="N49" i="80" s="1"/>
  <c r="AV105" i="82"/>
  <c r="AV107" i="82" s="1"/>
  <c r="BV74" i="82"/>
  <c r="BX74" i="82"/>
  <c r="AD105" i="82"/>
  <c r="AD107" i="82" s="1"/>
  <c r="BT74" i="82"/>
  <c r="BW74" i="82"/>
  <c r="M18" i="80"/>
  <c r="M10" i="80" s="1"/>
  <c r="M53" i="80" s="1"/>
  <c r="L18" i="80"/>
  <c r="L10" i="80" s="1"/>
  <c r="L53" i="80" s="1"/>
  <c r="D57" i="36"/>
  <c r="D111" i="58"/>
  <c r="P105" i="82"/>
  <c r="P107" i="82" s="1"/>
  <c r="C69" i="81"/>
  <c r="F69" i="81" s="1"/>
  <c r="D77" i="36"/>
  <c r="AY105" i="82"/>
  <c r="AY107" i="82" s="1"/>
  <c r="BA105" i="82"/>
  <c r="BA107" i="82" s="1"/>
  <c r="D137" i="81"/>
  <c r="K46" i="80" s="1"/>
  <c r="N45" i="80"/>
  <c r="K37" i="80"/>
  <c r="E10" i="80"/>
  <c r="E53" i="80" s="1"/>
  <c r="E20" i="80"/>
  <c r="E12" i="80" s="1"/>
  <c r="E55" i="80" s="1"/>
  <c r="BW32" i="82"/>
  <c r="G119" i="57" s="1"/>
  <c r="N58" i="80"/>
  <c r="E10" i="81"/>
  <c r="D45" i="58"/>
  <c r="F145" i="81"/>
  <c r="L11" i="80"/>
  <c r="N11" i="80" s="1"/>
  <c r="D82" i="36"/>
  <c r="O15" i="80"/>
  <c r="O48" i="80"/>
  <c r="J40" i="80"/>
  <c r="D124" i="81"/>
  <c r="C49" i="80" s="1"/>
  <c r="C41" i="80" s="1"/>
  <c r="D121" i="57"/>
  <c r="D119" i="81"/>
  <c r="E119" i="81" s="1"/>
  <c r="K43" i="80"/>
  <c r="D111" i="81"/>
  <c r="B44" i="80" s="1"/>
  <c r="BT37" i="82"/>
  <c r="AR105" i="82"/>
  <c r="AR107" i="82" s="1"/>
  <c r="BC105" i="82"/>
  <c r="BC107" i="82" s="1"/>
  <c r="AU105" i="82"/>
  <c r="AU107" i="82" s="1"/>
  <c r="E108" i="58"/>
  <c r="F144" i="81"/>
  <c r="W156" i="82"/>
  <c r="W107" i="82"/>
  <c r="AK105" i="82"/>
  <c r="AK107" i="82" s="1"/>
  <c r="BE105" i="82"/>
  <c r="BE107" i="82" s="1"/>
  <c r="E24" i="80"/>
  <c r="E16" i="80" s="1"/>
  <c r="E59" i="80" s="1"/>
  <c r="E62" i="80" s="1"/>
  <c r="E56" i="36"/>
  <c r="E55" i="36" s="1"/>
  <c r="E9" i="36"/>
  <c r="F43" i="81"/>
  <c r="AA26" i="83"/>
  <c r="G120" i="57" s="1"/>
  <c r="AT105" i="82"/>
  <c r="AT107" i="82" s="1"/>
  <c r="E16" i="81"/>
  <c r="C16" i="81" s="1"/>
  <c r="B25" i="99" s="1"/>
  <c r="I9" i="36"/>
  <c r="J9" i="36" s="1"/>
  <c r="E12" i="81"/>
  <c r="C12" i="81" s="1"/>
  <c r="B21" i="99" s="1"/>
  <c r="H21" i="80"/>
  <c r="H13" i="80" s="1"/>
  <c r="H56" i="80" s="1"/>
  <c r="F13" i="80"/>
  <c r="F56" i="80" s="1"/>
  <c r="F16" i="80"/>
  <c r="C140" i="81"/>
  <c r="BW106" i="82"/>
  <c r="C11" i="81"/>
  <c r="C56" i="97"/>
  <c r="C55" i="97" s="1"/>
  <c r="C54" i="97" s="1"/>
  <c r="AX105" i="82"/>
  <c r="AX107" i="82" s="1"/>
  <c r="D135" i="81"/>
  <c r="K18" i="80"/>
  <c r="L56" i="36"/>
  <c r="C22" i="81"/>
  <c r="F22" i="81" s="1"/>
  <c r="L13" i="80"/>
  <c r="L56" i="80" s="1"/>
  <c r="BX106" i="82"/>
  <c r="K16" i="80"/>
  <c r="N16" i="80" s="1"/>
  <c r="N32" i="80"/>
  <c r="O32" i="80" s="1"/>
  <c r="N26" i="80"/>
  <c r="O26" i="80" s="1"/>
  <c r="C40" i="81"/>
  <c r="C31" i="81" s="1"/>
  <c r="I56" i="36"/>
  <c r="J56" i="36" s="1"/>
  <c r="G9" i="36"/>
  <c r="BX32" i="82"/>
  <c r="L119" i="57"/>
  <c r="J105" i="82"/>
  <c r="J107" i="82" s="1"/>
  <c r="BX46" i="82"/>
  <c r="F142" i="81"/>
  <c r="O105" i="82"/>
  <c r="BW11" i="82"/>
  <c r="BT32" i="82"/>
  <c r="C110" i="81" s="1"/>
  <c r="B18" i="80" s="1"/>
  <c r="BT20" i="82"/>
  <c r="BX11" i="82"/>
  <c r="B43" i="80"/>
  <c r="E136" i="81"/>
  <c r="F136" i="81" s="1"/>
  <c r="K13" i="80"/>
  <c r="F53" i="81"/>
  <c r="L126" i="57"/>
  <c r="M126" i="57" s="1"/>
  <c r="D127" i="81"/>
  <c r="N19" i="80"/>
  <c r="T80" i="83"/>
  <c r="T84" i="83"/>
  <c r="L105" i="82"/>
  <c r="L107" i="82" s="1"/>
  <c r="BW36" i="82"/>
  <c r="X77" i="83"/>
  <c r="D121" i="81"/>
  <c r="BT106" i="82"/>
  <c r="C13" i="81"/>
  <c r="B22" i="99" s="1"/>
  <c r="D120" i="81"/>
  <c r="C45" i="80" s="1"/>
  <c r="C37" i="80" s="1"/>
  <c r="D78" i="36"/>
  <c r="F166" i="81" s="1"/>
  <c r="AA77" i="83"/>
  <c r="G126" i="57" s="1"/>
  <c r="F126" i="57" s="1"/>
  <c r="D76" i="36"/>
  <c r="U80" i="83"/>
  <c r="U84" i="83"/>
  <c r="AB26" i="83"/>
  <c r="J120" i="57" s="1"/>
  <c r="J84" i="83"/>
  <c r="Z80" i="83"/>
  <c r="BV32" i="82"/>
  <c r="E119" i="57" s="1"/>
  <c r="AB77" i="83"/>
  <c r="J126" i="57" s="1"/>
  <c r="Q84" i="83"/>
  <c r="C101" i="82"/>
  <c r="BT101" i="82" s="1"/>
  <c r="M46" i="58" l="1"/>
  <c r="L107" i="58"/>
  <c r="I119" i="57"/>
  <c r="I118" i="57" s="1"/>
  <c r="K118" i="57"/>
  <c r="CA32" i="82"/>
  <c r="J122" i="57"/>
  <c r="L118" i="57"/>
  <c r="M119" i="57"/>
  <c r="C82" i="81"/>
  <c r="F82" i="81" s="1"/>
  <c r="F32" i="81"/>
  <c r="C39" i="81"/>
  <c r="C30" i="81" s="1"/>
  <c r="C80" i="81" s="1"/>
  <c r="L55" i="36"/>
  <c r="M56" i="36"/>
  <c r="O107" i="82"/>
  <c r="BZ107" i="82" s="1"/>
  <c r="CA107" i="82" s="1"/>
  <c r="BZ105" i="82"/>
  <c r="CA105" i="82" s="1"/>
  <c r="K68" i="36"/>
  <c r="K67" i="36" s="1"/>
  <c r="K66" i="36" s="1"/>
  <c r="K65" i="36" s="1"/>
  <c r="K90" i="36" s="1"/>
  <c r="K117" i="57"/>
  <c r="K140" i="57" s="1"/>
  <c r="I69" i="36"/>
  <c r="J69" i="36" s="1"/>
  <c r="J121" i="57"/>
  <c r="J46" i="58"/>
  <c r="I76" i="36"/>
  <c r="F120" i="57"/>
  <c r="H119" i="57"/>
  <c r="H120" i="57"/>
  <c r="H126" i="57"/>
  <c r="H9" i="36"/>
  <c r="I55" i="36"/>
  <c r="J55" i="36" s="1"/>
  <c r="J118" i="57"/>
  <c r="F119" i="57"/>
  <c r="F70" i="58"/>
  <c r="G47" i="58"/>
  <c r="H47" i="58" s="1"/>
  <c r="G56" i="36"/>
  <c r="H56" i="36" s="1"/>
  <c r="F57" i="36"/>
  <c r="F9" i="36"/>
  <c r="F55" i="99"/>
  <c r="G25" i="99"/>
  <c r="B17" i="99"/>
  <c r="B61" i="99" s="1"/>
  <c r="B64" i="99" s="1"/>
  <c r="F11" i="81"/>
  <c r="B20" i="99"/>
  <c r="C39" i="99"/>
  <c r="C57" i="99" s="1"/>
  <c r="B14" i="99"/>
  <c r="B58" i="99" s="1"/>
  <c r="G22" i="99"/>
  <c r="B13" i="99"/>
  <c r="B57" i="99" s="1"/>
  <c r="G21" i="99"/>
  <c r="E118" i="57"/>
  <c r="E68" i="36" s="1"/>
  <c r="L69" i="36"/>
  <c r="M69" i="36" s="1"/>
  <c r="C113" i="81"/>
  <c r="B21" i="80" s="1"/>
  <c r="B13" i="80" s="1"/>
  <c r="C121" i="81"/>
  <c r="C21" i="80" s="1"/>
  <c r="C13" i="80" s="1"/>
  <c r="G122" i="57"/>
  <c r="H122" i="57" s="1"/>
  <c r="G118" i="57"/>
  <c r="G125" i="57"/>
  <c r="C29" i="81"/>
  <c r="C79" i="81" s="1"/>
  <c r="E118" i="81"/>
  <c r="F118" i="81" s="1"/>
  <c r="E140" i="81"/>
  <c r="F140" i="81" s="1"/>
  <c r="K41" i="80"/>
  <c r="N41" i="80" s="1"/>
  <c r="B49" i="80"/>
  <c r="B41" i="80" s="1"/>
  <c r="C119" i="81"/>
  <c r="C19" i="80" s="1"/>
  <c r="C11" i="80" s="1"/>
  <c r="D69" i="36"/>
  <c r="C19" i="81"/>
  <c r="F19" i="81" s="1"/>
  <c r="D56" i="36"/>
  <c r="D55" i="36" s="1"/>
  <c r="F59" i="80"/>
  <c r="X80" i="83"/>
  <c r="BV49" i="82"/>
  <c r="E124" i="81"/>
  <c r="F124" i="81" s="1"/>
  <c r="BT49" i="82"/>
  <c r="BV101" i="82"/>
  <c r="E125" i="57" s="1"/>
  <c r="E124" i="57" s="1"/>
  <c r="D142" i="57"/>
  <c r="C37" i="81"/>
  <c r="F37" i="81" s="1"/>
  <c r="BX104" i="82"/>
  <c r="BW49" i="82"/>
  <c r="D108" i="58"/>
  <c r="E137" i="81"/>
  <c r="F137" i="81" s="1"/>
  <c r="K38" i="80"/>
  <c r="N38" i="80" s="1"/>
  <c r="N46" i="80"/>
  <c r="N37" i="80"/>
  <c r="N55" i="80" s="1"/>
  <c r="K55" i="80"/>
  <c r="BW104" i="82"/>
  <c r="F12" i="80"/>
  <c r="F55" i="80" s="1"/>
  <c r="AA80" i="83"/>
  <c r="AA84" i="83" s="1"/>
  <c r="D112" i="81"/>
  <c r="B45" i="80" s="1"/>
  <c r="C44" i="80"/>
  <c r="C36" i="80" s="1"/>
  <c r="F156" i="81"/>
  <c r="L54" i="80"/>
  <c r="J58" i="80"/>
  <c r="O40" i="80"/>
  <c r="O58" i="80" s="1"/>
  <c r="E111" i="81"/>
  <c r="D95" i="81"/>
  <c r="E95" i="81" s="1"/>
  <c r="E134" i="81"/>
  <c r="F134" i="81" s="1"/>
  <c r="BV92" i="82"/>
  <c r="BX92" i="82"/>
  <c r="BX94" i="82"/>
  <c r="N29" i="80"/>
  <c r="O29" i="80" s="1"/>
  <c r="E64" i="36"/>
  <c r="C59" i="80"/>
  <c r="C62" i="80" s="1"/>
  <c r="F153" i="81"/>
  <c r="E135" i="81"/>
  <c r="F135" i="81" s="1"/>
  <c r="K44" i="80"/>
  <c r="N18" i="80"/>
  <c r="K10" i="80"/>
  <c r="N10" i="80" s="1"/>
  <c r="D109" i="58"/>
  <c r="C81" i="81"/>
  <c r="F40" i="81"/>
  <c r="F152" i="81"/>
  <c r="C111" i="81"/>
  <c r="B36" i="80"/>
  <c r="D129" i="81"/>
  <c r="Z84" i="83"/>
  <c r="F12" i="81"/>
  <c r="D128" i="81"/>
  <c r="D45" i="80" s="1"/>
  <c r="D37" i="80" s="1"/>
  <c r="C35" i="80"/>
  <c r="E120" i="81"/>
  <c r="B10" i="80"/>
  <c r="D43" i="80"/>
  <c r="E110" i="81"/>
  <c r="D75" i="36"/>
  <c r="E121" i="81"/>
  <c r="C46" i="80"/>
  <c r="C38" i="80" s="1"/>
  <c r="D118" i="57"/>
  <c r="D113" i="81"/>
  <c r="AB80" i="83"/>
  <c r="F13" i="81"/>
  <c r="D132" i="81"/>
  <c r="N13" i="80"/>
  <c r="C84" i="81"/>
  <c r="F16" i="81"/>
  <c r="C10" i="80"/>
  <c r="D44" i="80"/>
  <c r="D36" i="80" s="1"/>
  <c r="E127" i="81"/>
  <c r="K35" i="80"/>
  <c r="N43" i="80"/>
  <c r="F39" i="81" l="1"/>
  <c r="M107" i="58"/>
  <c r="L108" i="58"/>
  <c r="M118" i="57"/>
  <c r="L68" i="36"/>
  <c r="M68" i="36" s="1"/>
  <c r="J119" i="57"/>
  <c r="L64" i="36"/>
  <c r="M64" i="36" s="1"/>
  <c r="H11" i="105"/>
  <c r="I11" i="105" s="1"/>
  <c r="M55" i="36"/>
  <c r="I64" i="36"/>
  <c r="J64" i="36" s="1"/>
  <c r="I75" i="36"/>
  <c r="J75" i="36" s="1"/>
  <c r="J76" i="36"/>
  <c r="J107" i="58"/>
  <c r="H118" i="57"/>
  <c r="G124" i="57"/>
  <c r="F125" i="57"/>
  <c r="G68" i="36"/>
  <c r="F68" i="36" s="1"/>
  <c r="F118" i="57"/>
  <c r="G121" i="57"/>
  <c r="H121" i="57" s="1"/>
  <c r="F122" i="57"/>
  <c r="G46" i="58"/>
  <c r="H46" i="58" s="1"/>
  <c r="F47" i="58"/>
  <c r="G76" i="36"/>
  <c r="H76" i="36" s="1"/>
  <c r="I68" i="36"/>
  <c r="J68" i="36" s="1"/>
  <c r="G55" i="36"/>
  <c r="H55" i="36" s="1"/>
  <c r="F56" i="36"/>
  <c r="G13" i="99"/>
  <c r="M21" i="99"/>
  <c r="B12" i="99"/>
  <c r="B56" i="99" s="1"/>
  <c r="G20" i="99"/>
  <c r="G14" i="99"/>
  <c r="M22" i="99"/>
  <c r="M25" i="99"/>
  <c r="G17" i="99"/>
  <c r="E117" i="57"/>
  <c r="E140" i="57" s="1"/>
  <c r="E70" i="36"/>
  <c r="E67" i="36" s="1"/>
  <c r="E66" i="36" s="1"/>
  <c r="F121" i="81"/>
  <c r="C56" i="80"/>
  <c r="C120" i="81"/>
  <c r="C20" i="80" s="1"/>
  <c r="C12" i="80" s="1"/>
  <c r="C55" i="80" s="1"/>
  <c r="C116" i="81"/>
  <c r="K59" i="80"/>
  <c r="K62" i="80" s="1"/>
  <c r="F18" i="80"/>
  <c r="C54" i="80"/>
  <c r="F119" i="81"/>
  <c r="D68" i="36"/>
  <c r="X84" i="83"/>
  <c r="K56" i="80"/>
  <c r="D10" i="36"/>
  <c r="C28" i="81"/>
  <c r="N56" i="80"/>
  <c r="E112" i="81"/>
  <c r="D96" i="81"/>
  <c r="E96" i="81" s="1"/>
  <c r="B37" i="80"/>
  <c r="J45" i="80"/>
  <c r="C112" i="81"/>
  <c r="F11" i="80"/>
  <c r="F54" i="80" s="1"/>
  <c r="Z97" i="83"/>
  <c r="AA97" i="83"/>
  <c r="F151" i="81"/>
  <c r="N44" i="80"/>
  <c r="K36" i="80"/>
  <c r="H95" i="81"/>
  <c r="D94" i="81"/>
  <c r="E94" i="81" s="1"/>
  <c r="C53" i="80"/>
  <c r="N59" i="80"/>
  <c r="N62" i="80" s="1"/>
  <c r="D100" i="81"/>
  <c r="E100" i="81" s="1"/>
  <c r="E132" i="81"/>
  <c r="H100" i="81" s="1"/>
  <c r="D49" i="80"/>
  <c r="D46" i="80"/>
  <c r="D38" i="80" s="1"/>
  <c r="E129" i="81"/>
  <c r="J44" i="80"/>
  <c r="J43" i="80"/>
  <c r="B35" i="80"/>
  <c r="B53" i="80" s="1"/>
  <c r="D116" i="57"/>
  <c r="C10" i="81"/>
  <c r="B19" i="99" s="1"/>
  <c r="N35" i="80"/>
  <c r="K53" i="80"/>
  <c r="AB84" i="83"/>
  <c r="AB96" i="83" s="1"/>
  <c r="F110" i="81"/>
  <c r="B19" i="80"/>
  <c r="F111" i="81"/>
  <c r="D97" i="81"/>
  <c r="E97" i="81" s="1"/>
  <c r="E113" i="81"/>
  <c r="B46" i="80"/>
  <c r="E126" i="81"/>
  <c r="H94" i="81" s="1"/>
  <c r="D35" i="80"/>
  <c r="E128" i="81"/>
  <c r="C126" i="81"/>
  <c r="L125" i="57"/>
  <c r="BX49" i="82"/>
  <c r="BX101" i="82"/>
  <c r="I125" i="57" l="1"/>
  <c r="I124" i="57" s="1"/>
  <c r="I117" i="57" s="1"/>
  <c r="I140" i="57" s="1"/>
  <c r="L124" i="57"/>
  <c r="M124" i="57" s="1"/>
  <c r="M125" i="57"/>
  <c r="L70" i="36"/>
  <c r="M70" i="36" s="1"/>
  <c r="AB97" i="83"/>
  <c r="D63" i="81" s="1"/>
  <c r="D31" i="81" s="1"/>
  <c r="D81" i="81" s="1"/>
  <c r="I108" i="58"/>
  <c r="H68" i="36"/>
  <c r="J124" i="57"/>
  <c r="H125" i="57"/>
  <c r="G117" i="57"/>
  <c r="G140" i="57" s="1"/>
  <c r="F140" i="57" s="1"/>
  <c r="G69" i="36"/>
  <c r="H69" i="36" s="1"/>
  <c r="F121" i="57"/>
  <c r="G75" i="36"/>
  <c r="F76" i="36"/>
  <c r="F46" i="58"/>
  <c r="G107" i="58"/>
  <c r="H107" i="58" s="1"/>
  <c r="G70" i="36"/>
  <c r="F70" i="36" s="1"/>
  <c r="F124" i="57"/>
  <c r="F55" i="36"/>
  <c r="G64" i="36"/>
  <c r="B11" i="99"/>
  <c r="B55" i="99" s="1"/>
  <c r="G19" i="99"/>
  <c r="M14" i="99"/>
  <c r="G12" i="99"/>
  <c r="M20" i="99"/>
  <c r="M17" i="99"/>
  <c r="M13" i="99"/>
  <c r="F120" i="81"/>
  <c r="B24" i="80"/>
  <c r="B16" i="80" s="1"/>
  <c r="B59" i="80" s="1"/>
  <c r="B62" i="80" s="1"/>
  <c r="F116" i="81"/>
  <c r="C127" i="81"/>
  <c r="D19" i="80" s="1"/>
  <c r="D11" i="80" s="1"/>
  <c r="D54" i="80" s="1"/>
  <c r="D9" i="36"/>
  <c r="D64" i="36" s="1"/>
  <c r="C8" i="97"/>
  <c r="C63" i="97" s="1"/>
  <c r="H96" i="81"/>
  <c r="AB98" i="83"/>
  <c r="O45" i="80"/>
  <c r="J37" i="80"/>
  <c r="O37" i="80" s="1"/>
  <c r="F112" i="81"/>
  <c r="B20" i="80"/>
  <c r="BW105" i="82"/>
  <c r="D62" i="81"/>
  <c r="E62" i="81" s="1"/>
  <c r="F87" i="81" s="1"/>
  <c r="AA98" i="83"/>
  <c r="D61" i="81"/>
  <c r="E46" i="99" s="1"/>
  <c r="Z98" i="83"/>
  <c r="E141" i="57"/>
  <c r="E144" i="57" s="1"/>
  <c r="I110" i="81"/>
  <c r="BV104" i="82"/>
  <c r="N36" i="80"/>
  <c r="N54" i="80" s="1"/>
  <c r="K54" i="80"/>
  <c r="B38" i="80"/>
  <c r="B56" i="80" s="1"/>
  <c r="J46" i="80"/>
  <c r="H97" i="81"/>
  <c r="F113" i="81"/>
  <c r="J36" i="80"/>
  <c r="O44" i="80"/>
  <c r="J35" i="80"/>
  <c r="O35" i="80" s="1"/>
  <c r="O43" i="80"/>
  <c r="E51" i="99"/>
  <c r="N53" i="80"/>
  <c r="B11" i="80"/>
  <c r="E48" i="99"/>
  <c r="F10" i="81"/>
  <c r="C78" i="81"/>
  <c r="D41" i="80"/>
  <c r="J49" i="80"/>
  <c r="D18" i="80"/>
  <c r="D124" i="57"/>
  <c r="J125" i="57" l="1"/>
  <c r="L117" i="57"/>
  <c r="M117" i="57" s="1"/>
  <c r="E15" i="81"/>
  <c r="C15" i="81" s="1"/>
  <c r="B50" i="99"/>
  <c r="D83" i="81"/>
  <c r="E83" i="81" s="1"/>
  <c r="G65" i="81" s="1"/>
  <c r="F117" i="57"/>
  <c r="H124" i="57"/>
  <c r="F75" i="36"/>
  <c r="H75" i="36"/>
  <c r="F64" i="36"/>
  <c r="H64" i="36"/>
  <c r="F107" i="58"/>
  <c r="G108" i="58"/>
  <c r="F69" i="36"/>
  <c r="G67" i="36"/>
  <c r="G48" i="99"/>
  <c r="E40" i="99"/>
  <c r="E58" i="99" s="1"/>
  <c r="E43" i="99"/>
  <c r="E61" i="99" s="1"/>
  <c r="E64" i="99" s="1"/>
  <c r="G51" i="99"/>
  <c r="G11" i="99"/>
  <c r="M19" i="99"/>
  <c r="E38" i="99"/>
  <c r="E56" i="99" s="1"/>
  <c r="G46" i="99"/>
  <c r="M12" i="99"/>
  <c r="L67" i="36"/>
  <c r="I70" i="36"/>
  <c r="J70" i="36" s="1"/>
  <c r="F127" i="81"/>
  <c r="D70" i="36"/>
  <c r="Y98" i="83"/>
  <c r="D60" i="81"/>
  <c r="E45" i="99" s="1"/>
  <c r="C128" i="81"/>
  <c r="G20" i="80"/>
  <c r="G12" i="80" s="1"/>
  <c r="G55" i="80" s="1"/>
  <c r="B12" i="80"/>
  <c r="D30" i="81"/>
  <c r="D80" i="81" s="1"/>
  <c r="E80" i="81" s="1"/>
  <c r="G62" i="81" s="1"/>
  <c r="BW107" i="82"/>
  <c r="O36" i="80"/>
  <c r="D29" i="81"/>
  <c r="E29" i="81" s="1"/>
  <c r="F29" i="81" s="1"/>
  <c r="E61" i="81"/>
  <c r="F62" i="81"/>
  <c r="BV105" i="82"/>
  <c r="E65" i="36" s="1"/>
  <c r="BV107" i="82"/>
  <c r="B54" i="80"/>
  <c r="O49" i="80"/>
  <c r="J41" i="80"/>
  <c r="O41" i="80" s="1"/>
  <c r="E63" i="81"/>
  <c r="F88" i="81" s="1"/>
  <c r="D34" i="81"/>
  <c r="E66" i="81"/>
  <c r="J38" i="80"/>
  <c r="O38" i="80" s="1"/>
  <c r="O46" i="80"/>
  <c r="BX107" i="82"/>
  <c r="BX105" i="82"/>
  <c r="C132" i="81"/>
  <c r="F126" i="81"/>
  <c r="C129" i="81"/>
  <c r="L140" i="57" l="1"/>
  <c r="M140" i="57" s="1"/>
  <c r="L66" i="36"/>
  <c r="M66" i="36" s="1"/>
  <c r="M67" i="36"/>
  <c r="B42" i="99"/>
  <c r="B60" i="99" s="1"/>
  <c r="G50" i="99"/>
  <c r="F15" i="81"/>
  <c r="C83" i="81"/>
  <c r="F83" i="81" s="1"/>
  <c r="H117" i="57"/>
  <c r="J117" i="57"/>
  <c r="I67" i="36"/>
  <c r="J67" i="36" s="1"/>
  <c r="H70" i="36"/>
  <c r="G66" i="36"/>
  <c r="F67" i="36"/>
  <c r="M11" i="99"/>
  <c r="G43" i="99"/>
  <c r="M51" i="99"/>
  <c r="E37" i="99"/>
  <c r="E55" i="99" s="1"/>
  <c r="G45" i="99"/>
  <c r="M46" i="99"/>
  <c r="G38" i="99"/>
  <c r="M48" i="99"/>
  <c r="G40" i="99"/>
  <c r="F61" i="81"/>
  <c r="E47" i="99"/>
  <c r="E90" i="36"/>
  <c r="D28" i="81"/>
  <c r="E60" i="81"/>
  <c r="C160" i="81"/>
  <c r="F160" i="81" s="1"/>
  <c r="F103" i="81"/>
  <c r="F128" i="81"/>
  <c r="D20" i="80"/>
  <c r="B55" i="80"/>
  <c r="F80" i="81"/>
  <c r="E30" i="81"/>
  <c r="F30" i="81" s="1"/>
  <c r="G19" i="80"/>
  <c r="G11" i="80" s="1"/>
  <c r="G54" i="80" s="1"/>
  <c r="D79" i="81"/>
  <c r="E79" i="81" s="1"/>
  <c r="G61" i="81" s="1"/>
  <c r="F86" i="81"/>
  <c r="E81" i="81"/>
  <c r="E31" i="81"/>
  <c r="F31" i="81" s="1"/>
  <c r="F91" i="81"/>
  <c r="C164" i="81" s="1"/>
  <c r="G24" i="80"/>
  <c r="G16" i="80" s="1"/>
  <c r="G59" i="80" s="1"/>
  <c r="G62" i="80" s="1"/>
  <c r="F66" i="81"/>
  <c r="F63" i="81"/>
  <c r="G21" i="80"/>
  <c r="G13" i="80" s="1"/>
  <c r="G56" i="80" s="1"/>
  <c r="E34" i="81"/>
  <c r="F34" i="81" s="1"/>
  <c r="D84" i="81"/>
  <c r="E84" i="81" s="1"/>
  <c r="F129" i="81"/>
  <c r="D21" i="80"/>
  <c r="L141" i="57"/>
  <c r="D10" i="80"/>
  <c r="D24" i="80"/>
  <c r="F132" i="81"/>
  <c r="I141" i="57"/>
  <c r="L65" i="36" l="1"/>
  <c r="M65" i="36"/>
  <c r="H9" i="105"/>
  <c r="L90" i="36"/>
  <c r="M90" i="36" s="1"/>
  <c r="G42" i="99"/>
  <c r="M50" i="99"/>
  <c r="H140" i="57"/>
  <c r="J140" i="57"/>
  <c r="I66" i="36"/>
  <c r="J66" i="36" s="1"/>
  <c r="H67" i="36"/>
  <c r="F66" i="36"/>
  <c r="G65" i="36"/>
  <c r="M40" i="99"/>
  <c r="G58" i="99"/>
  <c r="M58" i="99" s="1"/>
  <c r="M43" i="99"/>
  <c r="G61" i="99"/>
  <c r="G37" i="99"/>
  <c r="M45" i="99"/>
  <c r="M38" i="99"/>
  <c r="G56" i="99"/>
  <c r="M56" i="99" s="1"/>
  <c r="E39" i="99"/>
  <c r="E57" i="99" s="1"/>
  <c r="G47" i="99"/>
  <c r="F85" i="81"/>
  <c r="F60" i="81"/>
  <c r="G18" i="80" s="1"/>
  <c r="E28" i="81"/>
  <c r="F28" i="81" s="1"/>
  <c r="D78" i="81"/>
  <c r="E78" i="81" s="1"/>
  <c r="G141" i="57"/>
  <c r="G96" i="81"/>
  <c r="C96" i="81"/>
  <c r="F96" i="81" s="1"/>
  <c r="D12" i="80"/>
  <c r="J20" i="80"/>
  <c r="O20" i="80" s="1"/>
  <c r="F102" i="81"/>
  <c r="J19" i="80"/>
  <c r="O19" i="80" s="1"/>
  <c r="J11" i="80"/>
  <c r="F79" i="81"/>
  <c r="C159" i="81"/>
  <c r="G63" i="81"/>
  <c r="F81" i="81"/>
  <c r="F104" i="81"/>
  <c r="C161" i="81"/>
  <c r="G66" i="81"/>
  <c r="F84" i="81"/>
  <c r="F92" i="81" s="1"/>
  <c r="F107" i="81"/>
  <c r="D16" i="80"/>
  <c r="J24" i="80"/>
  <c r="O24" i="80" s="1"/>
  <c r="D53" i="80"/>
  <c r="D13" i="80"/>
  <c r="J21" i="80"/>
  <c r="O21" i="80" s="1"/>
  <c r="M61" i="99" l="1"/>
  <c r="G64" i="99"/>
  <c r="M42" i="99"/>
  <c r="G60" i="99"/>
  <c r="M60" i="99" s="1"/>
  <c r="H66" i="36"/>
  <c r="I65" i="36"/>
  <c r="J65" i="36" s="1"/>
  <c r="G90" i="36"/>
  <c r="F90" i="36" s="1"/>
  <c r="F65" i="36"/>
  <c r="M37" i="99"/>
  <c r="G55" i="99"/>
  <c r="M55" i="99" s="1"/>
  <c r="G39" i="99"/>
  <c r="M47" i="99"/>
  <c r="G10" i="80"/>
  <c r="F101" i="81"/>
  <c r="C158" i="81"/>
  <c r="G60" i="81"/>
  <c r="F78" i="81"/>
  <c r="D55" i="80"/>
  <c r="J12" i="80"/>
  <c r="J54" i="80"/>
  <c r="O11" i="80"/>
  <c r="O54" i="80" s="1"/>
  <c r="F159" i="81"/>
  <c r="G95" i="81" s="1"/>
  <c r="C95" i="81"/>
  <c r="F95" i="81" s="1"/>
  <c r="F164" i="81"/>
  <c r="G100" i="81" s="1"/>
  <c r="C100" i="81"/>
  <c r="F161" i="81"/>
  <c r="G97" i="81" s="1"/>
  <c r="C97" i="81"/>
  <c r="F97" i="81" s="1"/>
  <c r="D56" i="80"/>
  <c r="J13" i="80"/>
  <c r="D59" i="80"/>
  <c r="D62" i="80" s="1"/>
  <c r="J16" i="80"/>
  <c r="M64" i="99" l="1"/>
  <c r="M63" i="99"/>
  <c r="F100" i="81"/>
  <c r="F108" i="81" s="1"/>
  <c r="I90" i="36"/>
  <c r="J90" i="36" s="1"/>
  <c r="H65" i="36"/>
  <c r="M39" i="99"/>
  <c r="G57" i="99"/>
  <c r="M57" i="99" s="1"/>
  <c r="F158" i="81"/>
  <c r="G53" i="80"/>
  <c r="J55" i="80"/>
  <c r="O12" i="80"/>
  <c r="O55" i="80" s="1"/>
  <c r="O16" i="80"/>
  <c r="O59" i="80" s="1"/>
  <c r="J59" i="80"/>
  <c r="J62" i="80" s="1"/>
  <c r="O13" i="80"/>
  <c r="O56" i="80" s="1"/>
  <c r="J56" i="80"/>
  <c r="O61" i="80" l="1"/>
  <c r="O62" i="80"/>
  <c r="H90" i="36"/>
  <c r="F10" i="80" l="1"/>
  <c r="J18" i="80"/>
  <c r="O18" i="80" s="1"/>
  <c r="D129" i="57"/>
  <c r="C150" i="81" l="1"/>
  <c r="F150" i="81" s="1"/>
  <c r="D128" i="57"/>
  <c r="D141" i="57"/>
  <c r="D144" i="57" s="1"/>
  <c r="BT104" i="82"/>
  <c r="C105" i="82"/>
  <c r="J10" i="80"/>
  <c r="F53" i="80"/>
  <c r="C94" i="81" l="1"/>
  <c r="D72" i="36"/>
  <c r="D67" i="36" s="1"/>
  <c r="D66" i="36" s="1"/>
  <c r="C66" i="97"/>
  <c r="C65" i="97" s="1"/>
  <c r="C64" i="97" s="1"/>
  <c r="C87" i="97" s="1"/>
  <c r="O10" i="80"/>
  <c r="O53" i="80" s="1"/>
  <c r="J53" i="80"/>
  <c r="G94" i="81"/>
  <c r="I94" i="81"/>
  <c r="C107" i="82"/>
  <c r="BT107" i="82" s="1"/>
  <c r="BT105" i="82"/>
  <c r="D117" i="57"/>
  <c r="D140" i="57" s="1"/>
  <c r="F94" i="81" l="1"/>
  <c r="D65" i="36"/>
  <c r="D90" i="36" s="1"/>
  <c r="C10" i="52" l="1"/>
  <c r="C15" i="52" s="1"/>
</calcChain>
</file>

<file path=xl/sharedStrings.xml><?xml version="1.0" encoding="utf-8"?>
<sst xmlns="http://schemas.openxmlformats.org/spreadsheetml/2006/main" count="1722" uniqueCount="1173">
  <si>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</si>
  <si>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</si>
  <si>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</si>
  <si>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</si>
  <si>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</si>
  <si>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</si>
  <si>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</si>
  <si>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</si>
  <si>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</si>
  <si>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</si>
  <si>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</si>
  <si>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</si>
  <si>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</si>
  <si>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</si>
  <si>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</si>
  <si>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</si>
  <si>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</si>
  <si>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</si>
  <si>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</si>
  <si>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</si>
  <si>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</si>
  <si>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</si>
  <si>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</si>
  <si>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</si>
  <si>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</si>
  <si>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</si>
  <si>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</si>
  <si>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</si>
  <si>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</si>
  <si>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</si>
  <si>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</si>
  <si>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</si>
  <si>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</si>
  <si>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</si>
  <si>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</si>
  <si>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</si>
  <si>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</si>
  <si>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</si>
  <si>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</si>
  <si>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</si>
  <si>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Bevételek / kiadások</t>
  </si>
  <si>
    <t>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</si>
  <si>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</si>
  <si>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</si>
  <si>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</si>
  <si>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</si>
  <si>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</si>
  <si>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</si>
  <si>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</si>
  <si>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</si>
  <si>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</si>
  <si>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</si>
  <si>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</si>
  <si>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</si>
  <si>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</si>
  <si>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</si>
  <si>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</si>
  <si>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t>1. Beruházások</t>
  </si>
  <si>
    <t>2. Felújítások</t>
  </si>
  <si>
    <t>-</t>
  </si>
  <si>
    <t>3. Egyéb felhalmozási kiadások</t>
  </si>
  <si>
    <t>Felvétel éve</t>
  </si>
  <si>
    <t>Összege</t>
  </si>
  <si>
    <t>Megnevezés</t>
  </si>
  <si>
    <t>Balatonföldvár Város Önkormányzata</t>
  </si>
  <si>
    <t>Ellátottak térítési díjának méltányossági alapon elengedett összege</t>
  </si>
  <si>
    <t>Lakosság részére lakásépítéshez, felújításhoz nyújtott kölcsön elengedése</t>
  </si>
  <si>
    <t>Egyéb nyújtott kedvezmény vagy kölcsön elengedésének összege</t>
  </si>
  <si>
    <t>Munkaadót terhelő járulékok és szociális hozzájárulási adó</t>
  </si>
  <si>
    <t>III. Közhatalmi bevételek</t>
  </si>
  <si>
    <t xml:space="preserve">    Munkáltatót terhelő szja</t>
  </si>
  <si>
    <t>064010 Közvilágítás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</si>
  <si>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</si>
  <si>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</si>
  <si>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</si>
  <si>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</si>
  <si>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</si>
  <si>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</si>
  <si>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</si>
  <si>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</si>
  <si>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</si>
  <si>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</si>
  <si>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</si>
  <si>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</si>
  <si>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</si>
  <si>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</si>
  <si>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</si>
  <si>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</si>
  <si>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</si>
  <si>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</si>
  <si>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</si>
  <si>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</si>
  <si>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</si>
  <si>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</si>
  <si>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</si>
  <si>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</si>
  <si>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</si>
  <si>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</si>
  <si>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</si>
  <si>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</si>
  <si>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</si>
  <si>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</si>
  <si>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</si>
  <si>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</si>
  <si>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</si>
  <si>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</si>
  <si>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</si>
  <si>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</si>
  <si>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</si>
  <si>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</si>
  <si>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</si>
  <si>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</si>
  <si>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</si>
  <si>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</si>
  <si>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</si>
  <si>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</si>
  <si>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</si>
  <si>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</si>
  <si>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</si>
  <si>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</si>
  <si>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</si>
  <si>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</si>
  <si>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</si>
  <si>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</si>
  <si>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</si>
  <si>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</si>
  <si>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</si>
  <si>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</si>
  <si>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</si>
  <si>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</si>
  <si>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</si>
  <si>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</si>
  <si>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</si>
  <si>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</si>
  <si>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</si>
  <si>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</si>
  <si>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</si>
  <si>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</si>
  <si>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</si>
  <si>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</si>
  <si>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</si>
  <si>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</si>
  <si>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</si>
  <si>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</si>
  <si>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</si>
  <si>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</si>
  <si>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</si>
  <si>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</si>
  <si>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</si>
  <si>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</si>
  <si>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</si>
  <si>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</si>
  <si>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</si>
  <si>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</si>
  <si>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</si>
  <si>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</si>
  <si>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</si>
  <si>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</si>
  <si>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</si>
  <si>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</si>
  <si>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</si>
  <si>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</si>
  <si>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</si>
  <si>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</si>
  <si>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</si>
  <si>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</si>
  <si>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</si>
  <si>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</si>
  <si>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</si>
  <si>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</si>
  <si>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</si>
  <si>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</si>
  <si>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</si>
  <si>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</si>
  <si>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</si>
  <si>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</si>
  <si>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</si>
  <si>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</si>
  <si>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</si>
  <si>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</si>
  <si>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</si>
  <si>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</si>
  <si>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</si>
  <si>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</si>
  <si>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</si>
  <si>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</si>
  <si>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</si>
  <si>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</si>
  <si>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</si>
  <si>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</si>
  <si>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</si>
  <si>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</si>
  <si>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</si>
  <si>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</si>
  <si>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</si>
  <si>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</si>
  <si>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</si>
  <si>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</si>
  <si>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</si>
  <si>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</si>
  <si>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</si>
  <si>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</si>
  <si>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</si>
  <si>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</si>
  <si>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</si>
  <si>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</si>
  <si>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</si>
  <si>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</si>
  <si>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</si>
  <si>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</si>
  <si>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</si>
  <si>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</si>
  <si>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32</t>
  </si>
  <si>
    <t>K 33</t>
  </si>
  <si>
    <t>K 331</t>
  </si>
  <si>
    <t>K 34</t>
  </si>
  <si>
    <t>K 35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</si>
  <si>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</si>
  <si>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</si>
  <si>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</si>
  <si>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</si>
  <si>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</si>
  <si>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</si>
  <si>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</si>
  <si>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</si>
  <si>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</si>
  <si>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</si>
  <si>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</si>
  <si>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</si>
  <si>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</si>
  <si>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</si>
  <si>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</si>
  <si>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</si>
  <si>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</si>
  <si>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</si>
  <si>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</si>
  <si>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</si>
  <si>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</si>
  <si>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</si>
  <si>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Hajtó- és kenőanyagok</t>
  </si>
  <si>
    <t xml:space="preserve">        Tisztítószer</t>
  </si>
  <si>
    <t xml:space="preserve">        Könyvvizsgálat</t>
  </si>
  <si>
    <t xml:space="preserve">     Reklám- és propagandakiadások </t>
  </si>
  <si>
    <t xml:space="preserve">        Betegszállítás</t>
  </si>
  <si>
    <t>áfa</t>
  </si>
  <si>
    <t>(önkormányzat)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</si>
  <si>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</si>
  <si>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</si>
  <si>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</si>
  <si>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</si>
  <si>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</si>
  <si>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>011220 Adó-, vám- és jövedéki igazgatás</t>
  </si>
  <si>
    <t xml:space="preserve">        Jogi szolgáltatás</t>
  </si>
  <si>
    <t xml:space="preserve">         Telefonközpont szolgáltatás</t>
  </si>
  <si>
    <t xml:space="preserve">         Telefonközpont eseti díj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</si>
  <si>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</si>
  <si>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</si>
  <si>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</si>
  <si>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</si>
  <si>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</si>
  <si>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</si>
  <si>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t xml:space="preserve">V. Egyéb működési célú kiadások </t>
  </si>
  <si>
    <t>egyenleg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</si>
  <si>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</si>
  <si>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</si>
  <si>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</si>
  <si>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</si>
  <si>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</si>
  <si>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</si>
  <si>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</si>
  <si>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</si>
  <si>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</si>
  <si>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</si>
  <si>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</si>
  <si>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</si>
  <si>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</si>
  <si>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</si>
  <si>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</si>
  <si>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</si>
  <si>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</si>
  <si>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</si>
  <si>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</si>
  <si>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</si>
  <si>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</si>
  <si>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</si>
  <si>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</si>
  <si>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>Adósságot keletkeztető ügyletnél figyelembe veendő bevételek (Stabilitási tv. 45.§ (1) a., 10.§ (5) bek. szerint)</t>
  </si>
  <si>
    <t>12. melléklet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</si>
  <si>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</si>
  <si>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</si>
  <si>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</si>
  <si>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</si>
  <si>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</si>
  <si>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</si>
  <si>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</si>
  <si>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</si>
  <si>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</si>
  <si>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</si>
  <si>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</si>
  <si>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</si>
  <si>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</si>
  <si>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</si>
  <si>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</si>
  <si>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</si>
  <si>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</si>
  <si>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</si>
  <si>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</si>
  <si>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</si>
  <si>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</si>
  <si>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</si>
  <si>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</si>
  <si>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</si>
  <si>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</si>
  <si>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</si>
  <si>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</si>
  <si>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</si>
  <si>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</si>
  <si>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</si>
  <si>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</si>
  <si>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</si>
  <si>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</si>
  <si>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</si>
  <si>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</si>
  <si>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</si>
  <si>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</si>
  <si>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</si>
  <si>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</si>
  <si>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</si>
  <si>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</si>
  <si>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</si>
  <si>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</si>
  <si>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</si>
  <si>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</si>
  <si>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</si>
  <si>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önkormányzati bevételek nettósítva</t>
  </si>
  <si>
    <t>önkormányzati kiadások nettósítva</t>
  </si>
  <si>
    <t>ezer Ft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</si>
  <si>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</si>
  <si>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</si>
  <si>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</si>
  <si>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</si>
  <si>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</si>
  <si>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</si>
  <si>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</si>
  <si>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</si>
  <si>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2. Költségvetési hiány külső finanszírozására szolgáló eszközök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</si>
  <si>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</si>
  <si>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</si>
  <si>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</si>
  <si>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 xml:space="preserve">        Tisztítószer </t>
  </si>
  <si>
    <t>Munkaadót terhelő jár., szoc. hozzájárulási adó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</si>
  <si>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</si>
  <si>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</si>
  <si>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</si>
  <si>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</si>
  <si>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Földvár TV (Elek Dezső)</t>
  </si>
  <si>
    <t xml:space="preserve">        Informatikai kellékek (pl. festékpatron)</t>
  </si>
  <si>
    <t xml:space="preserve">          1.1. Építményadó                                       </t>
  </si>
  <si>
    <t xml:space="preserve">          2.2. Gépjárműadó (40%)</t>
  </si>
  <si>
    <t xml:space="preserve">      Intézmény (KÖH)</t>
  </si>
  <si>
    <t xml:space="preserve">     Intézmény (KÖH)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</si>
  <si>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</si>
  <si>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</si>
  <si>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       Egyéb eszközök javítása, karbantartása</t>
  </si>
  <si>
    <t xml:space="preserve">      2. Önkormányzati intézmények működési kiadásai (hivatal)</t>
  </si>
  <si>
    <t xml:space="preserve">        Foglalkozás eü alapellátás</t>
  </si>
  <si>
    <t xml:space="preserve">    Költségtérítés (polgármester, alpolgármesterek)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</si>
  <si>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</si>
  <si>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</si>
  <si>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</si>
  <si>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>Feladat
finanszírozás
(intézményi)</t>
  </si>
  <si>
    <t>Egyéb átvett pénzeszköz</t>
  </si>
  <si>
    <t>Finanszírozási bevétel 
(intézményi)</t>
  </si>
  <si>
    <t>Felhalmozási célú hitel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</si>
  <si>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</si>
  <si>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</si>
  <si>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</si>
  <si>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</si>
  <si>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</si>
  <si>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>B75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</si>
  <si>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</si>
  <si>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>Beszámoló előtti ei.mód.</t>
  </si>
  <si>
    <t xml:space="preserve">        1.2. ÁHB megelőlegezések bevétele</t>
  </si>
  <si>
    <t>Zöld város</t>
  </si>
  <si>
    <t xml:space="preserve">        Szúnyogirtás</t>
  </si>
  <si>
    <t xml:space="preserve">Beruházások </t>
  </si>
  <si>
    <t xml:space="preserve">          1.2. Kommunális adó                                      </t>
  </si>
  <si>
    <t xml:space="preserve">          1.3. Telekadó                                                   </t>
  </si>
  <si>
    <t>B8</t>
  </si>
  <si>
    <t>K1101</t>
  </si>
  <si>
    <t>K1113</t>
  </si>
  <si>
    <t>K122</t>
  </si>
  <si>
    <t>K331</t>
  </si>
  <si>
    <t>K336</t>
  </si>
  <si>
    <t>K337</t>
  </si>
  <si>
    <t>K351</t>
  </si>
  <si>
    <t>K355</t>
  </si>
  <si>
    <t>K123</t>
  </si>
  <si>
    <t>K1107</t>
  </si>
  <si>
    <t>K352</t>
  </si>
  <si>
    <t>K1109</t>
  </si>
  <si>
    <t>K1106</t>
  </si>
  <si>
    <t xml:space="preserve">        Műszaki jellegű szolgáltatások</t>
  </si>
  <si>
    <t xml:space="preserve">        Gyermek- és felnőtt eü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</si>
  <si>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</si>
  <si>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</si>
  <si>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</si>
  <si>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</si>
  <si>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</si>
  <si>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</si>
  <si>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Felhalmozási célú átvett pénzeszközök (Nonprofit Kft. hiteltörlesztés)</t>
  </si>
  <si>
    <t xml:space="preserve">                  Zöld Város projekt</t>
  </si>
  <si>
    <t xml:space="preserve">                  Hivatal energetikai felújítása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</si>
  <si>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</si>
  <si>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</si>
  <si>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</si>
  <si>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 xml:space="preserve">      1.3.  Meglévő részesedések növeléséhez kapcsolódó kiadások</t>
  </si>
  <si>
    <t xml:space="preserve">             Közös Önkormányzati Hivatal (szoftverek, számítástech. és egyéb tárgyi eszk. beszerzés)</t>
  </si>
  <si>
    <t>Átvett pénzeszköz (TKT)</t>
  </si>
  <si>
    <t>Átvett pénzeszköz (közös hivatali önkormányzatok)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</si>
  <si>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</si>
  <si>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</si>
  <si>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Fizetendő ÁFA ** alább részletezve</t>
  </si>
  <si>
    <t xml:space="preserve">        Különféle adók, díjak, adójellegű befiz., hj.-ok, egyéb dologi</t>
  </si>
  <si>
    <t>Egyéb</t>
  </si>
  <si>
    <t>működési többlet (pénzmaradvány, tartalék nélkül)</t>
  </si>
  <si>
    <t xml:space="preserve">             Összpróba Alapítvány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</si>
  <si>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</si>
  <si>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</si>
  <si>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</si>
  <si>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</si>
  <si>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</si>
  <si>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>K1103</t>
  </si>
  <si>
    <t xml:space="preserve"> </t>
  </si>
  <si>
    <t>1. melléklet</t>
  </si>
  <si>
    <t>2. melléklet</t>
  </si>
  <si>
    <t>3. melléklet</t>
  </si>
  <si>
    <t>4. melléklet</t>
  </si>
  <si>
    <t>9. melléklet</t>
  </si>
  <si>
    <t>10.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</si>
  <si>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</si>
  <si>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>K312</t>
  </si>
  <si>
    <t>K341</t>
  </si>
  <si>
    <t xml:space="preserve">     2. Egyéb működési célú pénzeszközátadás 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</si>
  <si>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</si>
  <si>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</si>
  <si>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</si>
  <si>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</si>
  <si>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</si>
  <si>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</si>
  <si>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</si>
  <si>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</si>
  <si>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</si>
  <si>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</si>
  <si>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t xml:space="preserve">             1.3.2.3. Szociális étkeztetés </t>
  </si>
  <si>
    <t xml:space="preserve">             1.3.2.4. Házi segítségnyújtás </t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</si>
  <si>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</si>
  <si>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</si>
  <si>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</si>
  <si>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</si>
  <si>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</si>
  <si>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</si>
  <si>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</si>
  <si>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</si>
  <si>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</si>
  <si>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Egyéb működési célú támogatások államháztartáson belülről </t>
  </si>
  <si>
    <t xml:space="preserve">              Nonprofit Kft. működési támogatás (állami)</t>
  </si>
  <si>
    <t xml:space="preserve">              Nonprofit Kft. működési támogatás (saját)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</si>
  <si>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</si>
  <si>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</si>
  <si>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</si>
  <si>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</si>
  <si>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>Állami támogatás</t>
  </si>
  <si>
    <t xml:space="preserve">          Pénzeszközátvétel Többcélú Társulástól (Hivatal) </t>
  </si>
  <si>
    <t xml:space="preserve">        Szociális célú tűzifa besz. </t>
  </si>
  <si>
    <t>074031 Család és nővédelmi egészségügyi gondozás</t>
  </si>
  <si>
    <t>Fizetendő áfa **</t>
  </si>
  <si>
    <t>működésben jelentkező költségek tételesen *</t>
  </si>
  <si>
    <t>korrekció (beruházásokhoz kapcsolódó működésben jelentkező kapcsolódó kiadások)</t>
  </si>
  <si>
    <t>korrekció (beruházások fordított áfa fizetési kötelezettsége)</t>
  </si>
  <si>
    <t xml:space="preserve">           Ebből felhalmozási célú céltartalék</t>
  </si>
  <si>
    <t xml:space="preserve">          2.2. Idegenforgalmi adó</t>
  </si>
  <si>
    <t xml:space="preserve">        Főszerkesztői feladatok ellátása</t>
  </si>
  <si>
    <t>működési egyenleg</t>
  </si>
  <si>
    <t xml:space="preserve">          Ágazati pótlék</t>
  </si>
  <si>
    <t xml:space="preserve">           Táncművészeti szervek támogatása (Előadó és Alkotóművészetért Alapítvány)</t>
  </si>
  <si>
    <t>K332</t>
  </si>
  <si>
    <t>K311</t>
  </si>
  <si>
    <t>K322</t>
  </si>
  <si>
    <t>K334</t>
  </si>
  <si>
    <t xml:space="preserve">         3.1. Egyéb felh.-i célú tám. visszafizetés</t>
  </si>
  <si>
    <t xml:space="preserve">031030 Közterület felügyelet </t>
  </si>
  <si>
    <t>K84</t>
  </si>
  <si>
    <t xml:space="preserve">        Biztosítások (vagyon, jogvédelem, felelősségbizt.)</t>
  </si>
  <si>
    <t xml:space="preserve">         3.2. Felhalmozási célú támogatások ÁHK-re</t>
  </si>
  <si>
    <t>K89</t>
  </si>
  <si>
    <t>K335</t>
  </si>
  <si>
    <t>Fejlesztési célú hitel (ingatlan vásárlás)</t>
  </si>
  <si>
    <t xml:space="preserve">   </t>
  </si>
  <si>
    <t xml:space="preserve">          Állami támogatás visszatérítése TKT-tól</t>
  </si>
  <si>
    <t>fordított áfa (működésben)</t>
  </si>
  <si>
    <t>projekthez kapcsolódó egyéb kiadások (működésben)</t>
  </si>
  <si>
    <t xml:space="preserve">         Hitel törlesztés (OTP fejlesztési hitelek)</t>
  </si>
  <si>
    <t>Választás támogatása</t>
  </si>
  <si>
    <t>2025. évi eredeti előirányzat</t>
  </si>
  <si>
    <t xml:space="preserve">          Kulturális támogatás bérfejesztés fedezetére</t>
  </si>
  <si>
    <t xml:space="preserve">      2. Felhalmozási célú támogatások államháztartáson kívülre</t>
  </si>
  <si>
    <t>Költségvetési bevételek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</si>
  <si>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</si>
  <si>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</si>
  <si>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</si>
  <si>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</si>
  <si>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</si>
  <si>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</si>
  <si>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</si>
  <si>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</si>
  <si>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</si>
  <si>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</si>
  <si>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</si>
  <si>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</si>
  <si>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</si>
  <si>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</si>
  <si>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</si>
  <si>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</si>
  <si>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</si>
  <si>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</si>
  <si>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</si>
  <si>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</si>
  <si>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</si>
  <si>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</si>
  <si>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</si>
  <si>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</si>
  <si>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</si>
  <si>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 xml:space="preserve">        Hitel törlesztés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</si>
  <si>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</si>
  <si>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</si>
  <si>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</si>
  <si>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</si>
  <si>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>K342</t>
  </si>
  <si>
    <t xml:space="preserve">          Gyógyító Megelőző Ellátás finanszírozás (védőnő)</t>
  </si>
  <si>
    <t xml:space="preserve">          Egyéb működési célú támogatások </t>
  </si>
  <si>
    <t>K353</t>
  </si>
  <si>
    <t>K333</t>
  </si>
  <si>
    <t xml:space="preserve">        Rovarirtás, kártevőírtás, gyepmester</t>
  </si>
  <si>
    <t xml:space="preserve">               Emberi Erőforrás Támogatáskezelő (BURSA)</t>
  </si>
  <si>
    <t>Finanszírozás</t>
  </si>
  <si>
    <t>K321</t>
  </si>
  <si>
    <t xml:space="preserve">          WinSzoc program (Abacus)</t>
  </si>
  <si>
    <t>több éves kihatással járó feladatai</t>
  </si>
  <si>
    <t xml:space="preserve">          "Balatonföldvár zöld város program megval.-a" (TOP-2.1.2-15-2016-00002) (nettó)</t>
  </si>
  <si>
    <t>Köznevelési intézmény energetikai korszerűsítése Balatonföldváron</t>
  </si>
  <si>
    <t>mód.ei.          2022.10.hó</t>
  </si>
  <si>
    <t xml:space="preserve">          Város fásítási programjának támogatása</t>
  </si>
  <si>
    <t>K1104</t>
  </si>
  <si>
    <t xml:space="preserve">               Működési hozzájárulás (EFI iroda állami támogatás csökkentés miatt)</t>
  </si>
  <si>
    <t xml:space="preserve">        MFP (útfelújítás): tervdok. elkészítése, műszaki ell.</t>
  </si>
  <si>
    <t>K1105</t>
  </si>
  <si>
    <t xml:space="preserve">     Végkielégítés</t>
  </si>
  <si>
    <t xml:space="preserve">      2. Ingatlanok értékesítése, lakásrészletek befizetései </t>
  </si>
  <si>
    <t xml:space="preserve">               Ágazati pótlék átadás</t>
  </si>
  <si>
    <t>082044 Könyvtári szolgáltatások; 082092 Közművelődési feladatok; 046020 Vezetékes műsorelosztás, kábel TV</t>
  </si>
  <si>
    <t xml:space="preserve">011130 Önk. és önk.-i hivatalok 
jogalkotói és ált. igazgatási tev.-e  </t>
  </si>
  <si>
    <t>Bevétel összesen</t>
  </si>
  <si>
    <t>2026. évi eredeti előirányzat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</si>
  <si>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</t>
    </r>
  </si>
  <si>
    <t xml:space="preserve">           Telefonközpont átalánydíja (Microsystel)</t>
  </si>
  <si>
    <r>
      <t xml:space="preserve">     Bérleti és lízingdíjak </t>
    </r>
    <r>
      <rPr>
        <sz val="8"/>
        <rFont val="Times New Roman"/>
        <family val="1"/>
        <charset val="238"/>
      </rPr>
      <t>(fiókbérlés)</t>
    </r>
  </si>
  <si>
    <t xml:space="preserve">      8. Kamatbevételek </t>
  </si>
  <si>
    <t>072111, 074011, 072112, 072420, 072450 Egészségügyi 
ellátások</t>
  </si>
  <si>
    <t>K33</t>
  </si>
  <si>
    <t>K34</t>
  </si>
  <si>
    <t>K35</t>
  </si>
  <si>
    <t xml:space="preserve">        Gépjármű casco, KFB</t>
  </si>
  <si>
    <t xml:space="preserve">        Szemétszállítás, veszélyes hulladék</t>
  </si>
  <si>
    <t xml:space="preserve">             Tagdíjak (Települési Önkormányzatok Országos Szövetsége, Balatoni Szövetség…..)</t>
  </si>
  <si>
    <t xml:space="preserve">             Előirányzott támogatási keret </t>
  </si>
  <si>
    <t xml:space="preserve">    Reprezentációs kiadás </t>
  </si>
  <si>
    <t xml:space="preserve">           1.1.4. Polgármesteri illetményhez és költségtérítéshez nyújtott támogatás</t>
  </si>
  <si>
    <t xml:space="preserve">           1.1.5. Közvilágítás kiegészítő támogatása</t>
  </si>
  <si>
    <t>Boldog Békeidők</t>
  </si>
  <si>
    <r>
      <t xml:space="preserve">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</si>
  <si>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>Műszaki ellenőrzés (iskola energetika)</t>
  </si>
  <si>
    <t>Szemléletformálás (iskola energetika)</t>
  </si>
  <si>
    <t>Energetikai szakértő (iskola energetika)</t>
  </si>
  <si>
    <t xml:space="preserve">          Szakirányú oktatás adókedvezményének visszaigénylése (Hivatal)</t>
  </si>
  <si>
    <t xml:space="preserve">          Pénzeszközátvétel önkormányzatoktól (Hivatal)</t>
  </si>
  <si>
    <t xml:space="preserve">           Települési önkormányzatok kulturális feladatainak bérjellegű támogatása</t>
  </si>
  <si>
    <t xml:space="preserve">        Intarzia szakkör </t>
  </si>
  <si>
    <t xml:space="preserve">    1. Működési célú pénzeszközátadások, támogatások </t>
  </si>
  <si>
    <t xml:space="preserve">        2.1. Működési célú folyószámlahitel</t>
  </si>
  <si>
    <t xml:space="preserve">                     Közösségi ház + Kulipintyó:  állami támogatás továbbadása (kulturális feladatok)</t>
  </si>
  <si>
    <t xml:space="preserve">                     Közterületek, utak, zöldfelület fenntartása (GAMESZ): állami támogatás továbbadása</t>
  </si>
  <si>
    <t>2027. évi eredeti előirányzat</t>
  </si>
  <si>
    <t xml:space="preserve">     Jutalom (választás)</t>
  </si>
  <si>
    <t xml:space="preserve">     Helyettesítési díj</t>
  </si>
  <si>
    <t xml:space="preserve">     Béren kívüli juttatás (SZÉP kártya)</t>
  </si>
  <si>
    <t xml:space="preserve">     Egyéb személyi juttatás (betegsz., szabi megv, megbíz.)</t>
  </si>
  <si>
    <t xml:space="preserve">     Megbízási díjak (belső ellenőr)</t>
  </si>
  <si>
    <t xml:space="preserve">     Megbízási díjak (választás)</t>
  </si>
  <si>
    <t xml:space="preserve">     Reprezentáció (választás)</t>
  </si>
  <si>
    <t xml:space="preserve">     Választási bizottság tiszteletdíja (választás)</t>
  </si>
  <si>
    <t xml:space="preserve">        Irodaszer (választás)</t>
  </si>
  <si>
    <t xml:space="preserve">          Rendszer- és szoftver-szaktanácsadás (IRIS Rendszerház)</t>
  </si>
  <si>
    <t xml:space="preserve">           Fénymásoló karbantartás (Alba-Kontakt)</t>
  </si>
  <si>
    <t>K354</t>
  </si>
  <si>
    <t xml:space="preserve">     11. Egyéb működési bevételek  </t>
  </si>
  <si>
    <t xml:space="preserve">             Kisértékű tárgyi eszköz beszerzés</t>
  </si>
  <si>
    <t>Boldog Békeidők Nyarai Balatonföldváron</t>
  </si>
  <si>
    <t xml:space="preserve">    Megbízási díj (városi zenekari feladatok, piacfelügyelet, helyettesítés)</t>
  </si>
  <si>
    <t xml:space="preserve">    Megbízási díj (Boldog Békeidők pályázat)</t>
  </si>
  <si>
    <t xml:space="preserve">         2.1. Fejlesztési célú hitel  felvétele (1490/2023. (XI.13.) Korm. határozat)</t>
  </si>
  <si>
    <t xml:space="preserve">              1.1.1.3.2 Településüzemeltetés - közvilágítás üzemeltetési támogatása </t>
  </si>
  <si>
    <t xml:space="preserve">        Fogorvosi alapellátás, fogorvosi ügyelet (147/2023.(X.26.))</t>
  </si>
  <si>
    <t>Műszaki ellenőr (Boldog Békeidők) 156/2023.(XI.23.)</t>
  </si>
  <si>
    <t>Fejlesztési célú hitel (zöld város projekt)</t>
  </si>
  <si>
    <t xml:space="preserve">Balatonföldvár "Zöld város program" és környezetének rendezése </t>
  </si>
  <si>
    <t xml:space="preserve">          Választások támogatása (Hivatal)</t>
  </si>
  <si>
    <t xml:space="preserve">        Külső adatvédelmi tisztviselő biztosítása (Hanganov)</t>
  </si>
  <si>
    <t xml:space="preserve">    Informatikai szolgáltatások </t>
  </si>
  <si>
    <t xml:space="preserve">          Egyéb informatikai szolgáltatások (e-szigno, e-hiteles tullap, antivírus)</t>
  </si>
  <si>
    <r>
      <t xml:space="preserve">      3. Felhalmozási célú tartalék (-ebből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609.635 e Ft céltartalék: Boldog Békeidők )</t>
    </r>
  </si>
  <si>
    <t>K911</t>
  </si>
  <si>
    <t>Folyószámlavisszafizetés</t>
  </si>
  <si>
    <t xml:space="preserve">         Folyószámlahitel tőketörlesztése</t>
  </si>
  <si>
    <t>Közbeszerzés (Boldog Békeidők) 17/2024.(I.25.)</t>
  </si>
  <si>
    <t>Kommunikáció (Boldog Békeidők)</t>
  </si>
  <si>
    <t xml:space="preserve">        Egyéb szakm.tev.seg.szolg. (közbesz., műszaki ellenőr, tervek)</t>
  </si>
  <si>
    <t xml:space="preserve">        - ebből házi segítségnyújtás (2023.12.hó)</t>
  </si>
  <si>
    <r>
      <t xml:space="preserve">      </t>
    </r>
    <r>
      <rPr>
        <sz val="10"/>
        <rFont val="Times New Roman"/>
        <family val="1"/>
        <charset val="238"/>
      </rPr>
      <t>1. Önkormányzat és hivatal működési kiadásai</t>
    </r>
  </si>
  <si>
    <t xml:space="preserve">          1.1. Személyi juttatások</t>
  </si>
  <si>
    <t xml:space="preserve">          1.2. Munkaadót terhelő járulékok és szociális hozzájárulási adó</t>
  </si>
  <si>
    <t xml:space="preserve">          1.3. Dologi kiadások</t>
  </si>
  <si>
    <t xml:space="preserve">          1.4. Ellátottak pénzbeli juttatásai</t>
  </si>
  <si>
    <t xml:space="preserve">          1.5. Egyéb működési célú kiadások</t>
  </si>
  <si>
    <t>Helyi adóból, gépjárműadóból biztosított kedvezmény, mentesség összege</t>
  </si>
  <si>
    <t xml:space="preserve">   -ből: építményadó mentesség helyi lakosok számára</t>
  </si>
  <si>
    <t xml:space="preserve">   -ből: építményadó törlés méltányosságból</t>
  </si>
  <si>
    <t xml:space="preserve">   -ből: telekadó mentesség, kedvezmény m2 alapján</t>
  </si>
  <si>
    <t xml:space="preserve">   -ből: idegenforgalmi adó kedvezmény elő- utószezonban</t>
  </si>
  <si>
    <t xml:space="preserve">   -ből: gépjárműadóból biztosított kedvezmény</t>
  </si>
  <si>
    <t>Helyiségek, eszközök hasznosításából származó bevételből nyújtott kedvezmény, mentesség összege</t>
  </si>
  <si>
    <t>Közvetett támogatások</t>
  </si>
  <si>
    <t>II. Működési célú garancia- és kezességvállalásból származó kifizetés államházt.-on kívülre (K507)</t>
  </si>
  <si>
    <t>I. Egyéb működési célú támogatások államháztartáson belülre (K506)</t>
  </si>
  <si>
    <t>III. Egyéb működési célú támogatások államháztartáson kívülre (K512)</t>
  </si>
  <si>
    <t xml:space="preserve">        2.1. Felhalmozási célú hitel</t>
  </si>
  <si>
    <t xml:space="preserve">I. Működési célú kiadások </t>
  </si>
  <si>
    <t xml:space="preserve">II. Felhalmozási célú kiadások </t>
  </si>
  <si>
    <t>Egyéb működési célú kiadások mindösszesen (I+II+III)</t>
  </si>
  <si>
    <t xml:space="preserve">    3. A helyi önkormányzatok előző évi elszámolásából származó kiadások</t>
  </si>
  <si>
    <t xml:space="preserve">    4. Szolidaritási hozzájárulás</t>
  </si>
  <si>
    <t xml:space="preserve">         3.3. Felhalmozási célú tartalék </t>
  </si>
  <si>
    <t xml:space="preserve">         3.2. Felhalmozási célú tartalék </t>
  </si>
  <si>
    <t>011130 Önk. és önk.-i hivatalok jogalkotói és ált. igazgatási tevékenysége; 016010 Országgyűlési, önkormányzati és európai parlamenti képviselőválasztásokhoz kapcsolódó tevékenységek</t>
  </si>
  <si>
    <t xml:space="preserve">             Pénzeszköz átadás Radnóti utcai temető kerítés építésére (52/2024.(III.26.))</t>
  </si>
  <si>
    <t xml:space="preserve">             Pénzeszköz átadás Kilátó épület burkolatának cseréjére (83/2024.(V.30.))</t>
  </si>
  <si>
    <t xml:space="preserve">             Partnervárosi találkozó költségeinek támogatása</t>
  </si>
  <si>
    <t xml:space="preserve">        Toner (választás)</t>
  </si>
  <si>
    <t>107051 Szociális étkeztetés;                                      107060 Ellátottak pénzbeli juttatásai</t>
  </si>
  <si>
    <t>062020 Településfejlesztési projektek és támogatásuk;                                                                  066020 Város-, községgazdálkodási egyéb szolgáltatások</t>
  </si>
  <si>
    <t xml:space="preserve">      1. Egyéb felh.-i célú tám.visszafizetés (zöld város pályázat támogatás visszafizetése)</t>
  </si>
  <si>
    <t xml:space="preserve">          Egyéb felh.-i célú tám.visszafizetés (iskola energetika pályázat támogatás visszafizetése)</t>
  </si>
  <si>
    <t xml:space="preserve">          Egyéb felh.-i célú tám.visszafizetés (boldog békeidők pályázat támogatás visszafizetése)</t>
  </si>
  <si>
    <t xml:space="preserve">    Alpolgármesteri jutalmak</t>
  </si>
  <si>
    <t xml:space="preserve">          Időközi választás támogatása (Hivatal)</t>
  </si>
  <si>
    <t>Időközi választás támogatása</t>
  </si>
  <si>
    <t xml:space="preserve">    Polgármester illetménye, jutalma, szabadságmegváltás</t>
  </si>
  <si>
    <t>2025. évi összevont mérlege</t>
  </si>
  <si>
    <t>2025. évi működési célú bevételei, kiadásai</t>
  </si>
  <si>
    <t>2025. évi felhalmozási bevételei, kiadásai</t>
  </si>
  <si>
    <t>2025. évi működési célú támogatásai, pénzeszközátadásai, közvetett támogatásai</t>
  </si>
  <si>
    <t>2025. évi költségvetési kiadásainak részletezése kormányzati funkciók szerint</t>
  </si>
  <si>
    <t>2025. évi eredeti ei.</t>
  </si>
  <si>
    <t xml:space="preserve">        Parkfenntartás</t>
  </si>
  <si>
    <t xml:space="preserve">      2. 2024. évi lakossági víz tám. elszámolás (DRV-től)</t>
  </si>
  <si>
    <t xml:space="preserve">          1.3.3. Bölcsőde, mini bölcsőde támogatása (TKT)</t>
  </si>
  <si>
    <t xml:space="preserve">               Bölcsődei nevelés</t>
  </si>
  <si>
    <t xml:space="preserve"> + 1 fő GYES</t>
  </si>
  <si>
    <t>2029 és további évek</t>
  </si>
  <si>
    <t xml:space="preserve">    Egyéb személyi juttatás (betegszabadság, táppénz)</t>
  </si>
  <si>
    <t xml:space="preserve">      3. Egyéb tárgyi eszközök értékesítése</t>
  </si>
  <si>
    <t>Műszaki ellenőrzés (vízisporttelep)</t>
  </si>
  <si>
    <t>Műszaki ellenőrzés (fövenystrand)</t>
  </si>
  <si>
    <t xml:space="preserve">              1.1.1.3.1 Településüzemeltetés - közvilágítás alaptámogatása </t>
  </si>
  <si>
    <t xml:space="preserve">          1.5.2. Települési önkormányzatok egyes kulturális feladatainak támogatása</t>
  </si>
  <si>
    <t xml:space="preserve">             DRV Zrt. lakossági víz és csatornaszolgáltatás támogatás továbbutalása (2025. évi)</t>
  </si>
  <si>
    <t xml:space="preserve">       2. A helyi önkormányzatok működési célú kiegészítő támogatásai</t>
  </si>
  <si>
    <t xml:space="preserve">       2.1. A helyi önkormányzatok általános feladatainak működési célú támogatása</t>
  </si>
  <si>
    <t xml:space="preserve">          2.1.1. Polgármesteri illetményhez és költségtérítéshez nyújtott támogatás</t>
  </si>
  <si>
    <t xml:space="preserve">          2.1.6. Önkormányzati elszámolások </t>
  </si>
  <si>
    <t xml:space="preserve">       2.2. A települési önkormányzatok köznevelési feladatainak működési célú támogatása</t>
  </si>
  <si>
    <t xml:space="preserve">          2.3.1. A települési önkormányzatok szociális célú tüzelőanyag vásárlásához kapcsolódó támogatása</t>
  </si>
  <si>
    <t xml:space="preserve">          2.3.2. Szociális ágazati összevont pótlék és egészségügyi kiegészítő pótlék (TKT)</t>
  </si>
  <si>
    <t xml:space="preserve">       2.4. A települési önkormányzatok kulturális feladatainak működési célú támogatása</t>
  </si>
  <si>
    <t xml:space="preserve">          2.4.5 Táncművészeti szervek támogatása (Előadó és Alkotóművészetért Alapítvány)</t>
  </si>
  <si>
    <t xml:space="preserve">          2.4.7 Települési önkormányzatok kulturális feladatainak bérjellegű támogatása</t>
  </si>
  <si>
    <t xml:space="preserve">               Dél-Balatoni Regionális Hulladékgazdálkodási Önkormányzati Társulás 2025. évi működési hozzájárulása</t>
  </si>
  <si>
    <t xml:space="preserve">               Óvodai, bölcsődei nevelés</t>
  </si>
  <si>
    <t xml:space="preserve">          Internethasználat (Yettel, Magyar Telekom)</t>
  </si>
  <si>
    <t xml:space="preserve">Sportépület </t>
  </si>
  <si>
    <t xml:space="preserve">        Főépítészi szolgáltatás (Arker's 2024.IV.név, Füzes 2025.év)</t>
  </si>
  <si>
    <t xml:space="preserve">             Európai Barátság Klub támogatása (partnervárosi találkozó) 173/2024.(XI.27.)</t>
  </si>
  <si>
    <t xml:space="preserve">             Klinikai kémiai automata (177/2024.(XI.27.))</t>
  </si>
  <si>
    <t>Közbeszerzés (villamosenergia)</t>
  </si>
  <si>
    <t xml:space="preserve">    Alpolgármesteri tiszteletdíjak</t>
  </si>
  <si>
    <t xml:space="preserve">    Képviselői, bizottsági tagi tiszteletdíjak</t>
  </si>
  <si>
    <t xml:space="preserve">    Jubileumi jutalom</t>
  </si>
  <si>
    <t xml:space="preserve">             "Életfa" szobor (levelek bővítése)</t>
  </si>
  <si>
    <t xml:space="preserve">             Kishajós megállópontok fejlesztése…TOP_PLUSZ-6.1.4-23-SO1-2024-00001 pályázat: stég, sólya, digitális totemoszlop </t>
  </si>
  <si>
    <t>Kiviteli tervek (Schilhán park II.ütem)</t>
  </si>
  <si>
    <t>Közbeszerzés (útfelújítás)</t>
  </si>
  <si>
    <t>Tervezés (útfelújítás)</t>
  </si>
  <si>
    <t>Műszaki ellenőrzés (útfelújítás)</t>
  </si>
  <si>
    <t xml:space="preserve">             Játszótéri eszköz beszerzés</t>
  </si>
  <si>
    <t xml:space="preserve">             Kvassay sétány padok telepítése</t>
  </si>
  <si>
    <t xml:space="preserve">             Fövenystrand kivitelezés (fordított ÁFÁs)</t>
  </si>
  <si>
    <t>Fövenystrand</t>
  </si>
  <si>
    <t xml:space="preserve">    Boldog Békeidők Nyarai ismételt támogatás lehívás</t>
  </si>
  <si>
    <t xml:space="preserve">    Iskola energetika ismételt támogatás lehívás</t>
  </si>
  <si>
    <t>Közbeszerzés (iskola energetika) (szerződés n.1750 e Ft - 70%)</t>
  </si>
  <si>
    <t xml:space="preserve">             Kultkikötő Kft. működési támogatás </t>
  </si>
  <si>
    <t xml:space="preserve">             Boldog Békeidők Nyarai Balatonföldváron TOP_PLUSZ-1.1.3-21-SO1-2022-00009 (nettó)</t>
  </si>
  <si>
    <t xml:space="preserve">           Köznevelési intézmény energetikai korszerűsítése (TOP_PLUSZ-2.1.1-21-SO1-2022-00005) villámvédelmi tervfejezet 109/2024.(VIII.26.) (-ból 8.885 e Ft saját forrás)</t>
  </si>
  <si>
    <t xml:space="preserve">          2.2.1. Esélyteremtési illetményrész támogatása (TKT)</t>
  </si>
  <si>
    <t xml:space="preserve">I. Működési célú támogatások államháztartáson belülről </t>
  </si>
  <si>
    <t xml:space="preserve">    TOP-PLUSZ-6.1.4-23-SO1-2024-00001 Kishajós megállópontok fejlesztése a Balaton körül - Dél-Balatoni vízi kör támogatása</t>
  </si>
  <si>
    <t>2025. évi adósságot keletkeztető ügyleteiből eredő fizetési kötelezettségek, várható saját bevételek</t>
  </si>
  <si>
    <t xml:space="preserve">             Nyugati strand területén új sportépület építése (73/2024.(V.16.)) nettó</t>
  </si>
  <si>
    <t xml:space="preserve">     Jutalom</t>
  </si>
  <si>
    <t xml:space="preserve">     Jubileumi jutalom (2 fő)</t>
  </si>
  <si>
    <t xml:space="preserve">             Pénzeszköz átadás útfelújításhoz (Kőröshegyi út részleges felújítása)</t>
  </si>
  <si>
    <t xml:space="preserve">               2024. évi normatíva elszámolás többlettámogatás átadása (püg/int.gyerm.étk)</t>
  </si>
  <si>
    <t xml:space="preserve">             Gyermekorvos lakhatási támogatása</t>
  </si>
  <si>
    <t xml:space="preserve">             Városi díszkivilágítás</t>
  </si>
  <si>
    <t xml:space="preserve">     Törvény szerinti illetmények, munkabérek</t>
  </si>
  <si>
    <t xml:space="preserve">    Törvény szerinti illetmények, munkabérek</t>
  </si>
  <si>
    <t xml:space="preserve">        Városi programok megvalósítása</t>
  </si>
  <si>
    <t xml:space="preserve">          Állami normatíva elszámolás intézmény általi visszafizetés (TKT/ovi, szoc)</t>
  </si>
  <si>
    <r>
      <rPr>
        <b/>
        <i/>
        <u/>
        <sz val="14"/>
        <rFont val="Times New Roman"/>
        <family val="1"/>
        <charset val="238"/>
      </rPr>
      <t>Balatonföldvár Város Önkormányzatának 2025.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</si>
  <si>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Önkormányzat (eredeti előirányzat 2025. év)</t>
  </si>
  <si>
    <t xml:space="preserve">       Kötelező (eredeti előirányzat 2025. év)</t>
  </si>
  <si>
    <t xml:space="preserve">       Önként vállalt (eredeti előirányzat 2025. év)</t>
  </si>
  <si>
    <t xml:space="preserve">       Államigazgatási feladatok (eredeti előirányzat 2025. év)</t>
  </si>
  <si>
    <t>KÖH (eredeti előirányzat 2025. év)</t>
  </si>
  <si>
    <t>Önk.mindösszesen (eredeti előirányzat 2025. év)</t>
  </si>
  <si>
    <t>2025-2028. évi gördülő tervezése</t>
  </si>
  <si>
    <t>2028. évi eredeti előirányzat</t>
  </si>
  <si>
    <t xml:space="preserve">         Hitel törlesztés (fejlesztési hitelek)</t>
  </si>
  <si>
    <t>2024 és korábbi évek</t>
  </si>
  <si>
    <t xml:space="preserve">             Kisajátítási, kártalanítási összeg</t>
  </si>
  <si>
    <t xml:space="preserve">        Város közterületein lévő faállomány karbantartása (gallyazás, kivágás, pótlás); 20.hrsz.zöldterület-és területrendezése</t>
  </si>
  <si>
    <t>Módosított előirányzat 2025.06.havi</t>
  </si>
  <si>
    <t>Teljesítés 2025.12.31.</t>
  </si>
  <si>
    <t xml:space="preserve">    2. Működési célú tartalék (-ből céltartalék 0 e Ft)</t>
  </si>
  <si>
    <t>013350 Önk.-i vagyonnal való gazdálkodással kapcs. fel. 045160 Közutak, hidak, alagutak üzemeltetése, fenntartása</t>
  </si>
  <si>
    <t xml:space="preserve">             Versenyképes Járások Program: eszközbeszerzés</t>
  </si>
  <si>
    <t xml:space="preserve">            Versenyképes Járások Program: ingatlanfelújítás</t>
  </si>
  <si>
    <t xml:space="preserve">            Szociális ágazati pótlék (TKT)</t>
  </si>
  <si>
    <t xml:space="preserve">    Megbízási díj (élatfa)</t>
  </si>
  <si>
    <t xml:space="preserve">    5. A helyi önkormányzatok törvényi előíráson alapuló befizetései (IPA adóbevétel többlet alapján telj.fiz. kötelezettség)</t>
  </si>
  <si>
    <t>Önkormányzat (módosított előirányzat 2025.06.havi)</t>
  </si>
  <si>
    <t xml:space="preserve">       Kötelező (módosított előirányzat 2025.06. havi)</t>
  </si>
  <si>
    <t xml:space="preserve">       Önként vállalt (módosított előirányzat 2025.06. havi)</t>
  </si>
  <si>
    <t>KÖH (módosított előirányzat 2025.06. havi)</t>
  </si>
  <si>
    <t>Önk.mindösszesen (módosított ei. 2025.06. havi)</t>
  </si>
  <si>
    <t>Módosított előirányzat 2025.06.hó</t>
  </si>
  <si>
    <t>mód.ei.          2025.06.hó</t>
  </si>
  <si>
    <t xml:space="preserve">             Fordított ozmózis hálózati víz utótisztító</t>
  </si>
  <si>
    <t xml:space="preserve">             IDA műanyag várótermi padok beszerzése</t>
  </si>
  <si>
    <t>előirányzat változás</t>
  </si>
  <si>
    <t xml:space="preserve">       1.3. A települési önk.-ok egyes szoc.és gyermekjóléti fel.nak tám.</t>
  </si>
  <si>
    <t xml:space="preserve">       2.3. A települési önk.-ok egyes szociális és gyermekjóléti fel.nak műk.i célú tám.</t>
  </si>
  <si>
    <t xml:space="preserve">      3. Egyéb közhatalmi bev.(igazgatási szolgáltatási díj, bírságok, közterület használati díj)</t>
  </si>
  <si>
    <t xml:space="preserve">      1. Egyéb műk.célú átv.pe (Földvár kártya ért. terv.bev. 2025.évi)</t>
  </si>
  <si>
    <r>
      <t xml:space="preserve">       1.2. A települési önk.-ok egyes köznevelési feladatainak támogatása</t>
    </r>
    <r>
      <rPr>
        <sz val="11"/>
        <rFont val="Times New Roman"/>
        <family val="1"/>
        <charset val="238"/>
      </rPr>
      <t xml:space="preserve"> (TKT)</t>
    </r>
  </si>
  <si>
    <t xml:space="preserve">             1.3.2.1. Család- és gyermekjóléti szolgálatt (TKT)</t>
  </si>
  <si>
    <t xml:space="preserve">                1.3.2.4.3. Személyi gondozás - társulás által történő feladatellátás (TKT)</t>
  </si>
  <si>
    <r>
      <t xml:space="preserve">      Elszámolásból származó bevételek</t>
    </r>
    <r>
      <rPr>
        <sz val="11"/>
        <rFont val="Times New Roman"/>
        <family val="1"/>
        <charset val="238"/>
      </rPr>
      <t xml:space="preserve"> (2024. évi állami norm.elszám.kieg.támogatással)</t>
    </r>
  </si>
  <si>
    <t xml:space="preserve">      1. Vagyoni típusú adók                  </t>
  </si>
  <si>
    <t>ei. változás</t>
  </si>
  <si>
    <t xml:space="preserve">             Pénzeszköz átadások (DRV, Nonprofit Kft.)</t>
  </si>
  <si>
    <t>Önkormányzat: Teljesítés 2024.12.31.</t>
  </si>
  <si>
    <t xml:space="preserve">       Teljesítés 2024.12.31.</t>
  </si>
  <si>
    <t>KÖH: Teljesítés 2024.12.31.</t>
  </si>
  <si>
    <t>Önk.mindösszesen (Teljesítés 2024.12.31.)</t>
  </si>
  <si>
    <t>Létszám</t>
  </si>
  <si>
    <t>közalkalmazott</t>
  </si>
  <si>
    <t>polgármester (főállású)</t>
  </si>
  <si>
    <t>alpolgármester (társadalmi megbízatású)</t>
  </si>
  <si>
    <t>közfoglalkoztatott</t>
  </si>
  <si>
    <t>köztisztviselő</t>
  </si>
  <si>
    <t>ügykezelő</t>
  </si>
  <si>
    <t xml:space="preserve">        Ny-i strandnál parkoló tervezés, elektromos töltőhely és közvil.tervezés</t>
  </si>
  <si>
    <t>Munka Törvénykönyve hatálya alá tartozó</t>
  </si>
  <si>
    <t>választott képviselők</t>
  </si>
  <si>
    <t>Módosított előirányzat 2025.09.havi</t>
  </si>
  <si>
    <t>Önkormányzat (módosított előirányzat 2025.09.havi)</t>
  </si>
  <si>
    <t xml:space="preserve">       Kötelező (módosított előirányzat 2025.09.havi)</t>
  </si>
  <si>
    <t xml:space="preserve">       Önként vállalt (módosított előirányzat 2025.09.havi)</t>
  </si>
  <si>
    <t>KÖH (módosított előirányzat 2025.09. havi)</t>
  </si>
  <si>
    <t>Önk.mindösszesen (módosított ei. 2025.09. havi)</t>
  </si>
  <si>
    <t>Módosított előirányzat 2025.09.hó</t>
  </si>
  <si>
    <t>mód.ei.          2025.09.hó</t>
  </si>
  <si>
    <t>2024. évi teljesítés</t>
  </si>
  <si>
    <t xml:space="preserve">        Légi felméréses adatbázis készítése</t>
  </si>
  <si>
    <t xml:space="preserve">        Egyéb (üléstvezető tám.rendszer, közvil.üzemeltetés, riasztórendszer, szakvélemény, épületbontás, szállítás, lakhatási tám., parnervárosi találkozó)</t>
  </si>
  <si>
    <t>Tenderterv (útfelújítás)</t>
  </si>
  <si>
    <t>teljesítés 2025.12.31</t>
  </si>
  <si>
    <t>mód.ei.          2025.12.hó</t>
  </si>
  <si>
    <t>Módosított előirányzat 2025.12.havi</t>
  </si>
  <si>
    <t xml:space="preserve">            Balatonföldvári Orvosi Rendelő villamos hálózatának korszerűsítése</t>
  </si>
  <si>
    <t xml:space="preserve">     Versenyképes Járások Program: A Balatonföldvári térségi labor fejl.nek tám.-a</t>
  </si>
  <si>
    <t>Módosított előirányzat 2025.12.hó</t>
  </si>
  <si>
    <t xml:space="preserve">       Kötelező (módosított előirányzat 2025.12.havi)</t>
  </si>
  <si>
    <t>Önkormányzat (módosított előirányzat 2025.12.havi)</t>
  </si>
  <si>
    <t xml:space="preserve">       Önként vállalt (módosított előirányzat 2025.12.havi)</t>
  </si>
  <si>
    <t>KÖH (módosított előirányzat 2025.12. havi)</t>
  </si>
  <si>
    <t>Önk.mindösszesen (módosított ei. 2025.12. havi)</t>
  </si>
  <si>
    <t>11. melléklet</t>
  </si>
  <si>
    <t>13. melléklet</t>
  </si>
  <si>
    <t>ÁHB megelőlegezés</t>
  </si>
  <si>
    <t>mód.ei.          2025.12.31</t>
  </si>
  <si>
    <t>Módosított előirányzat 2025.12.31</t>
  </si>
  <si>
    <t xml:space="preserve">       Műfüves pálya pályázat felújítás önrész különbözet visszautalása</t>
  </si>
  <si>
    <t>Maradványkimutatás</t>
  </si>
  <si>
    <t>Közös Hivatal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</si>
  <si>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</si>
  <si>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</si>
  <si>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</si>
  <si>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</si>
  <si>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</si>
  <si>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</si>
  <si>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</si>
  <si>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</si>
  <si>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</si>
  <si>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</si>
  <si>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</si>
  <si>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</si>
  <si>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</si>
  <si>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</si>
  <si>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</si>
  <si>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09</t>
  </si>
  <si>
    <t>D)        Alaptevékenység kötelezettségvállalással terhelt maradványa</t>
  </si>
  <si>
    <t>E)        Alaptevékenység szabad maradványa (=A-D)</t>
  </si>
  <si>
    <t>2025. évi maradványkimutatása</t>
  </si>
  <si>
    <t>Önkormányzat (módosított előirányzat 2025.12.31)</t>
  </si>
  <si>
    <t xml:space="preserve">       Kötelező (módosított előirányzat 2025.12.31)</t>
  </si>
  <si>
    <t xml:space="preserve">       Önként vállalt (módosított előirányzat 2025.12.31)</t>
  </si>
  <si>
    <t>KÖH (módosított előirányzat 2025.12.31)</t>
  </si>
  <si>
    <t>KÖH: Teljesítés 2025.12.31.</t>
  </si>
  <si>
    <t xml:space="preserve">       Teljesítés 2025.12.31.</t>
  </si>
  <si>
    <t>Önkormányzat: Teljesítés 2025.12.31.</t>
  </si>
  <si>
    <t>Önk.mindösszesen (módosított ei. 2025.12.31)</t>
  </si>
  <si>
    <t>Önk.mindösszesen (Teljesítés 2025.12.31.)</t>
  </si>
  <si>
    <t>Telj.
%</t>
  </si>
  <si>
    <t>Teljesítés %</t>
  </si>
  <si>
    <t>Telj.%</t>
  </si>
  <si>
    <t>ezerFt-ban</t>
  </si>
  <si>
    <t>Konszolidálás előtti összeg</t>
  </si>
  <si>
    <t>Konszolidálás</t>
  </si>
  <si>
    <t>Konszolidált összeg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</si>
  <si>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</si>
  <si>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</si>
  <si>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</si>
  <si>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</si>
  <si>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</si>
  <si>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</si>
  <si>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</si>
  <si>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</si>
  <si>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</si>
  <si>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</si>
  <si>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</si>
  <si>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</si>
  <si>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</si>
  <si>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</si>
  <si>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A/III/2 Tartós hitelviszonyt megtestesítő értékpapírok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</si>
  <si>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</si>
  <si>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</si>
  <si>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</si>
  <si>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</si>
  <si>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B/II/2 Forgatási célú hitelviszonyt megtestesítő értékpapírok (&gt;=B/II/2a+…+B/II/2e)</t>
  </si>
  <si>
    <t xml:space="preserve">B/II/2a - ebből: kárpótlási jegyek </t>
  </si>
  <si>
    <t>B/II Értékpapírok (=B/II/1+B/II/2)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</si>
  <si>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</si>
  <si>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</si>
  <si>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</si>
  <si>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</si>
  <si>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10</t>
  </si>
  <si>
    <t>C/II Pénztárak, csekkek, betétkönyvek (=C/II/1+C/II/2+C/II/3)</t>
  </si>
  <si>
    <t xml:space="preserve">C/III/1 Kincstáron kívüli forintszámlák </t>
  </si>
  <si>
    <t xml:space="preserve">C/III/2 Kincstárban vezetett forintszámlák </t>
  </si>
  <si>
    <t>C/III-IV. Forintszámlák és Devizaszámlák (=C/III/1+C/III/2+C/IV/1+C/IV/2)</t>
  </si>
  <si>
    <t>12</t>
  </si>
  <si>
    <t>C) PÉNZESZKÖZÖK (=C/I+…+C/IV)</t>
  </si>
  <si>
    <t>D/I/1 Költségvetési évben esedékes követelések működési célú támogatások bevételeire államháztartáson belülről (&gt;=D/I/1a)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</si>
  <si>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</si>
  <si>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</si>
  <si>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</si>
  <si>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</si>
  <si>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</si>
  <si>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</si>
  <si>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</si>
  <si>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</si>
  <si>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</si>
  <si>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</si>
  <si>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</si>
  <si>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</si>
  <si>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</si>
  <si>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 xml:space="preserve">D/I/7c - ebből: költségvetési évben esedékes követelések felhalmozási célú visszatérítendő támogatások, kölcsönök visszatérülésére </t>
  </si>
  <si>
    <t>D/I Költségvetési évben esedékes követelések (=D/I/1+…+D/I/8)</t>
  </si>
  <si>
    <t>D/II/3 Költségvetési évet követően esedékes követelések közhatalmi bevételekre (=D/II/3a+…+D/II/3f)</t>
  </si>
  <si>
    <t xml:space="preserve">D/II/3d - ebből: költségvetési évet követően esedékes követelések vagyoni típusú adókra </t>
  </si>
  <si>
    <t xml:space="preserve">D/II/3e - ebből: költségvetési évet követően esedékes követelések termékek és szolgáltatások adóira  </t>
  </si>
  <si>
    <t>D/II/3f - ebből: költségvetési évet követően esedékes követelések egyéb közhatalmi bevételekre</t>
  </si>
  <si>
    <t>D/II/5 Költségvetési évet követően esedékes követelések felhalmozási bevételekre (=D/II/5a+…D/II/5e)</t>
  </si>
  <si>
    <t xml:space="preserve">D/II/5b - ebből: költségvetési évet követően esedékes követelések ingatlanok értékesítésére  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</si>
  <si>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</si>
  <si>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</si>
  <si>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14</t>
  </si>
  <si>
    <t>D/II Költségvetési évet követően esedékes követelések (=D/II/1+…D/II/8)</t>
  </si>
  <si>
    <t>D/III/1 Adott előlegek (=D/III/1a+…+D/III/1f)</t>
  </si>
  <si>
    <t xml:space="preserve">D/III/1e - ebből: foglalkoztatottaknak adott előlegek </t>
  </si>
  <si>
    <t>D/III/4 Forgótőke elszámolása</t>
  </si>
  <si>
    <t>15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</si>
  <si>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</si>
  <si>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</si>
  <si>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</si>
  <si>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</si>
  <si>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</si>
  <si>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</si>
  <si>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</si>
  <si>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</si>
  <si>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</si>
  <si>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17</t>
  </si>
  <si>
    <t>E) EGYÉB SAJÁTOS ELSZÁMOLÁSOK (=E/I+E/II)</t>
  </si>
  <si>
    <t>F/1  Eredményszemléletű bevételek aktív időbeli elhatárolása</t>
  </si>
  <si>
    <t>F/2  Költségek, ráfordítások aktív időbeli elhatárolása</t>
  </si>
  <si>
    <t>18</t>
  </si>
  <si>
    <t>F) AKTÍV IDŐBELI  ELHATÁROLÁSOK  (=F/1+F/2+F/3)</t>
  </si>
  <si>
    <t>ESZKÖZÖK ÖSSZESEN (=A+B+C+D+E+F)</t>
  </si>
  <si>
    <t>G/I-III Nemzeti vagyon és egyéb eszközök induláskori értéke és változásai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</si>
  <si>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</si>
  <si>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</si>
  <si>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</si>
  <si>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</si>
  <si>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</si>
  <si>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</si>
  <si>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H/I/6 Költségvetési évben esedékes kötelezettségek beruházásokra</t>
  </si>
  <si>
    <t>H/I/9 Költségvetési évben esedékes kötelezettségek finanszírozási kiadásokra (&gt;=H/I/9a+…+H/I/9l)</t>
  </si>
  <si>
    <t xml:space="preserve">H/I/9g - ebből: költségvetési évben esedékes kötelezettségek államháztartáson belüli megelőlegezések visszafizetésére </t>
  </si>
  <si>
    <t>H/I Költségvetési évben esedékes kötelezettségek (=H/I/1+…+H/I/9)</t>
  </si>
  <si>
    <t>H/II/6 Költségvetési évet követően esedékes kötelezettségek beruházásokra</t>
  </si>
  <si>
    <t>H/II/9 Költségvetési évet követően esedékes kötelezettségek finanszírozási kiadásokra (&gt;=H/II/9a+…+H/II/9j)</t>
  </si>
  <si>
    <t xml:space="preserve">H/II/9a - ebből: költségvetési évet követően esedékes kötelezettségek hosszú lejáratú hitelek, kölcsönök törlesztésére pénzügyi vállalkozásnak </t>
  </si>
  <si>
    <t xml:space="preserve">H/II/9e - ebből: költségvetési évet követően esedékes kötelezettségek államháztartáson belüli megelőlegezések visszafizetésére </t>
  </si>
  <si>
    <t>H/II Költségvetési évet követően esedékes kötelezettségek (=H/II/1+…+H/II/9)</t>
  </si>
  <si>
    <t>H/III/1 Kapott előlegek</t>
  </si>
  <si>
    <t xml:space="preserve">H/III/3 Más szervezetet megillető bevételek elszámolása </t>
  </si>
  <si>
    <t>H/III Kötelezettség jellegű sajátos elszámolások (=H/III/1+…+H/III/10)</t>
  </si>
  <si>
    <t>H) KÖTELEZETTSÉGEK (=H/I+H/II+H/III)</t>
  </si>
  <si>
    <t xml:space="preserve">J/1 Eredményszemléletű bevételek passzív időbeli elhatárolása 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</si>
  <si>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</si>
  <si>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</si>
  <si>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</si>
  <si>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</si>
  <si>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2025. évi konszolidált mérlege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</si>
  <si>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</si>
  <si>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</si>
  <si>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</si>
  <si>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</si>
  <si>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</si>
  <si>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</si>
  <si>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</si>
  <si>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</si>
  <si>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</si>
  <si>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</si>
  <si>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</si>
  <si>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</si>
  <si>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</si>
  <si>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</si>
  <si>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</si>
  <si>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</si>
  <si>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</si>
  <si>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</si>
  <si>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</si>
  <si>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</si>
  <si>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</si>
  <si>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</si>
  <si>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</si>
  <si>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20 Kapott (járó) kamatok és kamatjellegű eredményszemléletű bevételek</t>
  </si>
  <si>
    <t>21 Pénzügyi műveletek egyéb eredményszemléletű bevételei</t>
  </si>
  <si>
    <t>VIII Pénzügyi műveletek eredményszemléletű bevételei (=17+18+19+20+21)</t>
  </si>
  <si>
    <t>22 Részesedésekből származó ráfordítások, árfolyamveszteségek</t>
  </si>
  <si>
    <t>24 Fizetendő kamatok és kamatjellegű ráfordítások</t>
  </si>
  <si>
    <t xml:space="preserve">26 Pénzügyi műveletek egyéb ráfordításai </t>
  </si>
  <si>
    <t>IX Pénzügyi műveletek ráfordításai (=22+23+24+25+26)</t>
  </si>
  <si>
    <t>B)  PÉNZÜGYI MŰVELETEK EREDMÉNYE (=VIII-IX)</t>
  </si>
  <si>
    <t>C)  MÉRLEG SZERINTI EREDMÉNY (=±A±B)</t>
  </si>
  <si>
    <t>2025. évi konszolidált eredménykimutatása</t>
  </si>
  <si>
    <t>14. melléklet</t>
  </si>
  <si>
    <r>
      <t xml:space="preserve"> </t>
    </r>
    <r>
      <rPr>
        <b/>
        <sz val="10"/>
        <rFont val="Times New Roman"/>
        <family val="1"/>
        <charset val="238"/>
      </rPr>
      <t xml:space="preserve"> ESZKÖZÖK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</si>
  <si>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Nettó érték</t>
  </si>
  <si>
    <t>Bruttó érték</t>
  </si>
  <si>
    <t>A</t>
  </si>
  <si>
    <t>NEMZETI VAGYONBA TARTOZÓ BEFEKTETETT ESZKÖZÖK (I + II +III + IV)</t>
  </si>
  <si>
    <t>I.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</si>
  <si>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</si>
  <si>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</si>
  <si>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</si>
  <si>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</si>
  <si>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</si>
  <si>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</si>
  <si>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vagyon</t>
  </si>
  <si>
    <t xml:space="preserve">          ab) Korlátozottan forgalomképes</t>
  </si>
  <si>
    <t xml:space="preserve">     b) Üzleti vagyon                   </t>
  </si>
  <si>
    <t>II.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</si>
  <si>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</si>
  <si>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</si>
  <si>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</si>
  <si>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</si>
  <si>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</si>
  <si>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</si>
  <si>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</si>
  <si>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</si>
  <si>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</si>
  <si>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</si>
  <si>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</si>
  <si>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</si>
  <si>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r>
      <t xml:space="preserve">5. Tárgyi eszközök értékhelyesbítése                                    </t>
    </r>
    <r>
      <rPr>
        <b/>
        <i/>
        <sz val="10"/>
        <rFont val="Times New Roman"/>
        <family val="1"/>
        <charset val="238"/>
      </rPr>
      <t xml:space="preserve"> </t>
    </r>
  </si>
  <si>
    <t>III.</t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</si>
  <si>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</si>
  <si>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</si>
  <si>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</si>
  <si>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</si>
  <si>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r>
      <t xml:space="preserve">3. Befektetett pénzügyi eszközök értékhelyesbítése              </t>
    </r>
    <r>
      <rPr>
        <i/>
        <sz val="10"/>
        <rFont val="Times New Roman"/>
        <family val="1"/>
        <charset val="238"/>
      </rPr>
      <t xml:space="preserve"> </t>
    </r>
  </si>
  <si>
    <t>IV.</t>
  </si>
  <si>
    <t>Koncesszióba, vagyonkezelésbe adott eszközök</t>
  </si>
  <si>
    <t>B</t>
  </si>
  <si>
    <t>NEMZETI VAGYONBA TARTOZÓ FORGÓESZKÖZÖK (I + II)</t>
  </si>
  <si>
    <t>Készletek</t>
  </si>
  <si>
    <t>Értékpapírok</t>
  </si>
  <si>
    <t>C</t>
  </si>
  <si>
    <t>PÉNZESZKÖZÖK</t>
  </si>
  <si>
    <t>D</t>
  </si>
  <si>
    <t xml:space="preserve">KÖVETELÉSEK </t>
  </si>
  <si>
    <t>Költségvetési évben esedékes követelések</t>
  </si>
  <si>
    <t>Kötlségvetési évet követően esedékes követelések</t>
  </si>
  <si>
    <t>Követelés jellegű sajátos elszámolások</t>
  </si>
  <si>
    <t>E</t>
  </si>
  <si>
    <t>EGYÉB SAJÁTOS ESZKÖZOLDALI ELSZÁMOLÁSOK</t>
  </si>
  <si>
    <t>F</t>
  </si>
  <si>
    <t>AKTÍV IDŐBELI ELHATÁROLÁSOK</t>
  </si>
  <si>
    <t>ESZKÖZÖK ÖSSZESEN:</t>
  </si>
  <si>
    <t>II. Az önkormányzat könyviteli mérlegében nem szereplő eszközök</t>
  </si>
  <si>
    <t>1.</t>
  </si>
  <si>
    <t xml:space="preserve">"0"-ra leírt eszközök </t>
  </si>
  <si>
    <t>2.</t>
  </si>
  <si>
    <t>Használatban lévő kis értékű immateriális javak</t>
  </si>
  <si>
    <t>3.</t>
  </si>
  <si>
    <t xml:space="preserve">                                                    tárgyi eszközök</t>
  </si>
  <si>
    <t>4.</t>
  </si>
  <si>
    <t xml:space="preserve">                                                    készletek</t>
  </si>
  <si>
    <t>5.</t>
  </si>
  <si>
    <t>01-02. számlacsoportban nyilvántartott eszközök</t>
  </si>
  <si>
    <t>Összesen:</t>
  </si>
  <si>
    <t>III. Az önkormányzat tulajdonában lévő</t>
  </si>
  <si>
    <t>külön jogszabály alapján</t>
  </si>
  <si>
    <t>érték nélkül nyilvántartott eszközök állománya</t>
  </si>
  <si>
    <t>egység</t>
  </si>
  <si>
    <t>mennyiség</t>
  </si>
  <si>
    <t>Képzőművészeti alkotások</t>
  </si>
  <si>
    <t>Gyűjtemények</t>
  </si>
  <si>
    <t>Kulturális javak (kéziratok, levelek, stb.)</t>
  </si>
  <si>
    <t>Régészeti leletek</t>
  </si>
  <si>
    <t>2025. évi vagyonkimutatása</t>
  </si>
  <si>
    <t>2025. év</t>
  </si>
  <si>
    <t>E=F</t>
  </si>
  <si>
    <t>nettószumma</t>
  </si>
  <si>
    <t>bruttószumma</t>
  </si>
  <si>
    <t>15. melléklet</t>
  </si>
  <si>
    <t xml:space="preserve">   Bevételek </t>
  </si>
  <si>
    <t>Bevételek mindösszesen (költségvetési + finanszírozási)</t>
  </si>
  <si>
    <t>Kiadások mindösszesen (költségvetési + finanszírozási)</t>
  </si>
  <si>
    <t>Bevétel-kiadás egyenlege</t>
  </si>
  <si>
    <t xml:space="preserve">Idegen pénzeszközök </t>
  </si>
  <si>
    <t>Pénzeszközök változása</t>
  </si>
  <si>
    <t>Balatonföldvár Város Önkormányzat 
2025. évi bevétel-kiadási előirányzat-felhasználási ütemterv teljesítése,
pénzeszközök változásának bemutatása</t>
  </si>
  <si>
    <t>Nyitó pénzkészlet 2025.01.01.</t>
  </si>
  <si>
    <t>Záró pénzkészlet 2025.12.31.</t>
  </si>
  <si>
    <t>16. melléklet</t>
  </si>
  <si>
    <t>%-ban</t>
  </si>
  <si>
    <t>1. Önkormányzat tulajdonában álló gazdálkodó szervezetek 
működéséből származó kötelezettségek</t>
  </si>
  <si>
    <t xml:space="preserve">   Balatonföldvári Kulturális Szolgáltató és Fenntartó Közhasznú Nonprofit Kft.</t>
  </si>
  <si>
    <t>2. Önkormányzat tulajdonában álló gazdálkodó szervezetekben való részesedése</t>
  </si>
  <si>
    <t>3. Önkormányzat más gazdálkodó szervezetekben való részesedése</t>
  </si>
  <si>
    <t>BAHART Zrt.</t>
  </si>
  <si>
    <t>SIÓKOM Nonprofit Kft.</t>
  </si>
  <si>
    <t>DRV Zrt.</t>
  </si>
  <si>
    <t>Balatonföldvár Város Önkormányzat 
 tulajdonában álló gazdálkodó szervezetek működéséből származó 2025. évi kötelezettségek, részesedések alakulása</t>
  </si>
  <si>
    <t>17. melléklet</t>
  </si>
  <si>
    <t>2025. évi  teljesítési adatok</t>
  </si>
  <si>
    <t>18.melléklet</t>
  </si>
  <si>
    <t xml:space="preserve">19. melléklet </t>
  </si>
  <si>
    <t xml:space="preserve">Balatonföldvár Város Önkormányzat bevételeinek és kiadásainak mérlegszerű kimutatása
</t>
  </si>
  <si>
    <t>2022. évi eredeti előirányzat</t>
  </si>
  <si>
    <t>2022. évi  teljesítés</t>
  </si>
  <si>
    <t>2021. évi  teljesítés</t>
  </si>
  <si>
    <t>Sorsz.</t>
  </si>
  <si>
    <t>BEVÉTELEK</t>
  </si>
  <si>
    <t xml:space="preserve"> 2024. évi teljesítés</t>
  </si>
  <si>
    <t>KIADÁSOK</t>
  </si>
  <si>
    <t>Önkormányzatok működési támogatásai</t>
  </si>
  <si>
    <t>Személyi juttatások</t>
  </si>
  <si>
    <t>Egyéb müködési célú támogatások  bevételei ÁH-n belülről</t>
  </si>
  <si>
    <t>Munkaadókat terhelő járulékok</t>
  </si>
  <si>
    <t>3=1+2</t>
  </si>
  <si>
    <t>Működési célú támogatások államháztartáson belülről összesen</t>
  </si>
  <si>
    <t>Közhatalmi bevételek összesen</t>
  </si>
  <si>
    <t>Ellátottak pénzbeli juttatása</t>
  </si>
  <si>
    <t>Müködési bevételek összesen</t>
  </si>
  <si>
    <t>Egyéb működési célú kiadás</t>
  </si>
  <si>
    <t>6.</t>
  </si>
  <si>
    <t>Müködési célú átvett pénzeszközök</t>
  </si>
  <si>
    <t>Müködési célra átadott pénzeszközök</t>
  </si>
  <si>
    <r>
      <t>7=</t>
    </r>
    <r>
      <rPr>
        <b/>
        <sz val="8"/>
        <rFont val="Symbol"/>
        <family val="1"/>
        <charset val="2"/>
      </rPr>
      <t>S(3-6)</t>
    </r>
  </si>
  <si>
    <t>Működési költségvetési bevételek összesen</t>
  </si>
  <si>
    <r>
      <t>7=</t>
    </r>
    <r>
      <rPr>
        <b/>
        <sz val="8"/>
        <rFont val="Symbol"/>
        <family val="1"/>
        <charset val="2"/>
      </rPr>
      <t>S(1-6)</t>
    </r>
  </si>
  <si>
    <t>Működési költségvetési kiadások összesen</t>
  </si>
  <si>
    <t>8.</t>
  </si>
  <si>
    <t>Felhalmozási célú önkormányzati támogatás</t>
  </si>
  <si>
    <t>Beruházások</t>
  </si>
  <si>
    <t>9.</t>
  </si>
  <si>
    <t>Egyéb felh.célú támogatások államháztartáson belülről</t>
  </si>
  <si>
    <t xml:space="preserve">Felújítások </t>
  </si>
  <si>
    <t>10=8+9</t>
  </si>
  <si>
    <t>Felhalmozási célú támogatások államháztartáson belülről összesen</t>
  </si>
  <si>
    <t>10.</t>
  </si>
  <si>
    <t>Egyéb felhalmozási kiadás</t>
  </si>
  <si>
    <t>11.</t>
  </si>
  <si>
    <t xml:space="preserve">Felhalmozási bevételek </t>
  </si>
  <si>
    <t>12.</t>
  </si>
  <si>
    <t>Felhalmozási célú átvett pénzeszközök</t>
  </si>
  <si>
    <t>13=11+12</t>
  </si>
  <si>
    <t xml:space="preserve">Felhalmozási költségvetési  bevételek </t>
  </si>
  <si>
    <r>
      <t>13=</t>
    </r>
    <r>
      <rPr>
        <b/>
        <sz val="8"/>
        <rFont val="Symbol"/>
        <family val="1"/>
        <charset val="2"/>
      </rPr>
      <t>S(8-12)</t>
    </r>
  </si>
  <si>
    <t>Felhalmozási költségvetési  kiadások</t>
  </si>
  <si>
    <t>14.</t>
  </si>
  <si>
    <t>Betétek megszüntetése</t>
  </si>
  <si>
    <t>Szabad pénzeszközök betétként történő elhelyezése</t>
  </si>
  <si>
    <t>15.</t>
  </si>
  <si>
    <t>Hosszú lejáratú hitelek, kölcsönök felvétele pénzügyi vállalkozástól</t>
  </si>
  <si>
    <t>Hitel-, kölcsöntörlesztés államháztartáson kívülre</t>
  </si>
  <si>
    <t>16.</t>
  </si>
  <si>
    <t>Előző évi költségvetési maradvány igénybevétele</t>
  </si>
  <si>
    <t xml:space="preserve">16. </t>
  </si>
  <si>
    <t>17.</t>
  </si>
  <si>
    <t>Irányító szervi támogatás</t>
  </si>
  <si>
    <t>Irányító szervi támogatás folyósítása</t>
  </si>
  <si>
    <t>18.</t>
  </si>
  <si>
    <t>Államháztartáson belüli megelőlegezések</t>
  </si>
  <si>
    <t>Államháztartáson belüli megelőlegezések visszafizetése</t>
  </si>
  <si>
    <r>
      <t>19=</t>
    </r>
    <r>
      <rPr>
        <b/>
        <sz val="8"/>
        <rFont val="Symbol"/>
        <family val="1"/>
        <charset val="2"/>
      </rPr>
      <t>S(14-18)</t>
    </r>
  </si>
  <si>
    <t>20=7+13+19</t>
  </si>
  <si>
    <t xml:space="preserve">BEVÉTELEK MINDÖSSZESEN </t>
  </si>
  <si>
    <t xml:space="preserve">KIADÁSOK MINDÖSSZESEN </t>
  </si>
  <si>
    <t xml:space="preserve">2025. évi módosított előirányzat </t>
  </si>
  <si>
    <t xml:space="preserve"> 2025. évi teljesítés</t>
  </si>
  <si>
    <t>a 9/2026.(V.29.) önkormányzati rendelethez</t>
  </si>
  <si>
    <t>Költségvetési szerv</t>
  </si>
  <si>
    <t>Költségvetési szerv
összesen</t>
  </si>
  <si>
    <t>Mindösszesen</t>
  </si>
  <si>
    <t xml:space="preserve">Balatonföldvár Város Önkormányzatának 2025. évi bevételei, kiadásai és a finanszírozás költségvetési szervenként
</t>
  </si>
  <si>
    <t>Balatonföldvár Város Önkormányzatának 2025. évi kiadásai kiemelt előirányzatonként, 
feladatonkénti bontásban, valamint az önkormányzat és költségvetési szerve engedélyezett létszáma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</si>
</sst>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.00\ _F_t_-;\-* #,##0.00\ _F_t_-;_-* \-??\ _F_t_-;_-@_-"/>
  </numFmts>
  <fonts count="9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i/>
      <sz val="10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FF0000"/>
      <name val="Arial CE"/>
      <charset val="238"/>
    </font>
    <font>
      <sz val="10"/>
      <color theme="1"/>
      <name val="Arial"/>
      <family val="2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sz val="10"/>
      <color theme="1"/>
      <name val="Arial CE"/>
      <charset val="238"/>
    </font>
    <font>
      <b/>
      <i/>
      <sz val="9"/>
      <name val="Arial CE"/>
      <charset val="238"/>
    </font>
    <font>
      <i/>
      <sz val="9"/>
      <name val="Times New Roman"/>
      <family val="1"/>
      <charset val="238"/>
    </font>
    <font>
      <b/>
      <sz val="10"/>
      <color rgb="FFED0000"/>
      <name val="Times New Roman"/>
      <family val="1"/>
      <charset val="238"/>
    </font>
    <font>
      <sz val="9"/>
      <color rgb="FFFF0000"/>
      <name val="Arial CE"/>
      <charset val="238"/>
    </font>
    <font>
      <b/>
      <i/>
      <sz val="8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color theme="0"/>
      <name val="Times New Roman"/>
      <family val="1"/>
      <charset val="238"/>
    </font>
    <font>
      <i/>
      <sz val="8"/>
      <name val="Arial CE"/>
      <charset val="238"/>
    </font>
    <font>
      <i/>
      <sz val="7"/>
      <name val="Times New Roman"/>
      <family val="1"/>
      <charset val="238"/>
    </font>
    <font>
      <b/>
      <i/>
      <sz val="7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2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name val="Symbol"/>
      <family val="1"/>
      <charset val="2"/>
    </font>
    <font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2"/>
      </patternFill>
    </fill>
    <fill>
      <patternFill patternType="solid">
        <fgColor rgb="FF00B0F0"/>
        <bgColor rgb="FF000000"/>
      </patternFill>
    </fill>
    <fill>
      <patternFill patternType="solid">
        <fgColor indexed="31"/>
        <bgColor indexed="42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164" fontId="14" fillId="0" borderId="0" applyFont="0" applyFill="0" applyBorder="0" applyAlignment="0" applyProtection="0"/>
    <xf numFmtId="165" fontId="23" fillId="0" borderId="0" applyFill="0" applyBorder="0" applyAlignment="0" applyProtection="0"/>
    <xf numFmtId="0" fontId="14" fillId="0" borderId="0"/>
    <xf numFmtId="0" fontId="14" fillId="0" borderId="0"/>
    <xf numFmtId="0" fontId="53" fillId="0" borderId="0"/>
    <xf numFmtId="0" fontId="47" fillId="0" borderId="0"/>
    <xf numFmtId="0" fontId="49" fillId="0" borderId="0"/>
    <xf numFmtId="0" fontId="50" fillId="0" borderId="0"/>
    <xf numFmtId="0" fontId="23" fillId="0" borderId="0"/>
    <xf numFmtId="0" fontId="9" fillId="0" borderId="0"/>
    <xf numFmtId="0" fontId="52" fillId="0" borderId="0"/>
    <xf numFmtId="0" fontId="14" fillId="0" borderId="0"/>
    <xf numFmtId="0" fontId="4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4" fillId="0" borderId="0" applyFont="0" applyFill="0" applyBorder="0" applyAlignment="0" applyProtection="0"/>
  </cellStyleXfs>
  <cellXfs count="830">
    <xf numFmtId="0" fontId="0" fillId="0" borderId="0" xfId="0"/>
    <xf numFmtId="0" fontId="5" fillId="2" borderId="0" xfId="0" applyFont="1" applyFill="1"/>
    <xf numFmtId="0" fontId="5" fillId="0" borderId="0" xfId="0" applyFont="1"/>
    <xf numFmtId="0" fontId="0" fillId="2" borderId="0" xfId="0" applyFill="1"/>
    <xf numFmtId="0" fontId="13" fillId="0" borderId="0" xfId="0" applyFont="1"/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3" fontId="5" fillId="0" borderId="0" xfId="0" applyNumberFormat="1" applyFont="1"/>
    <xf numFmtId="0" fontId="5" fillId="0" borderId="1" xfId="0" applyFont="1" applyBorder="1"/>
    <xf numFmtId="0" fontId="15" fillId="0" borderId="0" xfId="0" applyFont="1"/>
    <xf numFmtId="0" fontId="5" fillId="2" borderId="0" xfId="0" applyFont="1" applyFill="1" applyAlignment="1">
      <alignment horizontal="right"/>
    </xf>
    <xf numFmtId="3" fontId="5" fillId="0" borderId="1" xfId="0" applyNumberFormat="1" applyFont="1" applyBorder="1"/>
    <xf numFmtId="0" fontId="5" fillId="0" borderId="2" xfId="0" applyFont="1" applyBorder="1"/>
    <xf numFmtId="3" fontId="5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5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left" vertical="center"/>
    </xf>
    <xf numFmtId="0" fontId="8" fillId="0" borderId="2" xfId="0" applyFont="1" applyBorder="1"/>
    <xf numFmtId="0" fontId="7" fillId="0" borderId="1" xfId="0" applyFont="1" applyBorder="1"/>
    <xf numFmtId="0" fontId="8" fillId="2" borderId="1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18" fillId="0" borderId="0" xfId="0" applyFont="1"/>
    <xf numFmtId="3" fontId="18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/>
    </xf>
    <xf numFmtId="3" fontId="15" fillId="0" borderId="1" xfId="0" applyNumberFormat="1" applyFont="1" applyBorder="1"/>
    <xf numFmtId="0" fontId="17" fillId="2" borderId="0" xfId="0" applyFont="1" applyFill="1"/>
    <xf numFmtId="3" fontId="20" fillId="0" borderId="1" xfId="0" applyNumberFormat="1" applyFont="1" applyBorder="1" applyAlignment="1">
      <alignment horizontal="right"/>
    </xf>
    <xf numFmtId="3" fontId="15" fillId="0" borderId="0" xfId="0" applyNumberFormat="1" applyFont="1"/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center"/>
    </xf>
    <xf numFmtId="0" fontId="14" fillId="0" borderId="0" xfId="0" applyFont="1"/>
    <xf numFmtId="0" fontId="22" fillId="0" borderId="0" xfId="0" applyFont="1"/>
    <xf numFmtId="0" fontId="5" fillId="0" borderId="3" xfId="0" applyFont="1" applyBorder="1" applyAlignment="1">
      <alignment horizontal="left" vertical="center"/>
    </xf>
    <xf numFmtId="0" fontId="5" fillId="5" borderId="0" xfId="0" applyFont="1" applyFill="1" applyAlignment="1">
      <alignment horizontal="center"/>
    </xf>
    <xf numFmtId="0" fontId="0" fillId="5" borderId="0" xfId="0" applyFill="1"/>
    <xf numFmtId="0" fontId="5" fillId="0" borderId="0" xfId="0" applyFont="1" applyAlignment="1">
      <alignment horizontal="right"/>
    </xf>
    <xf numFmtId="0" fontId="5" fillId="5" borderId="0" xfId="0" applyFont="1" applyFill="1"/>
    <xf numFmtId="3" fontId="5" fillId="0" borderId="0" xfId="0" applyNumberFormat="1" applyFont="1" applyAlignment="1">
      <alignment horizontal="right"/>
    </xf>
    <xf numFmtId="0" fontId="25" fillId="2" borderId="0" xfId="0" applyFont="1" applyFill="1" applyAlignment="1">
      <alignment horizontal="right"/>
    </xf>
    <xf numFmtId="3" fontId="0" fillId="0" borderId="1" xfId="0" applyNumberFormat="1" applyBorder="1"/>
    <xf numFmtId="0" fontId="27" fillId="0" borderId="1" xfId="0" applyFont="1" applyBorder="1"/>
    <xf numFmtId="0" fontId="0" fillId="0" borderId="1" xfId="0" applyBorder="1"/>
    <xf numFmtId="0" fontId="0" fillId="2" borderId="1" xfId="0" applyFill="1" applyBorder="1"/>
    <xf numFmtId="0" fontId="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2" xfId="1" applyNumberFormat="1" applyFont="1" applyFill="1" applyBorder="1" applyAlignment="1">
      <alignment horizontal="right" vertical="center"/>
    </xf>
    <xf numFmtId="3" fontId="30" fillId="0" borderId="7" xfId="0" applyNumberFormat="1" applyFont="1" applyBorder="1" applyAlignment="1">
      <alignment vertical="center"/>
    </xf>
    <xf numFmtId="0" fontId="19" fillId="3" borderId="8" xfId="0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right"/>
    </xf>
    <xf numFmtId="3" fontId="36" fillId="0" borderId="1" xfId="0" applyNumberFormat="1" applyFont="1" applyBorder="1" applyAlignment="1">
      <alignment horizontal="right"/>
    </xf>
    <xf numFmtId="9" fontId="18" fillId="0" borderId="0" xfId="0" applyNumberFormat="1" applyFont="1"/>
    <xf numFmtId="3" fontId="0" fillId="0" borderId="0" xfId="0" applyNumberFormat="1"/>
    <xf numFmtId="0" fontId="8" fillId="4" borderId="4" xfId="0" applyFont="1" applyFill="1" applyBorder="1" applyAlignment="1">
      <alignment horizontal="left"/>
    </xf>
    <xf numFmtId="3" fontId="5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3" fontId="5" fillId="0" borderId="3" xfId="0" applyNumberFormat="1" applyFont="1" applyBorder="1"/>
    <xf numFmtId="3" fontId="5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25" fillId="5" borderId="0" xfId="0" applyFont="1" applyFill="1" applyAlignment="1">
      <alignment horizontal="right"/>
    </xf>
    <xf numFmtId="0" fontId="9" fillId="2" borderId="0" xfId="0" applyFont="1" applyFill="1"/>
    <xf numFmtId="0" fontId="38" fillId="2" borderId="0" xfId="0" applyFont="1" applyFill="1"/>
    <xf numFmtId="0" fontId="25" fillId="2" borderId="0" xfId="0" applyFont="1" applyFill="1"/>
    <xf numFmtId="0" fontId="38" fillId="2" borderId="0" xfId="0" applyFont="1" applyFill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right"/>
    </xf>
    <xf numFmtId="0" fontId="11" fillId="2" borderId="1" xfId="0" applyFont="1" applyFill="1" applyBorder="1"/>
    <xf numFmtId="3" fontId="38" fillId="0" borderId="0" xfId="0" applyNumberFormat="1" applyFont="1"/>
    <xf numFmtId="0" fontId="38" fillId="0" borderId="0" xfId="0" applyFont="1"/>
    <xf numFmtId="3" fontId="11" fillId="0" borderId="1" xfId="0" applyNumberFormat="1" applyFont="1" applyBorder="1"/>
    <xf numFmtId="0" fontId="2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8" fillId="4" borderId="15" xfId="0" applyFont="1" applyFill="1" applyBorder="1" applyAlignment="1">
      <alignment horizontal="left" vertical="center" wrapText="1"/>
    </xf>
    <xf numFmtId="0" fontId="8" fillId="6" borderId="1" xfId="0" applyFont="1" applyFill="1" applyBorder="1"/>
    <xf numFmtId="3" fontId="8" fillId="6" borderId="2" xfId="0" applyNumberFormat="1" applyFont="1" applyFill="1" applyBorder="1"/>
    <xf numFmtId="3" fontId="25" fillId="0" borderId="3" xfId="0" applyNumberFormat="1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43" fillId="6" borderId="1" xfId="0" applyFont="1" applyFill="1" applyBorder="1"/>
    <xf numFmtId="0" fontId="11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/>
    <xf numFmtId="3" fontId="8" fillId="7" borderId="4" xfId="0" applyNumberFormat="1" applyFont="1" applyFill="1" applyBorder="1" applyAlignment="1">
      <alignment horizontal="left" vertical="center"/>
    </xf>
    <xf numFmtId="3" fontId="8" fillId="7" borderId="5" xfId="1" applyNumberFormat="1" applyFont="1" applyFill="1" applyBorder="1" applyAlignment="1">
      <alignment horizontal="right" vertical="center"/>
    </xf>
    <xf numFmtId="3" fontId="8" fillId="7" borderId="6" xfId="0" applyNumberFormat="1" applyFont="1" applyFill="1" applyBorder="1" applyAlignment="1">
      <alignment vertical="center"/>
    </xf>
    <xf numFmtId="3" fontId="31" fillId="7" borderId="5" xfId="1" applyNumberFormat="1" applyFont="1" applyFill="1" applyBorder="1" applyAlignment="1">
      <alignment horizontal="right" vertical="center"/>
    </xf>
    <xf numFmtId="3" fontId="31" fillId="7" borderId="6" xfId="1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/>
    </xf>
    <xf numFmtId="3" fontId="18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8" fillId="7" borderId="5" xfId="0" applyNumberFormat="1" applyFont="1" applyFill="1" applyBorder="1" applyAlignment="1">
      <alignment vertical="center"/>
    </xf>
    <xf numFmtId="3" fontId="29" fillId="7" borderId="4" xfId="0" applyNumberFormat="1" applyFont="1" applyFill="1" applyBorder="1" applyAlignment="1">
      <alignment horizontal="left" vertical="center" wrapText="1"/>
    </xf>
    <xf numFmtId="3" fontId="29" fillId="7" borderId="5" xfId="0" applyNumberFormat="1" applyFont="1" applyFill="1" applyBorder="1" applyAlignment="1">
      <alignment vertical="center"/>
    </xf>
    <xf numFmtId="3" fontId="29" fillId="7" borderId="6" xfId="0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8" fillId="7" borderId="6" xfId="1" applyNumberFormat="1" applyFont="1" applyFill="1" applyBorder="1" applyAlignment="1">
      <alignment horizontal="right" vertical="center"/>
    </xf>
    <xf numFmtId="3" fontId="9" fillId="0" borderId="1" xfId="0" applyNumberFormat="1" applyFont="1" applyBorder="1"/>
    <xf numFmtId="0" fontId="5" fillId="0" borderId="16" xfId="0" applyFont="1" applyBorder="1" applyAlignment="1">
      <alignment horizontal="left" vertical="center" wrapText="1"/>
    </xf>
    <xf numFmtId="0" fontId="8" fillId="0" borderId="3" xfId="0" applyFont="1" applyBorder="1"/>
    <xf numFmtId="3" fontId="20" fillId="0" borderId="1" xfId="0" applyNumberFormat="1" applyFont="1" applyBorder="1"/>
    <xf numFmtId="3" fontId="8" fillId="6" borderId="1" xfId="0" applyNumberFormat="1" applyFont="1" applyFill="1" applyBorder="1"/>
    <xf numFmtId="0" fontId="25" fillId="0" borderId="1" xfId="0" applyFont="1" applyBorder="1"/>
    <xf numFmtId="0" fontId="8" fillId="6" borderId="2" xfId="0" applyFont="1" applyFill="1" applyBorder="1"/>
    <xf numFmtId="0" fontId="10" fillId="0" borderId="17" xfId="0" applyFont="1" applyBorder="1"/>
    <xf numFmtId="3" fontId="25" fillId="0" borderId="3" xfId="0" applyNumberFormat="1" applyFont="1" applyBorder="1"/>
    <xf numFmtId="3" fontId="6" fillId="6" borderId="5" xfId="0" applyNumberFormat="1" applyFont="1" applyFill="1" applyBorder="1"/>
    <xf numFmtId="0" fontId="10" fillId="0" borderId="3" xfId="0" applyFont="1" applyBorder="1"/>
    <xf numFmtId="3" fontId="8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6" borderId="3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left"/>
    </xf>
    <xf numFmtId="0" fontId="5" fillId="0" borderId="3" xfId="0" applyFont="1" applyBorder="1"/>
    <xf numFmtId="3" fontId="34" fillId="0" borderId="0" xfId="0" applyNumberFormat="1" applyFont="1"/>
    <xf numFmtId="0" fontId="5" fillId="0" borderId="2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27" fillId="0" borderId="0" xfId="0" applyNumberFormat="1" applyFont="1"/>
    <xf numFmtId="0" fontId="27" fillId="0" borderId="0" xfId="0" applyFont="1"/>
    <xf numFmtId="3" fontId="6" fillId="0" borderId="2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vertical="center"/>
    </xf>
    <xf numFmtId="3" fontId="6" fillId="0" borderId="3" xfId="0" applyNumberFormat="1" applyFont="1" applyBorder="1"/>
    <xf numFmtId="0" fontId="6" fillId="0" borderId="2" xfId="0" applyFont="1" applyBorder="1" applyAlignment="1">
      <alignment vertical="center"/>
    </xf>
    <xf numFmtId="3" fontId="18" fillId="0" borderId="1" xfId="0" applyNumberFormat="1" applyFont="1" applyBorder="1" applyAlignment="1">
      <alignment horizontal="right"/>
    </xf>
    <xf numFmtId="0" fontId="5" fillId="5" borderId="0" xfId="0" applyFont="1" applyFill="1" applyAlignment="1">
      <alignment horizontal="right"/>
    </xf>
    <xf numFmtId="3" fontId="12" fillId="4" borderId="5" xfId="0" applyNumberFormat="1" applyFont="1" applyFill="1" applyBorder="1" applyAlignment="1">
      <alignment horizontal="right"/>
    </xf>
    <xf numFmtId="0" fontId="17" fillId="5" borderId="0" xfId="0" applyFont="1" applyFill="1"/>
    <xf numFmtId="3" fontId="5" fillId="5" borderId="0" xfId="0" applyNumberFormat="1" applyFont="1" applyFill="1" applyAlignment="1">
      <alignment horizontal="right"/>
    </xf>
    <xf numFmtId="0" fontId="18" fillId="5" borderId="0" xfId="0" applyFont="1" applyFill="1"/>
    <xf numFmtId="3" fontId="10" fillId="2" borderId="1" xfId="0" applyNumberFormat="1" applyFont="1" applyFill="1" applyBorder="1" applyAlignment="1">
      <alignment horizontal="right"/>
    </xf>
    <xf numFmtId="3" fontId="15" fillId="5" borderId="0" xfId="0" applyNumberFormat="1" applyFont="1" applyFill="1"/>
    <xf numFmtId="0" fontId="7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wrapText="1"/>
    </xf>
    <xf numFmtId="3" fontId="8" fillId="0" borderId="0" xfId="0" applyNumberFormat="1" applyFont="1"/>
    <xf numFmtId="3" fontId="6" fillId="0" borderId="1" xfId="0" applyNumberFormat="1" applyFont="1" applyBorder="1" applyAlignment="1">
      <alignment horizontal="right" vertical="center"/>
    </xf>
    <xf numFmtId="3" fontId="35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3" fontId="18" fillId="0" borderId="1" xfId="0" applyNumberFormat="1" applyFont="1" applyBorder="1"/>
    <xf numFmtId="3" fontId="45" fillId="0" borderId="0" xfId="0" applyNumberFormat="1" applyFont="1"/>
    <xf numFmtId="3" fontId="0" fillId="8" borderId="19" xfId="0" applyNumberFormat="1" applyFill="1" applyBorder="1"/>
    <xf numFmtId="0" fontId="8" fillId="0" borderId="4" xfId="0" applyFont="1" applyBorder="1"/>
    <xf numFmtId="0" fontId="8" fillId="0" borderId="0" xfId="0" applyFont="1"/>
    <xf numFmtId="0" fontId="12" fillId="6" borderId="20" xfId="0" applyFont="1" applyFill="1" applyBorder="1" applyAlignment="1">
      <alignment horizontal="left"/>
    </xf>
    <xf numFmtId="3" fontId="6" fillId="6" borderId="21" xfId="0" applyNumberFormat="1" applyFont="1" applyFill="1" applyBorder="1"/>
    <xf numFmtId="0" fontId="54" fillId="0" borderId="0" xfId="0" applyFont="1"/>
    <xf numFmtId="0" fontId="55" fillId="0" borderId="0" xfId="0" applyFont="1"/>
    <xf numFmtId="0" fontId="55" fillId="5" borderId="0" xfId="0" applyFont="1" applyFill="1"/>
    <xf numFmtId="0" fontId="8" fillId="6" borderId="3" xfId="0" applyFont="1" applyFill="1" applyBorder="1"/>
    <xf numFmtId="0" fontId="7" fillId="6" borderId="4" xfId="0" applyFont="1" applyFill="1" applyBorder="1"/>
    <xf numFmtId="0" fontId="35" fillId="0" borderId="1" xfId="0" applyFont="1" applyBorder="1"/>
    <xf numFmtId="0" fontId="7" fillId="6" borderId="7" xfId="0" applyFont="1" applyFill="1" applyBorder="1"/>
    <xf numFmtId="3" fontId="7" fillId="6" borderId="7" xfId="0" applyNumberFormat="1" applyFont="1" applyFill="1" applyBorder="1"/>
    <xf numFmtId="0" fontId="6" fillId="6" borderId="4" xfId="0" applyFont="1" applyFill="1" applyBorder="1"/>
    <xf numFmtId="0" fontId="25" fillId="4" borderId="11" xfId="0" applyFont="1" applyFill="1" applyBorder="1" applyAlignment="1">
      <alignment horizontal="center"/>
    </xf>
    <xf numFmtId="3" fontId="44" fillId="0" borderId="0" xfId="0" applyNumberFormat="1" applyFont="1"/>
    <xf numFmtId="3" fontId="30" fillId="5" borderId="0" xfId="0" applyNumberFormat="1" applyFont="1" applyFill="1" applyAlignment="1">
      <alignment vertical="center"/>
    </xf>
    <xf numFmtId="0" fontId="5" fillId="4" borderId="4" xfId="0" applyFont="1" applyFill="1" applyBorder="1"/>
    <xf numFmtId="0" fontId="12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3" fontId="32" fillId="3" borderId="8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3" fontId="12" fillId="4" borderId="5" xfId="0" applyNumberFormat="1" applyFont="1" applyFill="1" applyBorder="1"/>
    <xf numFmtId="0" fontId="18" fillId="0" borderId="1" xfId="0" applyFont="1" applyBorder="1"/>
    <xf numFmtId="0" fontId="0" fillId="0" borderId="0" xfId="0" applyAlignment="1">
      <alignment wrapText="1"/>
    </xf>
    <xf numFmtId="3" fontId="5" fillId="0" borderId="3" xfId="0" applyNumberFormat="1" applyFont="1" applyBorder="1" applyAlignment="1">
      <alignment vertical="center" wrapText="1"/>
    </xf>
    <xf numFmtId="0" fontId="0" fillId="0" borderId="5" xfId="0" applyBorder="1"/>
    <xf numFmtId="3" fontId="8" fillId="6" borderId="1" xfId="0" applyNumberFormat="1" applyFont="1" applyFill="1" applyBorder="1" applyAlignment="1">
      <alignment horizontal="right"/>
    </xf>
    <xf numFmtId="3" fontId="8" fillId="6" borderId="2" xfId="0" applyNumberFormat="1" applyFont="1" applyFill="1" applyBorder="1" applyAlignment="1">
      <alignment horizontal="right"/>
    </xf>
    <xf numFmtId="3" fontId="6" fillId="6" borderId="5" xfId="0" applyNumberFormat="1" applyFont="1" applyFill="1" applyBorder="1" applyAlignment="1">
      <alignment horizontal="right"/>
    </xf>
    <xf numFmtId="3" fontId="8" fillId="6" borderId="3" xfId="0" applyNumberFormat="1" applyFont="1" applyFill="1" applyBorder="1" applyAlignment="1">
      <alignment horizontal="right"/>
    </xf>
    <xf numFmtId="3" fontId="36" fillId="0" borderId="1" xfId="0" applyNumberFormat="1" applyFont="1" applyBorder="1"/>
    <xf numFmtId="3" fontId="25" fillId="0" borderId="1" xfId="0" applyNumberFormat="1" applyFont="1" applyBorder="1"/>
    <xf numFmtId="3" fontId="8" fillId="4" borderId="22" xfId="0" applyNumberFormat="1" applyFont="1" applyFill="1" applyBorder="1"/>
    <xf numFmtId="3" fontId="8" fillId="4" borderId="2" xfId="0" applyNumberFormat="1" applyFont="1" applyFill="1" applyBorder="1"/>
    <xf numFmtId="3" fontId="8" fillId="4" borderId="1" xfId="0" applyNumberFormat="1" applyFont="1" applyFill="1" applyBorder="1"/>
    <xf numFmtId="3" fontId="8" fillId="4" borderId="5" xfId="0" applyNumberFormat="1" applyFont="1" applyFill="1" applyBorder="1"/>
    <xf numFmtId="3" fontId="8" fillId="4" borderId="3" xfId="0" applyNumberFormat="1" applyFont="1" applyFill="1" applyBorder="1"/>
    <xf numFmtId="3" fontId="8" fillId="4" borderId="23" xfId="0" applyNumberFormat="1" applyFont="1" applyFill="1" applyBorder="1"/>
    <xf numFmtId="3" fontId="8" fillId="4" borderId="12" xfId="0" applyNumberFormat="1" applyFont="1" applyFill="1" applyBorder="1"/>
    <xf numFmtId="3" fontId="8" fillId="8" borderId="6" xfId="0" applyNumberFormat="1" applyFont="1" applyFill="1" applyBorder="1"/>
    <xf numFmtId="3" fontId="8" fillId="4" borderId="10" xfId="0" applyNumberFormat="1" applyFont="1" applyFill="1" applyBorder="1"/>
    <xf numFmtId="0" fontId="6" fillId="0" borderId="3" xfId="0" applyFont="1" applyBorder="1" applyAlignment="1">
      <alignment horizontal="left" vertical="center"/>
    </xf>
    <xf numFmtId="3" fontId="7" fillId="0" borderId="3" xfId="0" applyNumberFormat="1" applyFont="1" applyBorder="1"/>
    <xf numFmtId="0" fontId="12" fillId="4" borderId="5" xfId="0" applyFont="1" applyFill="1" applyBorder="1" applyAlignment="1">
      <alignment horizontal="center" wrapText="1"/>
    </xf>
    <xf numFmtId="3" fontId="6" fillId="4" borderId="5" xfId="0" applyNumberFormat="1" applyFont="1" applyFill="1" applyBorder="1" applyAlignment="1">
      <alignment horizontal="right"/>
    </xf>
    <xf numFmtId="0" fontId="6" fillId="4" borderId="4" xfId="0" applyFont="1" applyFill="1" applyBorder="1"/>
    <xf numFmtId="3" fontId="8" fillId="0" borderId="3" xfId="0" applyNumberFormat="1" applyFont="1" applyBorder="1" applyAlignment="1">
      <alignment vertical="center" wrapText="1"/>
    </xf>
    <xf numFmtId="3" fontId="18" fillId="0" borderId="16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25" fillId="0" borderId="0" xfId="0" applyNumberFormat="1" applyFont="1"/>
    <xf numFmtId="0" fontId="56" fillId="0" borderId="0" xfId="0" applyFont="1"/>
    <xf numFmtId="0" fontId="8" fillId="4" borderId="4" xfId="0" applyFont="1" applyFill="1" applyBorder="1"/>
    <xf numFmtId="0" fontId="57" fillId="5" borderId="0" xfId="0" applyFont="1" applyFill="1"/>
    <xf numFmtId="3" fontId="35" fillId="0" borderId="3" xfId="0" applyNumberFormat="1" applyFont="1" applyBorder="1" applyAlignment="1">
      <alignment horizontal="right"/>
    </xf>
    <xf numFmtId="0" fontId="8" fillId="8" borderId="4" xfId="0" applyFont="1" applyFill="1" applyBorder="1" applyAlignment="1">
      <alignment wrapText="1"/>
    </xf>
    <xf numFmtId="3" fontId="46" fillId="0" borderId="1" xfId="0" applyNumberFormat="1" applyFont="1" applyBorder="1" applyAlignment="1">
      <alignment horizontal="right"/>
    </xf>
    <xf numFmtId="0" fontId="36" fillId="0" borderId="1" xfId="0" applyFont="1" applyBorder="1"/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left" wrapText="1"/>
    </xf>
    <xf numFmtId="0" fontId="36" fillId="0" borderId="3" xfId="0" applyFont="1" applyBorder="1"/>
    <xf numFmtId="3" fontId="25" fillId="0" borderId="2" xfId="0" applyNumberFormat="1" applyFont="1" applyBorder="1"/>
    <xf numFmtId="3" fontId="36" fillId="0" borderId="2" xfId="0" applyNumberFormat="1" applyFont="1" applyBorder="1"/>
    <xf numFmtId="0" fontId="27" fillId="5" borderId="0" xfId="0" applyFont="1" applyFill="1"/>
    <xf numFmtId="0" fontId="45" fillId="0" borderId="3" xfId="0" applyFont="1" applyBorder="1"/>
    <xf numFmtId="0" fontId="45" fillId="0" borderId="1" xfId="0" applyFont="1" applyBorder="1"/>
    <xf numFmtId="0" fontId="27" fillId="0" borderId="17" xfId="0" applyFont="1" applyBorder="1"/>
    <xf numFmtId="0" fontId="45" fillId="0" borderId="17" xfId="0" applyFont="1" applyBorder="1"/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left"/>
    </xf>
    <xf numFmtId="0" fontId="19" fillId="3" borderId="22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7" fillId="0" borderId="26" xfId="0" applyFont="1" applyBorder="1"/>
    <xf numFmtId="3" fontId="5" fillId="7" borderId="3" xfId="0" applyNumberFormat="1" applyFont="1" applyFill="1" applyBorder="1"/>
    <xf numFmtId="3" fontId="8" fillId="7" borderId="1" xfId="0" applyNumberFormat="1" applyFont="1" applyFill="1" applyBorder="1"/>
    <xf numFmtId="0" fontId="10" fillId="0" borderId="0" xfId="0" applyFont="1"/>
    <xf numFmtId="0" fontId="45" fillId="8" borderId="27" xfId="0" applyFont="1" applyFill="1" applyBorder="1"/>
    <xf numFmtId="0" fontId="25" fillId="0" borderId="2" xfId="0" applyFont="1" applyBorder="1" applyAlignment="1">
      <alignment horizontal="center"/>
    </xf>
    <xf numFmtId="0" fontId="5" fillId="4" borderId="11" xfId="0" applyFont="1" applyFill="1" applyBorder="1" applyAlignment="1">
      <alignment horizontal="center" wrapText="1"/>
    </xf>
    <xf numFmtId="3" fontId="8" fillId="7" borderId="4" xfId="0" applyNumberFormat="1" applyFont="1" applyFill="1" applyBorder="1" applyAlignment="1">
      <alignment horizontal="left" vertical="center" wrapText="1"/>
    </xf>
    <xf numFmtId="3" fontId="5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vertical="center"/>
    </xf>
    <xf numFmtId="3" fontId="34" fillId="0" borderId="16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30" fillId="5" borderId="0" xfId="0" applyNumberFormat="1" applyFont="1" applyFill="1" applyAlignment="1">
      <alignment horizontal="right" vertical="center"/>
    </xf>
    <xf numFmtId="3" fontId="33" fillId="0" borderId="16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horizontal="left" vertical="center" wrapText="1"/>
    </xf>
    <xf numFmtId="3" fontId="8" fillId="0" borderId="10" xfId="1" applyNumberFormat="1" applyFont="1" applyFill="1" applyBorder="1" applyAlignment="1">
      <alignment horizontal="right" vertical="center"/>
    </xf>
    <xf numFmtId="3" fontId="5" fillId="0" borderId="29" xfId="0" applyNumberFormat="1" applyFont="1" applyBorder="1" applyAlignment="1">
      <alignment horizontal="left" vertical="center" wrapText="1"/>
    </xf>
    <xf numFmtId="3" fontId="8" fillId="7" borderId="3" xfId="0" applyNumberFormat="1" applyFont="1" applyFill="1" applyBorder="1" applyAlignment="1">
      <alignment horizontal="right" vertical="center" wrapText="1"/>
    </xf>
    <xf numFmtId="3" fontId="5" fillId="7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3" fontId="41" fillId="6" borderId="33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3" fontId="9" fillId="0" borderId="1" xfId="0" applyNumberFormat="1" applyFont="1" applyBorder="1" applyAlignment="1">
      <alignment horizontal="right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5" fillId="0" borderId="3" xfId="0" applyNumberFormat="1" applyFont="1" applyBorder="1" applyAlignment="1">
      <alignment horizontal="right"/>
    </xf>
    <xf numFmtId="0" fontId="45" fillId="0" borderId="0" xfId="0" applyFont="1"/>
    <xf numFmtId="3" fontId="22" fillId="0" borderId="0" xfId="0" applyNumberFormat="1" applyFont="1"/>
    <xf numFmtId="3" fontId="60" fillId="0" borderId="1" xfId="0" applyNumberFormat="1" applyFont="1" applyBorder="1" applyAlignment="1">
      <alignment horizontal="right"/>
    </xf>
    <xf numFmtId="0" fontId="43" fillId="0" borderId="0" xfId="0" applyFont="1"/>
    <xf numFmtId="0" fontId="28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5" fillId="5" borderId="0" xfId="0" applyFont="1" applyFill="1"/>
    <xf numFmtId="0" fontId="15" fillId="8" borderId="19" xfId="0" applyFont="1" applyFill="1" applyBorder="1"/>
    <xf numFmtId="0" fontId="57" fillId="5" borderId="0" xfId="0" applyFont="1" applyFill="1" applyAlignment="1">
      <alignment horizontal="center"/>
    </xf>
    <xf numFmtId="3" fontId="27" fillId="8" borderId="24" xfId="0" applyNumberFormat="1" applyFont="1" applyFill="1" applyBorder="1"/>
    <xf numFmtId="3" fontId="5" fillId="9" borderId="0" xfId="0" applyNumberFormat="1" applyFont="1" applyFill="1"/>
    <xf numFmtId="0" fontId="25" fillId="5" borderId="0" xfId="0" applyFont="1" applyFill="1"/>
    <xf numFmtId="3" fontId="10" fillId="0" borderId="1" xfId="0" applyNumberFormat="1" applyFont="1" applyBorder="1" applyAlignment="1">
      <alignment horizontal="center"/>
    </xf>
    <xf numFmtId="0" fontId="28" fillId="7" borderId="1" xfId="0" applyFont="1" applyFill="1" applyBorder="1" applyAlignment="1">
      <alignment horizontal="center" vertical="center" wrapText="1"/>
    </xf>
    <xf numFmtId="3" fontId="10" fillId="0" borderId="0" xfId="0" applyNumberFormat="1" applyFont="1"/>
    <xf numFmtId="3" fontId="61" fillId="0" borderId="0" xfId="0" applyNumberFormat="1" applyFont="1"/>
    <xf numFmtId="3" fontId="12" fillId="4" borderId="38" xfId="0" applyNumberFormat="1" applyFont="1" applyFill="1" applyBorder="1" applyAlignment="1">
      <alignment horizontal="right"/>
    </xf>
    <xf numFmtId="3" fontId="41" fillId="3" borderId="1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" fontId="41" fillId="6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3" fontId="8" fillId="0" borderId="39" xfId="0" applyNumberFormat="1" applyFont="1" applyBorder="1" applyAlignment="1">
      <alignment vertical="center"/>
    </xf>
    <xf numFmtId="3" fontId="8" fillId="0" borderId="7" xfId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3" fontId="5" fillId="7" borderId="7" xfId="0" applyNumberFormat="1" applyFont="1" applyFill="1" applyBorder="1" applyAlignment="1">
      <alignment horizontal="right" vertical="center" wrapText="1"/>
    </xf>
    <xf numFmtId="3" fontId="25" fillId="5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25" fillId="2" borderId="0" xfId="0" applyNumberFormat="1" applyFont="1" applyFill="1" applyAlignment="1">
      <alignment horizontal="right"/>
    </xf>
    <xf numFmtId="0" fontId="5" fillId="0" borderId="16" xfId="0" applyFont="1" applyBorder="1"/>
    <xf numFmtId="0" fontId="25" fillId="5" borderId="0" xfId="0" applyFont="1" applyFill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horizontal="left" vertical="center"/>
    </xf>
    <xf numFmtId="3" fontId="8" fillId="0" borderId="2" xfId="0" applyNumberFormat="1" applyFont="1" applyBorder="1" applyAlignment="1">
      <alignment vertical="center"/>
    </xf>
    <xf numFmtId="3" fontId="5" fillId="0" borderId="37" xfId="0" applyNumberFormat="1" applyFont="1" applyBorder="1" applyAlignment="1">
      <alignment horizontal="left" vertical="center" wrapText="1"/>
    </xf>
    <xf numFmtId="3" fontId="20" fillId="7" borderId="4" xfId="0" applyNumberFormat="1" applyFont="1" applyFill="1" applyBorder="1" applyAlignment="1">
      <alignment horizontal="left" vertical="center" wrapText="1"/>
    </xf>
    <xf numFmtId="0" fontId="25" fillId="0" borderId="16" xfId="0" applyFont="1" applyBorder="1" applyAlignment="1">
      <alignment wrapText="1"/>
    </xf>
    <xf numFmtId="3" fontId="15" fillId="9" borderId="0" xfId="0" applyNumberFormat="1" applyFont="1" applyFill="1"/>
    <xf numFmtId="4" fontId="15" fillId="0" borderId="0" xfId="0" applyNumberFormat="1" applyFont="1"/>
    <xf numFmtId="0" fontId="48" fillId="0" borderId="1" xfId="0" applyFont="1" applyBorder="1"/>
    <xf numFmtId="0" fontId="23" fillId="0" borderId="1" xfId="0" applyFont="1" applyBorder="1" applyAlignment="1">
      <alignment wrapText="1"/>
    </xf>
    <xf numFmtId="3" fontId="8" fillId="7" borderId="3" xfId="0" applyNumberFormat="1" applyFont="1" applyFill="1" applyBorder="1"/>
    <xf numFmtId="3" fontId="5" fillId="7" borderId="1" xfId="0" applyNumberFormat="1" applyFont="1" applyFill="1" applyBorder="1"/>
    <xf numFmtId="0" fontId="5" fillId="0" borderId="2" xfId="0" applyFont="1" applyBorder="1" applyAlignment="1">
      <alignment wrapText="1"/>
    </xf>
    <xf numFmtId="3" fontId="48" fillId="0" borderId="1" xfId="0" applyNumberFormat="1" applyFont="1" applyBorder="1"/>
    <xf numFmtId="0" fontId="62" fillId="0" borderId="1" xfId="0" applyFont="1" applyBorder="1" applyAlignment="1">
      <alignment wrapText="1"/>
    </xf>
    <xf numFmtId="0" fontId="4" fillId="5" borderId="0" xfId="13" applyFill="1"/>
    <xf numFmtId="0" fontId="4" fillId="0" borderId="0" xfId="13"/>
    <xf numFmtId="3" fontId="5" fillId="5" borderId="0" xfId="13" applyNumberFormat="1" applyFont="1" applyFill="1" applyAlignment="1">
      <alignment horizontal="right"/>
    </xf>
    <xf numFmtId="0" fontId="5" fillId="10" borderId="0" xfId="13" applyFont="1" applyFill="1"/>
    <xf numFmtId="0" fontId="5" fillId="5" borderId="0" xfId="13" applyFont="1" applyFill="1"/>
    <xf numFmtId="0" fontId="8" fillId="0" borderId="1" xfId="13" applyFont="1" applyBorder="1" applyAlignment="1">
      <alignment horizontal="center" vertical="center" wrapText="1"/>
    </xf>
    <xf numFmtId="3" fontId="8" fillId="0" borderId="1" xfId="13" applyNumberFormat="1" applyFont="1" applyBorder="1" applyAlignment="1">
      <alignment vertical="center" wrapText="1"/>
    </xf>
    <xf numFmtId="0" fontId="8" fillId="0" borderId="1" xfId="13" applyFont="1" applyBorder="1" applyAlignment="1">
      <alignment horizontal="left" vertical="center"/>
    </xf>
    <xf numFmtId="3" fontId="8" fillId="0" borderId="1" xfId="13" applyNumberFormat="1" applyFont="1" applyBorder="1" applyAlignment="1">
      <alignment vertical="center"/>
    </xf>
    <xf numFmtId="0" fontId="8" fillId="0" borderId="1" xfId="13" applyFont="1" applyBorder="1" applyAlignment="1">
      <alignment vertical="center"/>
    </xf>
    <xf numFmtId="0" fontId="5" fillId="0" borderId="1" xfId="13" applyFont="1" applyBorder="1" applyAlignment="1">
      <alignment horizontal="left" vertical="center" indent="1"/>
    </xf>
    <xf numFmtId="3" fontId="5" fillId="0" borderId="1" xfId="13" applyNumberFormat="1" applyFont="1" applyBorder="1" applyAlignment="1">
      <alignment vertical="center"/>
    </xf>
    <xf numFmtId="0" fontId="5" fillId="0" borderId="1" xfId="13" applyFont="1" applyBorder="1" applyAlignment="1">
      <alignment horizontal="left" vertical="center" wrapText="1" indent="1"/>
    </xf>
    <xf numFmtId="3" fontId="5" fillId="0" borderId="1" xfId="13" applyNumberFormat="1" applyFont="1" applyBorder="1" applyAlignment="1">
      <alignment vertical="center" wrapText="1"/>
    </xf>
    <xf numFmtId="0" fontId="5" fillId="0" borderId="1" xfId="13" applyFont="1" applyBorder="1" applyAlignment="1">
      <alignment vertical="center"/>
    </xf>
    <xf numFmtId="0" fontId="8" fillId="0" borderId="1" xfId="13" applyFont="1" applyBorder="1" applyAlignment="1">
      <alignment horizontal="center" vertical="center"/>
    </xf>
    <xf numFmtId="0" fontId="5" fillId="0" borderId="1" xfId="13" applyFont="1" applyBorder="1" applyAlignment="1">
      <alignment horizontal="left" indent="2"/>
    </xf>
    <xf numFmtId="3" fontId="5" fillId="0" borderId="1" xfId="13" applyNumberFormat="1" applyFont="1" applyBorder="1"/>
    <xf numFmtId="0" fontId="5" fillId="0" borderId="1" xfId="13" applyFont="1" applyBorder="1" applyAlignment="1">
      <alignment horizontal="left" vertical="center" indent="3"/>
    </xf>
    <xf numFmtId="0" fontId="5" fillId="0" borderId="1" xfId="13" applyFont="1" applyBorder="1" applyAlignment="1">
      <alignment horizontal="left" vertical="center"/>
    </xf>
    <xf numFmtId="3" fontId="5" fillId="0" borderId="3" xfId="13" applyNumberFormat="1" applyFont="1" applyBorder="1" applyAlignment="1">
      <alignment horizontal="right" vertical="center"/>
    </xf>
    <xf numFmtId="3" fontId="10" fillId="0" borderId="1" xfId="0" applyNumberFormat="1" applyFont="1" applyBorder="1"/>
    <xf numFmtId="0" fontId="5" fillId="5" borderId="0" xfId="0" applyFont="1" applyFill="1" applyAlignment="1">
      <alignment horizontal="right" vertical="center"/>
    </xf>
    <xf numFmtId="3" fontId="5" fillId="5" borderId="0" xfId="0" applyNumberFormat="1" applyFont="1" applyFill="1" applyAlignment="1">
      <alignment horizontal="right" vertical="center"/>
    </xf>
    <xf numFmtId="0" fontId="5" fillId="8" borderId="1" xfId="0" applyFont="1" applyFill="1" applyBorder="1" applyAlignment="1">
      <alignment horizontal="left" vertical="center"/>
    </xf>
    <xf numFmtId="3" fontId="58" fillId="0" borderId="1" xfId="0" applyNumberFormat="1" applyFont="1" applyBorder="1" applyAlignment="1">
      <alignment horizontal="right" vertical="center"/>
    </xf>
    <xf numFmtId="3" fontId="59" fillId="0" borderId="1" xfId="0" applyNumberFormat="1" applyFont="1" applyBorder="1"/>
    <xf numFmtId="3" fontId="58" fillId="0" borderId="1" xfId="0" applyNumberFormat="1" applyFont="1" applyBorder="1" applyAlignment="1">
      <alignment horizontal="right"/>
    </xf>
    <xf numFmtId="0" fontId="65" fillId="0" borderId="0" xfId="0" applyFont="1"/>
    <xf numFmtId="0" fontId="66" fillId="0" borderId="17" xfId="0" applyFont="1" applyBorder="1"/>
    <xf numFmtId="0" fontId="16" fillId="6" borderId="2" xfId="0" applyFont="1" applyFill="1" applyBorder="1"/>
    <xf numFmtId="3" fontId="16" fillId="6" borderId="1" xfId="0" applyNumberFormat="1" applyFont="1" applyFill="1" applyBorder="1"/>
    <xf numFmtId="3" fontId="16" fillId="6" borderId="2" xfId="0" applyNumberFormat="1" applyFont="1" applyFill="1" applyBorder="1"/>
    <xf numFmtId="0" fontId="8" fillId="11" borderId="1" xfId="13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left" vertical="center"/>
    </xf>
    <xf numFmtId="3" fontId="60" fillId="0" borderId="3" xfId="0" applyNumberFormat="1" applyFont="1" applyBorder="1" applyAlignment="1">
      <alignment horizontal="right" vertical="center"/>
    </xf>
    <xf numFmtId="3" fontId="60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3" fontId="8" fillId="0" borderId="6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3" fontId="5" fillId="7" borderId="3" xfId="0" applyNumberFormat="1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6" fillId="0" borderId="4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right"/>
    </xf>
    <xf numFmtId="0" fontId="67" fillId="0" borderId="1" xfId="0" applyFont="1" applyBorder="1"/>
    <xf numFmtId="3" fontId="67" fillId="0" borderId="1" xfId="0" applyNumberFormat="1" applyFont="1" applyBorder="1" applyAlignment="1">
      <alignment horizontal="right"/>
    </xf>
    <xf numFmtId="0" fontId="27" fillId="0" borderId="0" xfId="0" applyFont="1" applyAlignment="1">
      <alignment wrapText="1"/>
    </xf>
    <xf numFmtId="3" fontId="27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0" fontId="5" fillId="0" borderId="1" xfId="0" applyFont="1" applyBorder="1" applyAlignment="1">
      <alignment vertical="center" wrapText="1"/>
    </xf>
    <xf numFmtId="3" fontId="68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0" fontId="0" fillId="0" borderId="47" xfId="0" applyBorder="1"/>
    <xf numFmtId="3" fontId="69" fillId="0" borderId="0" xfId="0" applyNumberFormat="1" applyFont="1"/>
    <xf numFmtId="3" fontId="10" fillId="6" borderId="1" xfId="0" applyNumberFormat="1" applyFont="1" applyFill="1" applyBorder="1"/>
    <xf numFmtId="3" fontId="10" fillId="2" borderId="1" xfId="0" applyNumberFormat="1" applyFont="1" applyFill="1" applyBorder="1"/>
    <xf numFmtId="0" fontId="27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5" fillId="8" borderId="1" xfId="0" applyFont="1" applyFill="1" applyBorder="1"/>
    <xf numFmtId="0" fontId="16" fillId="4" borderId="5" xfId="0" applyFont="1" applyFill="1" applyBorder="1" applyAlignment="1">
      <alignment horizontal="center" vertical="center" wrapText="1"/>
    </xf>
    <xf numFmtId="3" fontId="16" fillId="0" borderId="3" xfId="0" applyNumberFormat="1" applyFont="1" applyBorder="1" applyAlignment="1">
      <alignment vertical="center"/>
    </xf>
    <xf numFmtId="3" fontId="16" fillId="0" borderId="1" xfId="0" applyNumberFormat="1" applyFont="1" applyBorder="1"/>
    <xf numFmtId="3" fontId="16" fillId="0" borderId="1" xfId="0" applyNumberFormat="1" applyFont="1" applyBorder="1" applyAlignment="1">
      <alignment horizontal="right" vertical="center"/>
    </xf>
    <xf numFmtId="3" fontId="16" fillId="4" borderId="38" xfId="0" applyNumberFormat="1" applyFont="1" applyFill="1" applyBorder="1" applyAlignment="1">
      <alignment horizontal="right"/>
    </xf>
    <xf numFmtId="3" fontId="16" fillId="0" borderId="3" xfId="0" applyNumberFormat="1" applyFont="1" applyBorder="1"/>
    <xf numFmtId="3" fontId="16" fillId="0" borderId="3" xfId="0" applyNumberFormat="1" applyFont="1" applyBorder="1" applyAlignment="1">
      <alignment horizontal="right"/>
    </xf>
    <xf numFmtId="0" fontId="35" fillId="4" borderId="5" xfId="0" applyFont="1" applyFill="1" applyBorder="1" applyAlignment="1">
      <alignment horizontal="center" vertical="center" wrapText="1"/>
    </xf>
    <xf numFmtId="3" fontId="35" fillId="0" borderId="3" xfId="0" applyNumberFormat="1" applyFont="1" applyBorder="1" applyAlignment="1">
      <alignment vertical="center"/>
    </xf>
    <xf numFmtId="3" fontId="35" fillId="4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18" fillId="0" borderId="0" xfId="0" applyNumberFormat="1" applyFont="1" applyAlignment="1">
      <alignment horizontal="center" vertical="center"/>
    </xf>
    <xf numFmtId="0" fontId="19" fillId="2" borderId="0" xfId="0" applyFont="1" applyFill="1"/>
    <xf numFmtId="0" fontId="18" fillId="2" borderId="0" xfId="0" applyFont="1" applyFill="1"/>
    <xf numFmtId="0" fontId="70" fillId="4" borderId="5" xfId="0" applyFont="1" applyFill="1" applyBorder="1" applyAlignment="1">
      <alignment horizontal="center" vertical="center" wrapText="1"/>
    </xf>
    <xf numFmtId="3" fontId="70" fillId="0" borderId="3" xfId="0" applyNumberFormat="1" applyFont="1" applyBorder="1" applyAlignment="1">
      <alignment vertical="center"/>
    </xf>
    <xf numFmtId="3" fontId="70" fillId="0" borderId="1" xfId="0" applyNumberFormat="1" applyFont="1" applyBorder="1"/>
    <xf numFmtId="3" fontId="19" fillId="0" borderId="1" xfId="0" applyNumberFormat="1" applyFont="1" applyBorder="1" applyAlignment="1">
      <alignment horizontal="right"/>
    </xf>
    <xf numFmtId="3" fontId="19" fillId="0" borderId="1" xfId="0" applyNumberFormat="1" applyFont="1" applyBorder="1"/>
    <xf numFmtId="0" fontId="18" fillId="0" borderId="16" xfId="0" applyFont="1" applyBorder="1"/>
    <xf numFmtId="0" fontId="18" fillId="0" borderId="16" xfId="0" applyFont="1" applyBorder="1" applyAlignment="1">
      <alignment wrapText="1"/>
    </xf>
    <xf numFmtId="0" fontId="19" fillId="0" borderId="1" xfId="0" applyFont="1" applyBorder="1"/>
    <xf numFmtId="3" fontId="19" fillId="0" borderId="1" xfId="0" applyNumberFormat="1" applyFont="1" applyBorder="1" applyAlignment="1">
      <alignment horizontal="right" vertical="center" wrapText="1"/>
    </xf>
    <xf numFmtId="0" fontId="70" fillId="0" borderId="1" xfId="0" applyFont="1" applyBorder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/>
    <xf numFmtId="0" fontId="18" fillId="0" borderId="2" xfId="0" applyFont="1" applyBorder="1" applyAlignment="1">
      <alignment vertical="center" wrapText="1"/>
    </xf>
    <xf numFmtId="0" fontId="70" fillId="2" borderId="1" xfId="0" applyFont="1" applyFill="1" applyBorder="1" applyAlignment="1">
      <alignment horizontal="left" vertical="center" wrapText="1"/>
    </xf>
    <xf numFmtId="0" fontId="70" fillId="2" borderId="2" xfId="0" applyFont="1" applyFill="1" applyBorder="1" applyAlignment="1">
      <alignment horizontal="left" vertical="center" wrapText="1"/>
    </xf>
    <xf numFmtId="3" fontId="18" fillId="0" borderId="1" xfId="0" applyNumberFormat="1" applyFont="1" applyBorder="1" applyAlignment="1">
      <alignment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71" fillId="0" borderId="1" xfId="0" applyNumberFormat="1" applyFont="1" applyBorder="1" applyAlignment="1">
      <alignment horizontal="right"/>
    </xf>
    <xf numFmtId="3" fontId="70" fillId="4" borderId="5" xfId="0" applyNumberFormat="1" applyFont="1" applyFill="1" applyBorder="1" applyAlignment="1">
      <alignment horizontal="right"/>
    </xf>
    <xf numFmtId="3" fontId="70" fillId="0" borderId="3" xfId="0" applyNumberFormat="1" applyFont="1" applyBorder="1"/>
    <xf numFmtId="3" fontId="70" fillId="0" borderId="1" xfId="0" applyNumberFormat="1" applyFont="1" applyBorder="1" applyAlignment="1">
      <alignment horizontal="right"/>
    </xf>
    <xf numFmtId="3" fontId="18" fillId="0" borderId="2" xfId="0" applyNumberFormat="1" applyFont="1" applyBorder="1" applyAlignment="1">
      <alignment horizontal="right"/>
    </xf>
    <xf numFmtId="0" fontId="20" fillId="0" borderId="1" xfId="0" applyFont="1" applyBorder="1"/>
    <xf numFmtId="0" fontId="72" fillId="0" borderId="1" xfId="0" applyFont="1" applyBorder="1"/>
    <xf numFmtId="0" fontId="73" fillId="0" borderId="1" xfId="0" applyFont="1" applyBorder="1"/>
    <xf numFmtId="0" fontId="72" fillId="0" borderId="1" xfId="0" applyFont="1" applyBorder="1" applyAlignment="1">
      <alignment wrapText="1"/>
    </xf>
    <xf numFmtId="0" fontId="73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left" vertical="center" wrapText="1"/>
    </xf>
    <xf numFmtId="0" fontId="72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7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3" fontId="70" fillId="0" borderId="1" xfId="0" applyNumberFormat="1" applyFont="1" applyBorder="1" applyAlignment="1">
      <alignment wrapText="1"/>
    </xf>
    <xf numFmtId="3" fontId="70" fillId="4" borderId="5" xfId="0" applyNumberFormat="1" applyFont="1" applyFill="1" applyBorder="1"/>
    <xf numFmtId="0" fontId="71" fillId="0" borderId="0" xfId="0" applyFont="1"/>
    <xf numFmtId="3" fontId="70" fillId="0" borderId="1" xfId="0" applyNumberFormat="1" applyFont="1" applyBorder="1" applyAlignment="1">
      <alignment vertical="center"/>
    </xf>
    <xf numFmtId="0" fontId="70" fillId="2" borderId="1" xfId="0" applyFont="1" applyFill="1" applyBorder="1" applyAlignment="1">
      <alignment horizontal="right" vertical="center" wrapText="1"/>
    </xf>
    <xf numFmtId="0" fontId="70" fillId="2" borderId="2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0" fontId="74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3" fontId="19" fillId="0" borderId="1" xfId="0" applyNumberFormat="1" applyFont="1" applyBorder="1" applyAlignment="1">
      <alignment horizontal="right" vertical="center"/>
    </xf>
    <xf numFmtId="3" fontId="70" fillId="0" borderId="5" xfId="0" applyNumberFormat="1" applyFont="1" applyBorder="1" applyAlignment="1">
      <alignment horizontal="right"/>
    </xf>
    <xf numFmtId="3" fontId="19" fillId="0" borderId="3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left" vertical="center"/>
    </xf>
    <xf numFmtId="0" fontId="18" fillId="8" borderId="1" xfId="0" applyFont="1" applyFill="1" applyBorder="1"/>
    <xf numFmtId="0" fontId="15" fillId="2" borderId="1" xfId="0" applyFont="1" applyFill="1" applyBorder="1"/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8" fillId="0" borderId="2" xfId="0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/>
    </xf>
    <xf numFmtId="3" fontId="46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/>
    </xf>
    <xf numFmtId="0" fontId="75" fillId="6" borderId="1" xfId="0" applyFont="1" applyFill="1" applyBorder="1"/>
    <xf numFmtId="0" fontId="6" fillId="0" borderId="4" xfId="0" applyFont="1" applyBorder="1" applyAlignment="1">
      <alignment horizontal="left" vertical="center" wrapText="1"/>
    </xf>
    <xf numFmtId="0" fontId="70" fillId="0" borderId="38" xfId="0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left" vertical="center"/>
    </xf>
    <xf numFmtId="3" fontId="16" fillId="0" borderId="5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3" fontId="35" fillId="0" borderId="11" xfId="0" applyNumberFormat="1" applyFont="1" applyBorder="1" applyAlignment="1">
      <alignment horizontal="left" vertical="center" wrapText="1"/>
    </xf>
    <xf numFmtId="3" fontId="35" fillId="0" borderId="3" xfId="0" applyNumberFormat="1" applyFont="1" applyBorder="1" applyAlignment="1">
      <alignment horizontal="right" vertical="center"/>
    </xf>
    <xf numFmtId="3" fontId="16" fillId="0" borderId="10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3" fontId="35" fillId="0" borderId="2" xfId="0" applyNumberFormat="1" applyFont="1" applyBorder="1" applyAlignment="1">
      <alignment vertical="center"/>
    </xf>
    <xf numFmtId="3" fontId="35" fillId="0" borderId="1" xfId="0" applyNumberFormat="1" applyFont="1" applyBorder="1" applyAlignment="1">
      <alignment vertical="center"/>
    </xf>
    <xf numFmtId="3" fontId="35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vertical="center"/>
    </xf>
    <xf numFmtId="3" fontId="16" fillId="0" borderId="12" xfId="0" applyNumberFormat="1" applyFont="1" applyBorder="1" applyAlignment="1">
      <alignment vertical="center"/>
    </xf>
    <xf numFmtId="3" fontId="35" fillId="0" borderId="37" xfId="0" applyNumberFormat="1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horizontal="left" vertical="center" wrapText="1"/>
    </xf>
    <xf numFmtId="3" fontId="16" fillId="0" borderId="5" xfId="1" applyNumberFormat="1" applyFont="1" applyFill="1" applyBorder="1" applyAlignment="1">
      <alignment horizontal="right" vertical="center"/>
    </xf>
    <xf numFmtId="3" fontId="16" fillId="0" borderId="6" xfId="1" applyNumberFormat="1" applyFont="1" applyFill="1" applyBorder="1" applyAlignment="1">
      <alignment horizontal="right" vertical="center"/>
    </xf>
    <xf numFmtId="3" fontId="16" fillId="0" borderId="28" xfId="0" applyNumberFormat="1" applyFont="1" applyBorder="1" applyAlignment="1">
      <alignment vertical="center"/>
    </xf>
    <xf numFmtId="3" fontId="35" fillId="0" borderId="9" xfId="0" applyNumberFormat="1" applyFont="1" applyBorder="1" applyAlignment="1">
      <alignment horizontal="left" vertical="center" wrapText="1"/>
    </xf>
    <xf numFmtId="3" fontId="35" fillId="0" borderId="3" xfId="1" applyNumberFormat="1" applyFont="1" applyFill="1" applyBorder="1" applyAlignment="1">
      <alignment horizontal="right" vertical="center"/>
    </xf>
    <xf numFmtId="3" fontId="16" fillId="0" borderId="3" xfId="1" applyNumberFormat="1" applyFont="1" applyFill="1" applyBorder="1" applyAlignment="1">
      <alignment horizontal="right" vertical="center"/>
    </xf>
    <xf numFmtId="3" fontId="16" fillId="0" borderId="10" xfId="1" applyNumberFormat="1" applyFont="1" applyFill="1" applyBorder="1" applyAlignment="1">
      <alignment horizontal="right" vertical="center"/>
    </xf>
    <xf numFmtId="3" fontId="76" fillId="0" borderId="16" xfId="0" applyNumberFormat="1" applyFont="1" applyBorder="1" applyAlignment="1">
      <alignment vertical="center"/>
    </xf>
    <xf numFmtId="3" fontId="35" fillId="0" borderId="2" xfId="1" applyNumberFormat="1" applyFont="1" applyFill="1" applyBorder="1" applyAlignment="1">
      <alignment horizontal="right" vertical="center"/>
    </xf>
    <xf numFmtId="3" fontId="35" fillId="0" borderId="1" xfId="1" applyNumberFormat="1" applyFont="1" applyFill="1" applyBorder="1" applyAlignment="1">
      <alignment horizontal="right" vertical="center"/>
    </xf>
    <xf numFmtId="3" fontId="77" fillId="0" borderId="16" xfId="0" applyNumberFormat="1" applyFont="1" applyBorder="1" applyAlignment="1">
      <alignment vertical="center"/>
    </xf>
    <xf numFmtId="3" fontId="16" fillId="0" borderId="1" xfId="1" applyNumberFormat="1" applyFont="1" applyFill="1" applyBorder="1" applyAlignment="1">
      <alignment horizontal="right" vertical="center"/>
    </xf>
    <xf numFmtId="3" fontId="6" fillId="0" borderId="4" xfId="0" applyNumberFormat="1" applyFont="1" applyBorder="1" applyAlignment="1">
      <alignment horizontal="left" vertical="center" wrapText="1"/>
    </xf>
    <xf numFmtId="3" fontId="16" fillId="0" borderId="16" xfId="0" applyNumberFormat="1" applyFont="1" applyBorder="1" applyAlignment="1">
      <alignment vertical="center"/>
    </xf>
    <xf numFmtId="0" fontId="70" fillId="0" borderId="25" xfId="0" applyFont="1" applyBorder="1" applyAlignment="1">
      <alignment horizontal="center" vertical="center" wrapText="1"/>
    </xf>
    <xf numFmtId="3" fontId="19" fillId="6" borderId="1" xfId="0" applyNumberFormat="1" applyFont="1" applyFill="1" applyBorder="1" applyAlignment="1">
      <alignment horizontal="right"/>
    </xf>
    <xf numFmtId="3" fontId="70" fillId="6" borderId="5" xfId="0" applyNumberFormat="1" applyFont="1" applyFill="1" applyBorder="1" applyAlignment="1">
      <alignment horizontal="right"/>
    </xf>
    <xf numFmtId="3" fontId="19" fillId="6" borderId="3" xfId="0" applyNumberFormat="1" applyFont="1" applyFill="1" applyBorder="1" applyAlignment="1">
      <alignment horizontal="right"/>
    </xf>
    <xf numFmtId="3" fontId="18" fillId="0" borderId="3" xfId="0" applyNumberFormat="1" applyFont="1" applyBorder="1"/>
    <xf numFmtId="3" fontId="19" fillId="6" borderId="2" xfId="0" applyNumberFormat="1" applyFont="1" applyFill="1" applyBorder="1" applyAlignment="1">
      <alignment horizontal="right"/>
    </xf>
    <xf numFmtId="3" fontId="19" fillId="7" borderId="3" xfId="0" applyNumberFormat="1" applyFont="1" applyFill="1" applyBorder="1" applyAlignment="1">
      <alignment horizontal="right" vertical="center" wrapText="1"/>
    </xf>
    <xf numFmtId="3" fontId="18" fillId="7" borderId="3" xfId="0" applyNumberFormat="1" applyFont="1" applyFill="1" applyBorder="1" applyAlignment="1">
      <alignment horizontal="right" vertical="center" wrapText="1"/>
    </xf>
    <xf numFmtId="3" fontId="19" fillId="6" borderId="3" xfId="0" applyNumberFormat="1" applyFont="1" applyFill="1" applyBorder="1" applyAlignment="1">
      <alignment horizontal="right" vertical="center" wrapText="1"/>
    </xf>
    <xf numFmtId="3" fontId="18" fillId="7" borderId="7" xfId="0" applyNumberFormat="1" applyFont="1" applyFill="1" applyBorder="1" applyAlignment="1">
      <alignment horizontal="right" vertical="center" wrapText="1"/>
    </xf>
    <xf numFmtId="3" fontId="70" fillId="6" borderId="5" xfId="0" applyNumberFormat="1" applyFont="1" applyFill="1" applyBorder="1"/>
    <xf numFmtId="3" fontId="15" fillId="12" borderId="0" xfId="0" applyNumberFormat="1" applyFont="1" applyFill="1"/>
    <xf numFmtId="0" fontId="70" fillId="0" borderId="1" xfId="0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vertical="center" wrapText="1"/>
    </xf>
    <xf numFmtId="3" fontId="18" fillId="0" borderId="3" xfId="0" applyNumberFormat="1" applyFont="1" applyBorder="1" applyAlignment="1">
      <alignment vertical="center" wrapText="1"/>
    </xf>
    <xf numFmtId="3" fontId="19" fillId="6" borderId="1" xfId="0" applyNumberFormat="1" applyFont="1" applyFill="1" applyBorder="1"/>
    <xf numFmtId="3" fontId="70" fillId="6" borderId="1" xfId="0" applyNumberFormat="1" applyFont="1" applyFill="1" applyBorder="1"/>
    <xf numFmtId="3" fontId="70" fillId="6" borderId="7" xfId="0" applyNumberFormat="1" applyFont="1" applyFill="1" applyBorder="1"/>
    <xf numFmtId="3" fontId="70" fillId="6" borderId="21" xfId="0" applyNumberFormat="1" applyFont="1" applyFill="1" applyBorder="1"/>
    <xf numFmtId="0" fontId="15" fillId="0" borderId="5" xfId="0" applyFont="1" applyBorder="1"/>
    <xf numFmtId="0" fontId="70" fillId="7" borderId="1" xfId="0" applyFont="1" applyFill="1" applyBorder="1" applyAlignment="1">
      <alignment horizontal="center" vertical="center" wrapText="1"/>
    </xf>
    <xf numFmtId="3" fontId="19" fillId="7" borderId="1" xfId="0" applyNumberFormat="1" applyFont="1" applyFill="1" applyBorder="1"/>
    <xf numFmtId="3" fontId="18" fillId="7" borderId="3" xfId="0" applyNumberFormat="1" applyFont="1" applyFill="1" applyBorder="1"/>
    <xf numFmtId="3" fontId="18" fillId="7" borderId="1" xfId="0" applyNumberFormat="1" applyFont="1" applyFill="1" applyBorder="1"/>
    <xf numFmtId="3" fontId="19" fillId="7" borderId="3" xfId="0" applyNumberFormat="1" applyFont="1" applyFill="1" applyBorder="1"/>
    <xf numFmtId="3" fontId="18" fillId="7" borderId="3" xfId="0" applyNumberFormat="1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12" fillId="6" borderId="4" xfId="0" applyFont="1" applyFill="1" applyBorder="1" applyAlignment="1">
      <alignment horizontal="left"/>
    </xf>
    <xf numFmtId="0" fontId="8" fillId="0" borderId="2" xfId="0" applyFont="1" applyBorder="1" applyAlignment="1">
      <alignment vertical="center"/>
    </xf>
    <xf numFmtId="3" fontId="16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21" fillId="5" borderId="0" xfId="0" applyFont="1" applyFill="1" applyAlignment="1">
      <alignment horizontal="center"/>
    </xf>
    <xf numFmtId="0" fontId="5" fillId="0" borderId="0" xfId="4" applyFont="1"/>
    <xf numFmtId="0" fontId="5" fillId="0" borderId="0" xfId="4" applyFont="1" applyAlignment="1">
      <alignment horizontal="right"/>
    </xf>
    <xf numFmtId="3" fontId="5" fillId="0" borderId="0" xfId="4" applyNumberFormat="1" applyFont="1" applyAlignment="1">
      <alignment horizontal="right"/>
    </xf>
    <xf numFmtId="0" fontId="29" fillId="6" borderId="4" xfId="4" applyFont="1" applyFill="1" applyBorder="1" applyAlignment="1">
      <alignment horizontal="center" vertical="top" wrapText="1"/>
    </xf>
    <xf numFmtId="0" fontId="29" fillId="6" borderId="5" xfId="4" applyFont="1" applyFill="1" applyBorder="1" applyAlignment="1">
      <alignment horizontal="center" vertical="center" wrapText="1"/>
    </xf>
    <xf numFmtId="0" fontId="29" fillId="6" borderId="25" xfId="4" applyFont="1" applyFill="1" applyBorder="1" applyAlignment="1">
      <alignment horizontal="center" vertical="center" wrapText="1"/>
    </xf>
    <xf numFmtId="0" fontId="8" fillId="0" borderId="0" xfId="4" applyFont="1"/>
    <xf numFmtId="0" fontId="5" fillId="0" borderId="9" xfId="4" applyFont="1" applyBorder="1" applyAlignment="1">
      <alignment horizontal="center" vertical="top" wrapText="1"/>
    </xf>
    <xf numFmtId="0" fontId="5" fillId="0" borderId="3" xfId="4" applyFont="1" applyBorder="1" applyAlignment="1">
      <alignment horizontal="left" vertical="top" wrapText="1"/>
    </xf>
    <xf numFmtId="3" fontId="5" fillId="0" borderId="3" xfId="4" applyNumberFormat="1" applyFont="1" applyBorder="1" applyAlignment="1">
      <alignment horizontal="right" vertical="top" wrapText="1"/>
    </xf>
    <xf numFmtId="3" fontId="5" fillId="6" borderId="30" xfId="4" applyNumberFormat="1" applyFont="1" applyFill="1" applyBorder="1" applyAlignment="1">
      <alignment horizontal="right" vertical="top" wrapText="1"/>
    </xf>
    <xf numFmtId="3" fontId="5" fillId="0" borderId="0" xfId="4" applyNumberFormat="1" applyFont="1"/>
    <xf numFmtId="0" fontId="5" fillId="0" borderId="11" xfId="4" applyFont="1" applyBorder="1" applyAlignment="1">
      <alignment horizontal="center" vertical="top" wrapText="1"/>
    </xf>
    <xf numFmtId="0" fontId="5" fillId="0" borderId="1" xfId="4" applyFont="1" applyBorder="1" applyAlignment="1">
      <alignment horizontal="left" vertical="top" wrapText="1"/>
    </xf>
    <xf numFmtId="3" fontId="5" fillId="0" borderId="1" xfId="4" applyNumberFormat="1" applyFont="1" applyBorder="1" applyAlignment="1">
      <alignment horizontal="right" vertical="top" wrapText="1"/>
    </xf>
    <xf numFmtId="3" fontId="5" fillId="6" borderId="31" xfId="4" applyNumberFormat="1" applyFont="1" applyFill="1" applyBorder="1" applyAlignment="1">
      <alignment horizontal="right" vertical="top" wrapText="1"/>
    </xf>
    <xf numFmtId="0" fontId="8" fillId="0" borderId="1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3" fontId="8" fillId="0" borderId="1" xfId="4" applyNumberFormat="1" applyFont="1" applyBorder="1" applyAlignment="1">
      <alignment horizontal="right" vertical="top" wrapText="1"/>
    </xf>
    <xf numFmtId="3" fontId="8" fillId="6" borderId="31" xfId="4" applyNumberFormat="1" applyFont="1" applyFill="1" applyBorder="1" applyAlignment="1">
      <alignment horizontal="right" vertical="top" wrapText="1"/>
    </xf>
    <xf numFmtId="3" fontId="18" fillId="0" borderId="0" xfId="4" applyNumberFormat="1" applyFont="1"/>
    <xf numFmtId="3" fontId="5" fillId="0" borderId="1" xfId="4" applyNumberFormat="1" applyFont="1" applyBorder="1" applyAlignment="1">
      <alignment horizontal="right" vertical="center" wrapText="1"/>
    </xf>
    <xf numFmtId="3" fontId="5" fillId="6" borderId="31" xfId="4" applyNumberFormat="1" applyFont="1" applyFill="1" applyBorder="1" applyAlignment="1">
      <alignment horizontal="right" vertical="center" wrapText="1"/>
    </xf>
    <xf numFmtId="0" fontId="8" fillId="0" borderId="13" xfId="4" applyFont="1" applyBorder="1" applyAlignment="1">
      <alignment horizontal="center" vertical="top" wrapText="1"/>
    </xf>
    <xf numFmtId="0" fontId="8" fillId="0" borderId="8" xfId="4" applyFont="1" applyBorder="1" applyAlignment="1">
      <alignment horizontal="left" vertical="top" wrapText="1"/>
    </xf>
    <xf numFmtId="3" fontId="5" fillId="0" borderId="8" xfId="4" applyNumberFormat="1" applyFont="1" applyBorder="1" applyAlignment="1">
      <alignment horizontal="right" vertical="top" wrapText="1"/>
    </xf>
    <xf numFmtId="3" fontId="5" fillId="6" borderId="32" xfId="4" applyNumberFormat="1" applyFont="1" applyFill="1" applyBorder="1" applyAlignment="1">
      <alignment horizontal="right" vertical="top" wrapText="1"/>
    </xf>
    <xf numFmtId="3" fontId="43" fillId="6" borderId="1" xfId="0" applyNumberFormat="1" applyFont="1" applyFill="1" applyBorder="1"/>
    <xf numFmtId="3" fontId="34" fillId="0" borderId="0" xfId="0" applyNumberFormat="1" applyFont="1" applyAlignment="1">
      <alignment horizontal="center"/>
    </xf>
    <xf numFmtId="0" fontId="29" fillId="6" borderId="1" xfId="4" applyFont="1" applyFill="1" applyBorder="1" applyAlignment="1">
      <alignment horizontal="center" vertical="top" wrapText="1"/>
    </xf>
    <xf numFmtId="0" fontId="29" fillId="6" borderId="1" xfId="4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top" wrapText="1"/>
    </xf>
    <xf numFmtId="49" fontId="5" fillId="0" borderId="1" xfId="4" applyNumberFormat="1" applyFont="1" applyBorder="1" applyAlignment="1">
      <alignment horizontal="center" vertical="top" wrapText="1"/>
    </xf>
    <xf numFmtId="0" fontId="16" fillId="0" borderId="0" xfId="4" applyFont="1"/>
    <xf numFmtId="49" fontId="8" fillId="0" borderId="1" xfId="4" applyNumberFormat="1" applyFont="1" applyBorder="1" applyAlignment="1">
      <alignment horizontal="center" vertical="top" wrapText="1"/>
    </xf>
    <xf numFmtId="0" fontId="35" fillId="0" borderId="0" xfId="4" applyFont="1"/>
    <xf numFmtId="0" fontId="8" fillId="0" borderId="1" xfId="4" applyFont="1" applyBorder="1" applyAlignment="1">
      <alignment horizontal="left" vertical="center"/>
    </xf>
    <xf numFmtId="3" fontId="8" fillId="0" borderId="1" xfId="4" applyNumberFormat="1" applyFont="1" applyBorder="1" applyAlignment="1">
      <alignment horizontal="right" vertical="center" wrapText="1"/>
    </xf>
    <xf numFmtId="0" fontId="16" fillId="0" borderId="0" xfId="4" applyFont="1" applyAlignment="1">
      <alignment vertical="center"/>
    </xf>
    <xf numFmtId="0" fontId="8" fillId="0" borderId="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  <xf numFmtId="0" fontId="5" fillId="0" borderId="0" xfId="4" applyFont="1" applyAlignment="1">
      <alignment vertical="center"/>
    </xf>
    <xf numFmtId="0" fontId="35" fillId="0" borderId="0" xfId="4" applyFont="1" applyAlignment="1">
      <alignment vertical="center"/>
    </xf>
    <xf numFmtId="0" fontId="8" fillId="7" borderId="1" xfId="4" applyFont="1" applyFill="1" applyBorder="1" applyAlignment="1">
      <alignment horizontal="center" vertical="top" wrapText="1"/>
    </xf>
    <xf numFmtId="0" fontId="8" fillId="7" borderId="1" xfId="4" applyFont="1" applyFill="1" applyBorder="1" applyAlignment="1">
      <alignment horizontal="left" vertical="top" wrapText="1"/>
    </xf>
    <xf numFmtId="3" fontId="8" fillId="7" borderId="1" xfId="4" applyNumberFormat="1" applyFont="1" applyFill="1" applyBorder="1" applyAlignment="1">
      <alignment horizontal="right" vertical="top" wrapText="1"/>
    </xf>
    <xf numFmtId="0" fontId="8" fillId="0" borderId="1" xfId="4" applyFont="1" applyBorder="1" applyAlignment="1">
      <alignment horizontal="center" vertical="top" wrapText="1"/>
    </xf>
    <xf numFmtId="0" fontId="5" fillId="0" borderId="1" xfId="4" applyFont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23" fillId="0" borderId="0" xfId="15" applyAlignment="1">
      <alignment vertical="center"/>
    </xf>
    <xf numFmtId="0" fontId="5" fillId="0" borderId="0" xfId="15" applyFont="1" applyAlignment="1">
      <alignment horizontal="right" vertical="center"/>
    </xf>
    <xf numFmtId="3" fontId="23" fillId="0" borderId="0" xfId="15" applyNumberFormat="1" applyAlignment="1">
      <alignment vertical="center"/>
    </xf>
    <xf numFmtId="3" fontId="5" fillId="0" borderId="0" xfId="15" applyNumberFormat="1" applyFont="1" applyAlignment="1">
      <alignment horizontal="right" vertical="center"/>
    </xf>
    <xf numFmtId="3" fontId="21" fillId="0" borderId="0" xfId="0" applyNumberFormat="1" applyFont="1"/>
    <xf numFmtId="0" fontId="24" fillId="0" borderId="0" xfId="15" applyFont="1" applyAlignment="1">
      <alignment horizontal="right" vertical="center"/>
    </xf>
    <xf numFmtId="0" fontId="5" fillId="0" borderId="13" xfId="15" applyFont="1" applyBorder="1" applyAlignment="1">
      <alignment horizontal="center" vertical="center" wrapText="1"/>
    </xf>
    <xf numFmtId="0" fontId="5" fillId="0" borderId="8" xfId="15" applyFont="1" applyBorder="1" applyAlignment="1">
      <alignment horizontal="center" vertical="center" wrapText="1"/>
    </xf>
    <xf numFmtId="0" fontId="8" fillId="0" borderId="8" xfId="15" applyFont="1" applyBorder="1" applyAlignment="1">
      <alignment horizontal="center" vertical="center" wrapText="1"/>
    </xf>
    <xf numFmtId="0" fontId="8" fillId="0" borderId="14" xfId="15" applyFont="1" applyBorder="1" applyAlignment="1">
      <alignment horizontal="center" vertical="center" wrapText="1"/>
    </xf>
    <xf numFmtId="0" fontId="35" fillId="0" borderId="3" xfId="15" applyFont="1" applyBorder="1" applyAlignment="1">
      <alignment horizontal="left" vertical="center" wrapText="1"/>
    </xf>
    <xf numFmtId="3" fontId="8" fillId="0" borderId="3" xfId="15" applyNumberFormat="1" applyFont="1" applyBorder="1" applyAlignment="1">
      <alignment horizontal="right" vertical="center" wrapText="1"/>
    </xf>
    <xf numFmtId="0" fontId="5" fillId="0" borderId="1" xfId="15" applyFont="1" applyBorder="1" applyAlignment="1">
      <alignment horizontal="left" vertical="center" wrapText="1"/>
    </xf>
    <xf numFmtId="0" fontId="8" fillId="0" borderId="1" xfId="15" applyFont="1" applyBorder="1" applyAlignment="1">
      <alignment horizontal="left" vertical="center" wrapText="1"/>
    </xf>
    <xf numFmtId="3" fontId="8" fillId="0" borderId="1" xfId="15" applyNumberFormat="1" applyFont="1" applyBorder="1" applyAlignment="1">
      <alignment horizontal="right" vertical="center" wrapText="1"/>
    </xf>
    <xf numFmtId="3" fontId="5" fillId="0" borderId="1" xfId="15" applyNumberFormat="1" applyFont="1" applyBorder="1" applyAlignment="1">
      <alignment horizontal="right" vertical="center" wrapText="1"/>
    </xf>
    <xf numFmtId="0" fontId="35" fillId="0" borderId="1" xfId="15" applyFont="1" applyBorder="1" applyAlignment="1">
      <alignment horizontal="left" vertical="center" wrapText="1"/>
    </xf>
    <xf numFmtId="0" fontId="35" fillId="0" borderId="1" xfId="15" applyFont="1" applyBorder="1" applyAlignment="1">
      <alignment vertical="center" wrapText="1"/>
    </xf>
    <xf numFmtId="0" fontId="78" fillId="0" borderId="1" xfId="15" applyFont="1" applyBorder="1" applyAlignment="1">
      <alignment horizontal="left" vertical="center" wrapText="1"/>
    </xf>
    <xf numFmtId="3" fontId="79" fillId="0" borderId="0" xfId="15" applyNumberFormat="1" applyFont="1" applyAlignment="1">
      <alignment vertical="center"/>
    </xf>
    <xf numFmtId="3" fontId="18" fillId="0" borderId="1" xfId="15" applyNumberFormat="1" applyFont="1" applyBorder="1" applyAlignment="1">
      <alignment horizontal="right" vertical="center" wrapText="1"/>
    </xf>
    <xf numFmtId="3" fontId="19" fillId="0" borderId="1" xfId="15" applyNumberFormat="1" applyFont="1" applyBorder="1" applyAlignment="1">
      <alignment horizontal="right" vertical="center" wrapText="1"/>
    </xf>
    <xf numFmtId="0" fontId="80" fillId="0" borderId="1" xfId="15" applyFont="1" applyBorder="1" applyAlignment="1">
      <alignment horizontal="left" vertical="center" wrapText="1"/>
    </xf>
    <xf numFmtId="3" fontId="81" fillId="0" borderId="1" xfId="15" applyNumberFormat="1" applyFont="1" applyBorder="1" applyAlignment="1">
      <alignment horizontal="right" vertical="center" wrapText="1"/>
    </xf>
    <xf numFmtId="3" fontId="8" fillId="0" borderId="1" xfId="15" applyNumberFormat="1" applyFont="1" applyBorder="1" applyAlignment="1">
      <alignment horizontal="right" vertical="top" wrapText="1"/>
    </xf>
    <xf numFmtId="3" fontId="80" fillId="0" borderId="1" xfId="15" applyNumberFormat="1" applyFont="1" applyBorder="1" applyAlignment="1">
      <alignment horizontal="right" vertical="center" wrapText="1"/>
    </xf>
    <xf numFmtId="0" fontId="8" fillId="0" borderId="1" xfId="15" applyFont="1" applyBorder="1" applyAlignment="1">
      <alignment horizontal="justify" vertical="center" wrapText="1"/>
    </xf>
    <xf numFmtId="0" fontId="5" fillId="0" borderId="1" xfId="15" applyFont="1" applyBorder="1" applyAlignment="1">
      <alignment horizontal="justify" vertical="center" wrapText="1"/>
    </xf>
    <xf numFmtId="3" fontId="82" fillId="0" borderId="0" xfId="15" applyNumberFormat="1" applyFont="1" applyAlignment="1">
      <alignment vertical="center" wrapText="1"/>
    </xf>
    <xf numFmtId="3" fontId="81" fillId="0" borderId="0" xfId="15" applyNumberFormat="1" applyFont="1" applyAlignment="1">
      <alignment vertical="center" wrapText="1"/>
    </xf>
    <xf numFmtId="0" fontId="16" fillId="0" borderId="1" xfId="15" applyFont="1" applyBorder="1" applyAlignment="1">
      <alignment horizontal="left" vertical="center" wrapText="1"/>
    </xf>
    <xf numFmtId="0" fontId="82" fillId="0" borderId="1" xfId="15" applyFont="1" applyBorder="1" applyAlignment="1">
      <alignment horizontal="left" vertical="center" wrapText="1"/>
    </xf>
    <xf numFmtId="0" fontId="83" fillId="0" borderId="1" xfId="15" applyFont="1" applyBorder="1" applyAlignment="1">
      <alignment horizontal="left" vertical="center" wrapText="1"/>
    </xf>
    <xf numFmtId="3" fontId="8" fillId="13" borderId="1" xfId="15" applyNumberFormat="1" applyFont="1" applyFill="1" applyBorder="1" applyAlignment="1">
      <alignment horizontal="right" vertical="center" wrapText="1"/>
    </xf>
    <xf numFmtId="0" fontId="5" fillId="0" borderId="0" xfId="15" applyFont="1" applyAlignment="1">
      <alignment horizontal="justify" vertical="center"/>
    </xf>
    <xf numFmtId="3" fontId="48" fillId="0" borderId="0" xfId="15" applyNumberFormat="1" applyFont="1" applyAlignment="1">
      <alignment horizontal="right" vertical="center"/>
    </xf>
    <xf numFmtId="0" fontId="80" fillId="0" borderId="0" xfId="15" applyFont="1" applyAlignment="1">
      <alignment vertical="center"/>
    </xf>
    <xf numFmtId="0" fontId="80" fillId="0" borderId="0" xfId="15" applyFont="1" applyAlignment="1">
      <alignment horizontal="right" vertical="center"/>
    </xf>
    <xf numFmtId="0" fontId="8" fillId="0" borderId="6" xfId="15" applyFont="1" applyBorder="1" applyAlignment="1">
      <alignment horizontal="center" vertical="center" wrapText="1"/>
    </xf>
    <xf numFmtId="0" fontId="23" fillId="0" borderId="3" xfId="15" applyBorder="1" applyAlignment="1">
      <alignment vertical="center"/>
    </xf>
    <xf numFmtId="0" fontId="80" fillId="0" borderId="3" xfId="15" applyFont="1" applyBorder="1" applyAlignment="1">
      <alignment horizontal="left" vertical="center" wrapText="1"/>
    </xf>
    <xf numFmtId="3" fontId="5" fillId="0" borderId="3" xfId="15" applyNumberFormat="1" applyFont="1" applyBorder="1" applyAlignment="1">
      <alignment horizontal="right" vertical="center" wrapText="1"/>
    </xf>
    <xf numFmtId="0" fontId="23" fillId="0" borderId="1" xfId="15" applyBorder="1" applyAlignment="1">
      <alignment vertical="center"/>
    </xf>
    <xf numFmtId="0" fontId="81" fillId="0" borderId="1" xfId="15" applyFont="1" applyBorder="1" applyAlignment="1">
      <alignment horizontal="left" vertical="center" wrapText="1"/>
    </xf>
    <xf numFmtId="0" fontId="85" fillId="0" borderId="0" xfId="15" applyFont="1" applyAlignment="1">
      <alignment horizontal="left" vertical="center"/>
    </xf>
    <xf numFmtId="0" fontId="84" fillId="0" borderId="0" xfId="15" applyFont="1" applyAlignment="1">
      <alignment horizontal="center" vertical="center"/>
    </xf>
    <xf numFmtId="0" fontId="80" fillId="0" borderId="0" xfId="15" applyFont="1" applyAlignment="1">
      <alignment horizontal="center" vertical="center"/>
    </xf>
    <xf numFmtId="0" fontId="5" fillId="0" borderId="1" xfId="15" applyFont="1" applyBorder="1" applyAlignment="1">
      <alignment horizontal="center" vertical="center"/>
    </xf>
    <xf numFmtId="0" fontId="8" fillId="0" borderId="1" xfId="15" applyFont="1" applyBorder="1" applyAlignment="1">
      <alignment horizontal="left" vertical="center"/>
    </xf>
    <xf numFmtId="3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15" applyFont="1" applyBorder="1" applyAlignment="1">
      <alignment vertical="center"/>
    </xf>
    <xf numFmtId="0" fontId="5" fillId="0" borderId="16" xfId="15" applyFont="1" applyBorder="1" applyAlignment="1">
      <alignment vertical="center"/>
    </xf>
    <xf numFmtId="0" fontId="5" fillId="0" borderId="0" xfId="15" applyFont="1" applyAlignment="1">
      <alignment horizontal="center" vertical="center"/>
    </xf>
    <xf numFmtId="0" fontId="5" fillId="0" borderId="0" xfId="15" applyFont="1" applyAlignment="1">
      <alignment vertical="center"/>
    </xf>
    <xf numFmtId="3" fontId="5" fillId="0" borderId="0" xfId="2" applyNumberFormat="1" applyFont="1" applyFill="1" applyBorder="1" applyAlignment="1" applyProtection="1">
      <alignment horizontal="center" vertical="center"/>
    </xf>
    <xf numFmtId="0" fontId="5" fillId="0" borderId="0" xfId="15" applyFont="1" applyAlignment="1">
      <alignment horizontal="left" vertical="center"/>
    </xf>
    <xf numFmtId="0" fontId="5" fillId="0" borderId="1" xfId="15" applyFont="1" applyBorder="1" applyAlignment="1">
      <alignment horizontal="left" vertical="center"/>
    </xf>
    <xf numFmtId="0" fontId="5" fillId="0" borderId="1" xfId="15" applyFont="1" applyBorder="1" applyAlignment="1">
      <alignment vertical="center" wrapText="1"/>
    </xf>
    <xf numFmtId="3" fontId="86" fillId="0" borderId="0" xfId="15" applyNumberFormat="1" applyFont="1" applyAlignment="1">
      <alignment vertical="center"/>
    </xf>
    <xf numFmtId="3" fontId="23" fillId="8" borderId="0" xfId="15" applyNumberFormat="1" applyFill="1" applyAlignment="1">
      <alignment vertical="center"/>
    </xf>
    <xf numFmtId="3" fontId="25" fillId="5" borderId="0" xfId="0" applyNumberFormat="1" applyFont="1" applyFill="1" applyAlignment="1">
      <alignment horizontal="right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9" xfId="0" applyFont="1" applyBorder="1"/>
    <xf numFmtId="3" fontId="10" fillId="0" borderId="12" xfId="0" applyNumberFormat="1" applyFont="1" applyBorder="1"/>
    <xf numFmtId="0" fontId="11" fillId="0" borderId="11" xfId="0" applyFont="1" applyBorder="1"/>
    <xf numFmtId="3" fontId="11" fillId="0" borderId="12" xfId="0" applyNumberFormat="1" applyFont="1" applyBorder="1"/>
    <xf numFmtId="0" fontId="10" fillId="0" borderId="11" xfId="0" applyFont="1" applyBorder="1"/>
    <xf numFmtId="3" fontId="15" fillId="0" borderId="18" xfId="0" applyNumberFormat="1" applyFont="1" applyBorder="1"/>
    <xf numFmtId="0" fontId="10" fillId="0" borderId="13" xfId="0" applyFont="1" applyBorder="1"/>
    <xf numFmtId="3" fontId="10" fillId="0" borderId="14" xfId="0" applyNumberFormat="1" applyFont="1" applyBorder="1"/>
    <xf numFmtId="0" fontId="36" fillId="3" borderId="5" xfId="0" applyFont="1" applyFill="1" applyBorder="1" applyAlignment="1">
      <alignment horizontal="right" vertical="center" wrapText="1"/>
    </xf>
    <xf numFmtId="0" fontId="11" fillId="0" borderId="9" xfId="0" applyFont="1" applyBorder="1" applyAlignment="1">
      <alignment horizontal="left" wrapText="1"/>
    </xf>
    <xf numFmtId="3" fontId="11" fillId="0" borderId="3" xfId="0" applyNumberFormat="1" applyFont="1" applyBorder="1"/>
    <xf numFmtId="3" fontId="11" fillId="0" borderId="52" xfId="0" applyNumberFormat="1" applyFont="1" applyBorder="1" applyAlignment="1">
      <alignment horizontal="right"/>
    </xf>
    <xf numFmtId="0" fontId="0" fillId="0" borderId="11" xfId="0" applyBorder="1"/>
    <xf numFmtId="3" fontId="0" fillId="0" borderId="26" xfId="0" applyNumberFormat="1" applyBorder="1"/>
    <xf numFmtId="0" fontId="11" fillId="0" borderId="11" xfId="0" applyFont="1" applyBorder="1" applyAlignment="1">
      <alignment wrapText="1"/>
    </xf>
    <xf numFmtId="3" fontId="11" fillId="0" borderId="26" xfId="0" applyNumberFormat="1" applyFont="1" applyBorder="1"/>
    <xf numFmtId="0" fontId="11" fillId="0" borderId="9" xfId="0" applyFont="1" applyBorder="1" applyAlignment="1">
      <alignment vertical="center" wrapText="1"/>
    </xf>
    <xf numFmtId="3" fontId="11" fillId="0" borderId="3" xfId="0" applyNumberFormat="1" applyFont="1" applyBorder="1" applyAlignment="1">
      <alignment vertical="center"/>
    </xf>
    <xf numFmtId="3" fontId="11" fillId="0" borderId="52" xfId="0" applyNumberFormat="1" applyFont="1" applyBorder="1" applyAlignment="1">
      <alignment vertical="center"/>
    </xf>
    <xf numFmtId="4" fontId="0" fillId="0" borderId="53" xfId="0" applyNumberFormat="1" applyBorder="1" applyAlignment="1">
      <alignment horizontal="right" vertical="center"/>
    </xf>
    <xf numFmtId="0" fontId="0" fillId="0" borderId="13" xfId="0" applyBorder="1"/>
    <xf numFmtId="3" fontId="0" fillId="0" borderId="8" xfId="0" applyNumberFormat="1" applyBorder="1"/>
    <xf numFmtId="4" fontId="0" fillId="0" borderId="54" xfId="0" applyNumberFormat="1" applyBorder="1" applyAlignment="1">
      <alignment horizontal="right"/>
    </xf>
    <xf numFmtId="0" fontId="11" fillId="2" borderId="0" xfId="0" applyFont="1" applyFill="1"/>
    <xf numFmtId="0" fontId="4" fillId="11" borderId="1" xfId="13" applyFill="1" applyBorder="1"/>
    <xf numFmtId="0" fontId="64" fillId="0" borderId="1" xfId="13" applyFont="1" applyBorder="1"/>
    <xf numFmtId="49" fontId="64" fillId="0" borderId="1" xfId="13" applyNumberFormat="1" applyFont="1" applyBorder="1"/>
    <xf numFmtId="0" fontId="64" fillId="0" borderId="1" xfId="13" applyFont="1" applyBorder="1" applyAlignment="1">
      <alignment horizontal="center"/>
    </xf>
    <xf numFmtId="3" fontId="88" fillId="0" borderId="4" xfId="0" applyNumberFormat="1" applyFont="1" applyBorder="1" applyAlignment="1">
      <alignment horizontal="center" vertical="center"/>
    </xf>
    <xf numFmtId="3" fontId="29" fillId="0" borderId="55" xfId="0" applyNumberFormat="1" applyFont="1" applyBorder="1" applyAlignment="1">
      <alignment horizontal="center" vertical="center"/>
    </xf>
    <xf numFmtId="3" fontId="19" fillId="0" borderId="25" xfId="0" applyNumberFormat="1" applyFont="1" applyBorder="1" applyAlignment="1">
      <alignment horizontal="center" vertical="center" wrapText="1"/>
    </xf>
    <xf numFmtId="3" fontId="24" fillId="0" borderId="11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shrinkToFit="1"/>
    </xf>
    <xf numFmtId="3" fontId="5" fillId="0" borderId="31" xfId="0" applyNumberFormat="1" applyFont="1" applyBorder="1"/>
    <xf numFmtId="3" fontId="88" fillId="0" borderId="11" xfId="0" applyNumberFormat="1" applyFont="1" applyBorder="1" applyAlignment="1">
      <alignment horizontal="right"/>
    </xf>
    <xf numFmtId="3" fontId="16" fillId="0" borderId="41" xfId="0" applyNumberFormat="1" applyFont="1" applyBorder="1" applyAlignment="1">
      <alignment wrapText="1"/>
    </xf>
    <xf numFmtId="3" fontId="8" fillId="0" borderId="31" xfId="0" applyNumberFormat="1" applyFont="1" applyBorder="1"/>
    <xf numFmtId="3" fontId="8" fillId="0" borderId="17" xfId="0" applyNumberFormat="1" applyFont="1" applyBorder="1"/>
    <xf numFmtId="3" fontId="5" fillId="0" borderId="17" xfId="0" applyNumberFormat="1" applyFont="1" applyBorder="1" applyAlignment="1">
      <alignment wrapText="1" shrinkToFit="1"/>
    </xf>
    <xf numFmtId="3" fontId="88" fillId="0" borderId="4" xfId="0" applyNumberFormat="1" applyFont="1" applyBorder="1" applyAlignment="1">
      <alignment horizontal="right"/>
    </xf>
    <xf numFmtId="3" fontId="8" fillId="0" borderId="55" xfId="0" applyNumberFormat="1" applyFont="1" applyBorder="1"/>
    <xf numFmtId="3" fontId="8" fillId="0" borderId="25" xfId="0" applyNumberFormat="1" applyFont="1" applyBorder="1"/>
    <xf numFmtId="0" fontId="90" fillId="0" borderId="0" xfId="13" applyFont="1"/>
    <xf numFmtId="0" fontId="1" fillId="0" borderId="0" xfId="13" applyFont="1"/>
    <xf numFmtId="0" fontId="12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/>
    </xf>
    <xf numFmtId="0" fontId="0" fillId="0" borderId="0" xfId="0"/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35" fillId="0" borderId="2" xfId="0" applyNumberFormat="1" applyFont="1" applyBorder="1" applyAlignment="1">
      <alignment horizontal="right" vertical="center"/>
    </xf>
    <xf numFmtId="3" fontId="35" fillId="0" borderId="7" xfId="0" applyNumberFormat="1" applyFont="1" applyBorder="1" applyAlignment="1">
      <alignment horizontal="right" vertical="center"/>
    </xf>
    <xf numFmtId="3" fontId="35" fillId="0" borderId="3" xfId="0" applyNumberFormat="1" applyFont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center" vertical="center" wrapText="1"/>
    </xf>
    <xf numFmtId="3" fontId="8" fillId="3" borderId="34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9" xfId="0" applyNumberFormat="1" applyFont="1" applyFill="1" applyBorder="1" applyAlignment="1">
      <alignment horizontal="center" vertical="center" wrapText="1"/>
    </xf>
    <xf numFmtId="3" fontId="8" fillId="3" borderId="44" xfId="0" applyNumberFormat="1" applyFont="1" applyFill="1" applyBorder="1" applyAlignment="1">
      <alignment horizontal="center" vertical="center" wrapText="1"/>
    </xf>
    <xf numFmtId="3" fontId="8" fillId="3" borderId="35" xfId="0" applyNumberFormat="1" applyFont="1" applyFill="1" applyBorder="1" applyAlignment="1">
      <alignment horizontal="center" vertical="center" wrapText="1"/>
    </xf>
    <xf numFmtId="3" fontId="8" fillId="3" borderId="45" xfId="0" applyNumberFormat="1" applyFont="1" applyFill="1" applyBorder="1" applyAlignment="1">
      <alignment horizontal="center" vertical="center" wrapText="1"/>
    </xf>
    <xf numFmtId="3" fontId="8" fillId="3" borderId="36" xfId="0" applyNumberFormat="1" applyFont="1" applyFill="1" applyBorder="1" applyAlignment="1">
      <alignment horizontal="center" vertical="center" wrapText="1"/>
    </xf>
    <xf numFmtId="3" fontId="8" fillId="3" borderId="51" xfId="0" applyNumberFormat="1" applyFont="1" applyFill="1" applyBorder="1" applyAlignment="1">
      <alignment horizontal="center" vertical="center" wrapText="1"/>
    </xf>
    <xf numFmtId="3" fontId="8" fillId="3" borderId="39" xfId="0" applyNumberFormat="1" applyFont="1" applyFill="1" applyBorder="1" applyAlignment="1">
      <alignment horizontal="center" vertical="center" wrapText="1"/>
    </xf>
    <xf numFmtId="3" fontId="8" fillId="3" borderId="43" xfId="0" applyNumberFormat="1" applyFont="1" applyFill="1" applyBorder="1" applyAlignment="1">
      <alignment horizontal="center" vertical="center" wrapText="1"/>
    </xf>
    <xf numFmtId="3" fontId="8" fillId="3" borderId="17" xfId="0" applyNumberFormat="1" applyFont="1" applyFill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3" fontId="31" fillId="3" borderId="2" xfId="0" applyNumberFormat="1" applyFont="1" applyFill="1" applyBorder="1" applyAlignment="1">
      <alignment horizontal="center" vertical="center" wrapText="1"/>
    </xf>
    <xf numFmtId="3" fontId="31" fillId="3" borderId="34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textRotation="90" wrapText="1"/>
    </xf>
    <xf numFmtId="0" fontId="8" fillId="6" borderId="7" xfId="0" applyFont="1" applyFill="1" applyBorder="1" applyAlignment="1">
      <alignment horizontal="center" vertical="center" textRotation="90" wrapText="1"/>
    </xf>
    <xf numFmtId="0" fontId="8" fillId="6" borderId="3" xfId="0" applyFont="1" applyFill="1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 wrapText="1"/>
    </xf>
    <xf numFmtId="3" fontId="19" fillId="3" borderId="16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textRotation="90"/>
    </xf>
    <xf numFmtId="0" fontId="8" fillId="6" borderId="7" xfId="0" applyFont="1" applyFill="1" applyBorder="1" applyAlignment="1">
      <alignment horizontal="center" vertical="center" textRotation="90"/>
    </xf>
    <xf numFmtId="0" fontId="8" fillId="6" borderId="3" xfId="0" applyFont="1" applyFill="1" applyBorder="1" applyAlignment="1">
      <alignment horizontal="center" vertical="center" textRotation="90"/>
    </xf>
    <xf numFmtId="0" fontId="19" fillId="3" borderId="2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top" wrapText="1"/>
    </xf>
    <xf numFmtId="0" fontId="21" fillId="5" borderId="0" xfId="0" applyFont="1" applyFill="1" applyAlignment="1">
      <alignment horizontal="center" vertical="top"/>
    </xf>
    <xf numFmtId="0" fontId="8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8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8" fillId="6" borderId="1" xfId="24" applyFont="1" applyFill="1" applyBorder="1" applyAlignment="1">
      <alignment horizontal="center" vertical="center"/>
    </xf>
    <xf numFmtId="9" fontId="0" fillId="0" borderId="1" xfId="24" applyFont="1" applyBorder="1" applyAlignment="1">
      <alignment horizontal="center" vertical="center"/>
    </xf>
    <xf numFmtId="0" fontId="28" fillId="6" borderId="17" xfId="0" applyFont="1" applyFill="1" applyBorder="1" applyAlignment="1">
      <alignment horizontal="center" vertical="center" wrapText="1"/>
    </xf>
    <xf numFmtId="0" fontId="28" fillId="6" borderId="3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47" xfId="0" applyFont="1" applyFill="1" applyBorder="1" applyAlignment="1">
      <alignment horizontal="center" vertical="center" wrapText="1"/>
    </xf>
    <xf numFmtId="0" fontId="28" fillId="6" borderId="48" xfId="0" applyFont="1" applyFill="1" applyBorder="1" applyAlignment="1">
      <alignment horizontal="center" vertical="center" wrapText="1"/>
    </xf>
    <xf numFmtId="0" fontId="28" fillId="6" borderId="49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/>
    </xf>
    <xf numFmtId="0" fontId="7" fillId="6" borderId="46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3" fontId="19" fillId="0" borderId="21" xfId="0" applyNumberFormat="1" applyFont="1" applyBorder="1" applyAlignment="1">
      <alignment horizontal="right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right" vertical="center"/>
    </xf>
    <xf numFmtId="3" fontId="44" fillId="0" borderId="18" xfId="0" applyNumberFormat="1" applyFont="1" applyBorder="1" applyAlignment="1">
      <alignment horizontal="right" vertical="center"/>
    </xf>
    <xf numFmtId="0" fontId="41" fillId="3" borderId="47" xfId="0" applyFont="1" applyFill="1" applyBorder="1" applyAlignment="1">
      <alignment horizontal="center" vertical="center" wrapText="1"/>
    </xf>
    <xf numFmtId="0" fontId="41" fillId="3" borderId="48" xfId="0" applyFont="1" applyFill="1" applyBorder="1" applyAlignment="1">
      <alignment horizontal="center" vertical="center" wrapText="1"/>
    </xf>
    <xf numFmtId="0" fontId="41" fillId="3" borderId="49" xfId="0" applyFont="1" applyFill="1" applyBorder="1" applyAlignment="1">
      <alignment horizontal="center"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center" vertical="center" wrapText="1"/>
    </xf>
    <xf numFmtId="0" fontId="41" fillId="3" borderId="50" xfId="0" applyFont="1" applyFill="1" applyBorder="1" applyAlignment="1">
      <alignment horizontal="center" vertical="center" wrapText="1"/>
    </xf>
    <xf numFmtId="0" fontId="41" fillId="3" borderId="41" xfId="0" applyFont="1" applyFill="1" applyBorder="1" applyAlignment="1">
      <alignment horizontal="center" vertical="center" wrapText="1"/>
    </xf>
    <xf numFmtId="0" fontId="41" fillId="3" borderId="40" xfId="0" applyFont="1" applyFill="1" applyBorder="1" applyAlignment="1">
      <alignment horizontal="center" vertical="center" wrapText="1"/>
    </xf>
    <xf numFmtId="0" fontId="41" fillId="3" borderId="28" xfId="0" applyFont="1" applyFill="1" applyBorder="1" applyAlignment="1">
      <alignment horizontal="center" vertical="center" wrapText="1"/>
    </xf>
    <xf numFmtId="3" fontId="41" fillId="6" borderId="33" xfId="0" applyNumberFormat="1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11" fillId="6" borderId="17" xfId="0" applyNumberFormat="1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3" fontId="9" fillId="6" borderId="17" xfId="0" applyNumberFormat="1" applyFont="1" applyFill="1" applyBorder="1" applyAlignment="1">
      <alignment horizontal="center"/>
    </xf>
    <xf numFmtId="3" fontId="9" fillId="6" borderId="16" xfId="0" applyNumberFormat="1" applyFont="1" applyFill="1" applyBorder="1" applyAlignment="1">
      <alignment horizontal="center"/>
    </xf>
    <xf numFmtId="3" fontId="9" fillId="0" borderId="17" xfId="0" applyNumberFormat="1" applyFont="1" applyBorder="1" applyAlignment="1">
      <alignment horizontal="center"/>
    </xf>
    <xf numFmtId="3" fontId="9" fillId="0" borderId="16" xfId="0" applyNumberFormat="1" applyFont="1" applyBorder="1" applyAlignment="1">
      <alignment horizontal="center"/>
    </xf>
    <xf numFmtId="0" fontId="40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41" fillId="6" borderId="17" xfId="0" applyNumberFormat="1" applyFont="1" applyFill="1" applyBorder="1" applyAlignment="1">
      <alignment horizontal="center" vertical="center" wrapText="1"/>
    </xf>
    <xf numFmtId="1" fontId="41" fillId="6" borderId="16" xfId="0" applyNumberFormat="1" applyFont="1" applyFill="1" applyBorder="1" applyAlignment="1">
      <alignment horizontal="center" vertical="center" wrapText="1"/>
    </xf>
    <xf numFmtId="3" fontId="41" fillId="6" borderId="1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8" fillId="13" borderId="1" xfId="15" applyFont="1" applyFill="1" applyBorder="1" applyAlignment="1">
      <alignment horizontal="left" vertical="center" wrapText="1"/>
    </xf>
    <xf numFmtId="0" fontId="5" fillId="0" borderId="15" xfId="15" applyFont="1" applyBorder="1" applyAlignment="1">
      <alignment horizontal="center" vertical="center" wrapText="1"/>
    </xf>
    <xf numFmtId="0" fontId="5" fillId="0" borderId="22" xfId="15" applyFont="1" applyBorder="1" applyAlignment="1">
      <alignment horizontal="center" vertical="center" wrapText="1"/>
    </xf>
    <xf numFmtId="0" fontId="8" fillId="0" borderId="22" xfId="15" applyFont="1" applyBorder="1" applyAlignment="1">
      <alignment horizontal="center" vertical="center" wrapText="1"/>
    </xf>
    <xf numFmtId="0" fontId="8" fillId="0" borderId="23" xfId="15" applyFont="1" applyBorder="1" applyAlignment="1">
      <alignment horizontal="center" vertical="center" wrapText="1"/>
    </xf>
    <xf numFmtId="0" fontId="16" fillId="0" borderId="3" xfId="15" applyFont="1" applyBorder="1" applyAlignment="1">
      <alignment horizontal="left" vertical="center" wrapText="1"/>
    </xf>
    <xf numFmtId="0" fontId="84" fillId="0" borderId="0" xfId="15" applyFont="1" applyAlignment="1">
      <alignment horizontal="center" vertical="center" wrapText="1"/>
    </xf>
    <xf numFmtId="0" fontId="81" fillId="0" borderId="27" xfId="15" applyFont="1" applyBorder="1" applyAlignment="1">
      <alignment horizontal="center" vertical="center" wrapText="1"/>
    </xf>
    <xf numFmtId="0" fontId="81" fillId="0" borderId="19" xfId="15" applyFont="1" applyBorder="1" applyAlignment="1">
      <alignment horizontal="center" vertical="center" wrapText="1"/>
    </xf>
    <xf numFmtId="0" fontId="81" fillId="0" borderId="38" xfId="15" applyFont="1" applyBorder="1" applyAlignment="1">
      <alignment horizontal="center" vertical="center" wrapText="1"/>
    </xf>
    <xf numFmtId="0" fontId="80" fillId="0" borderId="3" xfId="15" applyFont="1" applyBorder="1" applyAlignment="1">
      <alignment horizontal="left" vertical="center" wrapText="1"/>
    </xf>
    <xf numFmtId="0" fontId="80" fillId="0" borderId="1" xfId="15" applyFont="1" applyBorder="1" applyAlignment="1">
      <alignment horizontal="left" vertical="center" wrapText="1"/>
    </xf>
    <xf numFmtId="0" fontId="80" fillId="0" borderId="2" xfId="15" applyFont="1" applyBorder="1" applyAlignment="1">
      <alignment horizontal="center" vertical="center" wrapText="1"/>
    </xf>
    <xf numFmtId="0" fontId="80" fillId="0" borderId="3" xfId="15" applyFont="1" applyBorder="1" applyAlignment="1">
      <alignment horizontal="center" vertical="center" wrapText="1"/>
    </xf>
    <xf numFmtId="3" fontId="5" fillId="0" borderId="2" xfId="15" applyNumberFormat="1" applyFont="1" applyBorder="1" applyAlignment="1">
      <alignment horizontal="right" vertical="center" wrapText="1"/>
    </xf>
    <xf numFmtId="3" fontId="5" fillId="0" borderId="3" xfId="15" applyNumberFormat="1" applyFont="1" applyBorder="1" applyAlignment="1">
      <alignment horizontal="right" vertical="center" wrapText="1"/>
    </xf>
    <xf numFmtId="0" fontId="8" fillId="0" borderId="1" xfId="15" applyFont="1" applyBorder="1" applyAlignment="1">
      <alignment horizontal="left" vertical="center"/>
    </xf>
    <xf numFmtId="0" fontId="8" fillId="0" borderId="1" xfId="15" applyFont="1" applyBorder="1" applyAlignment="1">
      <alignment horizontal="left" vertical="center" wrapText="1"/>
    </xf>
    <xf numFmtId="0" fontId="81" fillId="0" borderId="1" xfId="15" applyFont="1" applyBorder="1" applyAlignment="1">
      <alignment horizontal="left" vertical="center" wrapText="1"/>
    </xf>
    <xf numFmtId="0" fontId="84" fillId="0" borderId="0" xfId="15" applyFont="1" applyAlignment="1">
      <alignment horizontal="center" vertical="center"/>
    </xf>
    <xf numFmtId="0" fontId="26" fillId="2" borderId="0" xfId="0" applyFont="1" applyFill="1" applyAlignment="1">
      <alignment horizontal="center" wrapText="1"/>
    </xf>
    <xf numFmtId="0" fontId="87" fillId="2" borderId="0" xfId="0" applyFont="1" applyFill="1" applyAlignment="1">
      <alignment horizontal="center" wrapText="1"/>
    </xf>
    <xf numFmtId="0" fontId="63" fillId="10" borderId="0" xfId="13" applyFont="1" applyFill="1" applyAlignment="1">
      <alignment horizontal="center" wrapText="1"/>
    </xf>
    <xf numFmtId="0" fontId="63" fillId="10" borderId="0" xfId="13" applyFont="1" applyFill="1" applyAlignment="1">
      <alignment horizontal="center"/>
    </xf>
  </cellXfs>
  <cellStyles count="25">
    <cellStyle name="Ezres 2" xfId="1" xr:uid="{00000000-0005-0000-0000-000001000000}"/>
    <cellStyle name="Ezres 2 2" xfId="20" xr:uid="{00000000-0005-0000-0000-000002000000}"/>
    <cellStyle name="Ezres 3" xfId="2" xr:uid="{00000000-0005-0000-0000-000003000000}"/>
    <cellStyle name="Ezres 4" xfId="19" xr:uid="{00000000-0005-0000-0000-000004000000}"/>
    <cellStyle name="Normál" xfId="0" builtinId="0"/>
    <cellStyle name="Normál 10" xfId="13" xr:uid="{00000000-0005-0000-0000-000006000000}"/>
    <cellStyle name="Normál 10 2" xfId="22" xr:uid="{00000000-0005-0000-0000-000007000000}"/>
    <cellStyle name="Normál 2" xfId="3" xr:uid="{00000000-0005-0000-0000-000008000000}"/>
    <cellStyle name="Normál 2 2" xfId="4" xr:uid="{00000000-0005-0000-0000-000009000000}"/>
    <cellStyle name="Normál 3" xfId="5" xr:uid="{00000000-0005-0000-0000-00000A000000}"/>
    <cellStyle name="Normál 3 2" xfId="14" xr:uid="{00000000-0005-0000-0000-00000B000000}"/>
    <cellStyle name="Normál 3 2 2" xfId="23" xr:uid="{00000000-0005-0000-0000-00000C000000}"/>
    <cellStyle name="Normál 3 3" xfId="21" xr:uid="{00000000-0005-0000-0000-00000D000000}"/>
    <cellStyle name="Normál 4" xfId="6" xr:uid="{00000000-0005-0000-0000-00000E000000}"/>
    <cellStyle name="Normál 4 2" xfId="15" xr:uid="{00000000-0005-0000-0000-00000F000000}"/>
    <cellStyle name="Normál 5" xfId="7" xr:uid="{00000000-0005-0000-0000-000010000000}"/>
    <cellStyle name="Normál 5 2" xfId="16" xr:uid="{00000000-0005-0000-0000-000011000000}"/>
    <cellStyle name="Normál 6" xfId="8" xr:uid="{00000000-0005-0000-0000-000012000000}"/>
    <cellStyle name="Normál 6 2" xfId="17" xr:uid="{00000000-0005-0000-0000-000013000000}"/>
    <cellStyle name="Normál 7" xfId="9" xr:uid="{00000000-0005-0000-0000-000014000000}"/>
    <cellStyle name="Normál 8" xfId="10" xr:uid="{00000000-0005-0000-0000-000015000000}"/>
    <cellStyle name="Normál 9" xfId="11" xr:uid="{00000000-0005-0000-0000-000016000000}"/>
    <cellStyle name="Normál 9 2" xfId="18" xr:uid="{00000000-0005-0000-0000-000017000000}"/>
    <cellStyle name="Normal_KARSZJ3" xfId="12" xr:uid="{00000000-0005-0000-0000-000018000000}"/>
    <cellStyle name="Százalék" xfId="2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10</xdr:col>
      <xdr:colOff>514349</xdr:colOff>
      <xdr:row>58</xdr:row>
      <xdr:rowOff>153372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91FBF74A-40B2-CB75-D2B9-BCA7E73CB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6610349" cy="9164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</xdr:colOff>
      <xdr:row>1</xdr:row>
      <xdr:rowOff>1</xdr:rowOff>
    </xdr:from>
    <xdr:to>
      <xdr:col>21</xdr:col>
      <xdr:colOff>523875</xdr:colOff>
      <xdr:row>58</xdr:row>
      <xdr:rowOff>118098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8DA784C-3A09-7EA3-337C-9177C01B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2" y="161926"/>
          <a:ext cx="6619873" cy="9347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</xdr:colOff>
      <xdr:row>1</xdr:row>
      <xdr:rowOff>1</xdr:rowOff>
    </xdr:from>
    <xdr:to>
      <xdr:col>32</xdr:col>
      <xdr:colOff>533400</xdr:colOff>
      <xdr:row>58</xdr:row>
      <xdr:rowOff>131548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890E547-4EDF-0B0B-8398-4873EC84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1" y="161926"/>
          <a:ext cx="6629399" cy="9361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2</xdr:colOff>
      <xdr:row>1</xdr:row>
      <xdr:rowOff>0</xdr:rowOff>
    </xdr:from>
    <xdr:to>
      <xdr:col>43</xdr:col>
      <xdr:colOff>548169</xdr:colOff>
      <xdr:row>58</xdr:row>
      <xdr:rowOff>152400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4502AE2-6AA5-7AB4-6404-21D080475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6802" y="161925"/>
          <a:ext cx="6644167" cy="938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BALATONF&#214;LDV&#193;R\2024_besz&#225;mol&#243;_Bf\Z&#225;rsz&#225;mad&#225;s%202024_Bf&#246;ldv&#225;r_mell&#233;kletek.xlsx" TargetMode="External"/><Relationship Id="rId1" Type="http://schemas.openxmlformats.org/officeDocument/2006/relationships/externalLinkPath" Target="/2025/2025_BALATONF&#214;LDV&#193;R/2024_besz&#225;mol&#243;_Bf/Z&#225;rsz&#225;mad&#225;s%202024_Bf&#246;ldv&#225;r_mell&#233;klete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ORI~1\AppData\Local\Temp\K&#246;lts&#233;gvet&#233;s_2022_II.fordul&#243;_ok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9.Hivatal"/>
      <sheetName val="10.Többéves, adósság"/>
      <sheetName val="11.Maradvány"/>
      <sheetName val="12.Mérleg_konsz"/>
      <sheetName val="13.Eredménykim._konsz"/>
      <sheetName val="14.Vagyonkimutatás"/>
      <sheetName val="15.Előirányzat felh.terv"/>
      <sheetName val="16.Részesedések"/>
      <sheetName val="11.Likviditás"/>
      <sheetName val="17.Gördülő"/>
      <sheetName val="18.Vezetői nyilatkozat"/>
      <sheetName val="13. Eu projekt"/>
      <sheetName val="19.Mérlegszerű kimutatás"/>
      <sheetName val="12.Tartalék"/>
      <sheetName val="Társulási fel. tájékoztatásul"/>
    </sheetNames>
    <sheetDataSet>
      <sheetData sheetId="0"/>
      <sheetData sheetId="1"/>
      <sheetData sheetId="2"/>
      <sheetData sheetId="3"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3">
          <cell r="C9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F21">
            <v>1093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zöld város"/>
      <sheetName val="9.Hivatal"/>
      <sheetName val="10.Többéves, adósság"/>
      <sheetName val="12. Maradványkimutatás"/>
      <sheetName val="13.Mérleg"/>
      <sheetName val="14. Eredménykimutatás"/>
      <sheetName val="15. Vagyonkimutatás"/>
      <sheetName val="16. Előirányzat felh.terv"/>
      <sheetName val="17. Részesedések"/>
      <sheetName val="11.Likviditás"/>
      <sheetName val="12. gördülő tervezés"/>
      <sheetName val="13. Eu projekt"/>
      <sheetName val="14.mérlegszerű kimutatás"/>
      <sheetName val="Társulási díjak tájékoztatásul"/>
      <sheetName val="Társulási fel. tájékoztatásul"/>
      <sheetName val="beruházások"/>
      <sheetName val="13.2.EU projekt részletesen"/>
    </sheetNames>
    <sheetDataSet>
      <sheetData sheetId="0" refreshError="1"/>
      <sheetData sheetId="1" refreshError="1">
        <row r="9">
          <cell r="C9">
            <v>559478</v>
          </cell>
        </row>
        <row r="50">
          <cell r="C50">
            <v>10300</v>
          </cell>
        </row>
        <row r="57">
          <cell r="C57">
            <v>220868</v>
          </cell>
        </row>
        <row r="58">
          <cell r="C58">
            <v>574708</v>
          </cell>
        </row>
        <row r="60">
          <cell r="C60">
            <v>342000</v>
          </cell>
        </row>
        <row r="79">
          <cell r="C79">
            <v>15915</v>
          </cell>
        </row>
        <row r="81">
          <cell r="C81">
            <v>58156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52"/>
  <sheetViews>
    <sheetView tabSelected="1" zoomScale="90" zoomScaleNormal="90" workbookViewId="0">
      <selection activeCell="A5" sqref="A5:L5"/>
    </sheetView>
  </sheetViews>
  <sheetFormatPr defaultRowHeight="12.75" x14ac:dyDescent="0.2"/>
  <cols>
    <col min="1" max="1" width="6.28515625" style="2" customWidth="1"/>
    <col min="2" max="2" width="57.42578125" customWidth="1"/>
    <col min="3" max="3" width="10.28515625" customWidth="1"/>
    <col min="4" max="4" width="13.7109375" style="33" customWidth="1"/>
    <col min="5" max="5" width="15.42578125" style="33" hidden="1" customWidth="1"/>
    <col min="6" max="6" width="9.7109375" style="33" hidden="1" customWidth="1"/>
    <col min="7" max="7" width="15.5703125" style="134" hidden="1" customWidth="1"/>
    <col min="8" max="8" width="10.140625" style="134" hidden="1" customWidth="1"/>
    <col min="9" max="9" width="15.28515625" style="33" hidden="1" customWidth="1"/>
    <col min="10" max="10" width="10.28515625" style="33" hidden="1" customWidth="1"/>
    <col min="11" max="11" width="14" style="33" customWidth="1"/>
    <col min="12" max="12" width="13.85546875" style="33" customWidth="1"/>
    <col min="13" max="13" width="5.7109375" customWidth="1"/>
    <col min="14" max="14" width="10.85546875" customWidth="1"/>
    <col min="15" max="17" width="9.140625" customWidth="1"/>
    <col min="18" max="18" width="9.7109375" customWidth="1"/>
  </cols>
  <sheetData>
    <row r="1" spans="1:47" ht="15" customHeight="1" x14ac:dyDescent="0.3">
      <c r="A1" s="51"/>
      <c r="B1" s="144"/>
      <c r="C1" s="144"/>
      <c r="H1" s="145"/>
      <c r="J1" s="145"/>
      <c r="L1" s="145" t="s">
        <v>434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5" customHeight="1" x14ac:dyDescent="0.3">
      <c r="A2" s="51"/>
      <c r="B2" s="144"/>
      <c r="C2" s="144"/>
      <c r="H2" s="145"/>
      <c r="J2" s="145"/>
      <c r="L2" s="145" t="s">
        <v>1167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5" customHeight="1" x14ac:dyDescent="0.3">
      <c r="A3" s="51"/>
      <c r="B3" s="144"/>
      <c r="C3" s="144"/>
      <c r="H3" s="145"/>
      <c r="J3" s="145"/>
      <c r="K3" s="14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" customHeight="1" x14ac:dyDescent="0.3">
      <c r="A4" s="51"/>
      <c r="B4" s="144"/>
      <c r="C4" s="144"/>
      <c r="E4" s="145"/>
      <c r="F4" s="145"/>
      <c r="G4" s="145"/>
      <c r="H4" s="14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9.5" x14ac:dyDescent="0.35">
      <c r="A5" s="694" t="s">
        <v>22</v>
      </c>
      <c r="B5" s="694"/>
      <c r="C5" s="694"/>
      <c r="D5" s="695"/>
      <c r="E5" s="695"/>
      <c r="F5" s="695"/>
      <c r="G5" s="695"/>
      <c r="H5" s="695"/>
      <c r="I5" s="695"/>
      <c r="J5" s="695"/>
      <c r="K5" s="695"/>
      <c r="L5" s="69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9.5" x14ac:dyDescent="0.35">
      <c r="A6" s="694" t="s">
        <v>667</v>
      </c>
      <c r="B6" s="694"/>
      <c r="C6" s="694"/>
      <c r="D6" s="695"/>
      <c r="E6" s="695"/>
      <c r="F6" s="695"/>
      <c r="G6" s="695"/>
      <c r="H6" s="695"/>
      <c r="I6" s="695"/>
      <c r="J6" s="695"/>
      <c r="K6" s="695"/>
      <c r="L6" s="69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thickBot="1" x14ac:dyDescent="0.25">
      <c r="A7" s="51"/>
      <c r="B7" s="51"/>
      <c r="C7" s="51"/>
      <c r="H7" s="145"/>
      <c r="J7" s="145"/>
      <c r="L7" s="145" t="s">
        <v>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53.25" customHeight="1" thickBot="1" x14ac:dyDescent="0.25">
      <c r="A8" s="180" t="s">
        <v>72</v>
      </c>
      <c r="B8" s="41" t="s">
        <v>295</v>
      </c>
      <c r="C8" s="385" t="s">
        <v>803</v>
      </c>
      <c r="D8" s="41" t="s">
        <v>504</v>
      </c>
      <c r="E8" s="41" t="s">
        <v>751</v>
      </c>
      <c r="F8" s="392" t="s">
        <v>769</v>
      </c>
      <c r="G8" s="41" t="s">
        <v>795</v>
      </c>
      <c r="H8" s="392" t="s">
        <v>769</v>
      </c>
      <c r="I8" s="41" t="s">
        <v>809</v>
      </c>
      <c r="J8" s="392" t="s">
        <v>769</v>
      </c>
      <c r="K8" s="41" t="s">
        <v>822</v>
      </c>
      <c r="L8" s="42" t="s">
        <v>752</v>
      </c>
      <c r="M8" s="258" t="s">
        <v>854</v>
      </c>
      <c r="N8" s="25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22.5" customHeight="1" x14ac:dyDescent="0.2">
      <c r="A9" s="115" t="s">
        <v>280</v>
      </c>
      <c r="B9" s="186" t="s">
        <v>267</v>
      </c>
      <c r="C9" s="386">
        <v>1528173</v>
      </c>
      <c r="D9" s="138">
        <f>SUM(D10:D51)</f>
        <v>2640267</v>
      </c>
      <c r="E9" s="138">
        <f>SUM(E10:E51)</f>
        <v>2704889</v>
      </c>
      <c r="F9" s="393">
        <f>G9-E9</f>
        <v>10397</v>
      </c>
      <c r="G9" s="138">
        <f>SUM(G10:G51)</f>
        <v>2715286</v>
      </c>
      <c r="H9" s="393">
        <f>I9-G9</f>
        <v>-141808</v>
      </c>
      <c r="I9" s="138">
        <f>SUM(I10:I51)</f>
        <v>2573478</v>
      </c>
      <c r="J9" s="393">
        <f>K9-I9</f>
        <v>0</v>
      </c>
      <c r="K9" s="138">
        <f>SUM(K10:K51)</f>
        <v>2573478</v>
      </c>
      <c r="L9" s="138">
        <f>SUM(L10:L51)</f>
        <v>1995619</v>
      </c>
      <c r="M9" s="259">
        <f t="shared" ref="M9:M76" si="0">(L9/K9)*100</f>
        <v>77.545601710991889</v>
      </c>
      <c r="N9" s="25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8" customHeight="1" x14ac:dyDescent="0.25">
      <c r="A10" s="14" t="s">
        <v>74</v>
      </c>
      <c r="B10" s="22" t="s">
        <v>174</v>
      </c>
      <c r="C10" s="387">
        <v>695314</v>
      </c>
      <c r="D10" s="34">
        <f>SUM('2.működés'!D9)</f>
        <v>742538</v>
      </c>
      <c r="E10" s="34">
        <f>SUM('2.működés'!E9)</f>
        <v>757160</v>
      </c>
      <c r="F10" s="393">
        <f t="shared" ref="F10:H61" si="1">G10-E10</f>
        <v>4647</v>
      </c>
      <c r="G10" s="34">
        <f>SUM('2.működés'!G9)</f>
        <v>761807</v>
      </c>
      <c r="H10" s="393">
        <f t="shared" si="1"/>
        <v>7381</v>
      </c>
      <c r="I10" s="34">
        <f>SUM('2.működés'!I9)</f>
        <v>769188</v>
      </c>
      <c r="J10" s="393">
        <f t="shared" ref="J10:J61" si="2">K10-I10</f>
        <v>0</v>
      </c>
      <c r="K10" s="34">
        <f>SUM('2.működés'!K9)</f>
        <v>769188</v>
      </c>
      <c r="L10" s="34">
        <f>SUM('2.működés'!L9)</f>
        <v>769186</v>
      </c>
      <c r="M10" s="259">
        <f t="shared" si="0"/>
        <v>99.999739985543201</v>
      </c>
      <c r="N10" s="259"/>
      <c r="O10" s="2"/>
      <c r="P10" s="2"/>
      <c r="Q10" s="7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3.5" hidden="1" customHeight="1" x14ac:dyDescent="0.2">
      <c r="A11" s="8" t="s">
        <v>75</v>
      </c>
      <c r="B11" s="8" t="s">
        <v>83</v>
      </c>
      <c r="C11" s="5"/>
      <c r="D11" s="5"/>
      <c r="E11" s="5"/>
      <c r="F11" s="393">
        <f t="shared" si="1"/>
        <v>0</v>
      </c>
      <c r="G11" s="5"/>
      <c r="H11" s="393">
        <f t="shared" si="1"/>
        <v>0</v>
      </c>
      <c r="I11" s="5"/>
      <c r="J11" s="393">
        <f t="shared" si="2"/>
        <v>0</v>
      </c>
      <c r="K11" s="5"/>
      <c r="L11" s="5"/>
      <c r="M11" s="259" t="e">
        <f t="shared" si="0"/>
        <v>#DIV/0!</v>
      </c>
      <c r="N11" s="259"/>
      <c r="O11" s="2"/>
      <c r="P11" s="2"/>
      <c r="Q11" s="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3.5" hidden="1" customHeight="1" x14ac:dyDescent="0.2">
      <c r="A12" s="8" t="s">
        <v>124</v>
      </c>
      <c r="B12" s="8" t="s">
        <v>125</v>
      </c>
      <c r="C12" s="5"/>
      <c r="D12" s="5"/>
      <c r="E12" s="5"/>
      <c r="F12" s="393">
        <f t="shared" si="1"/>
        <v>0</v>
      </c>
      <c r="G12" s="5"/>
      <c r="H12" s="393">
        <f t="shared" si="1"/>
        <v>0</v>
      </c>
      <c r="I12" s="5"/>
      <c r="J12" s="393">
        <f t="shared" si="2"/>
        <v>0</v>
      </c>
      <c r="K12" s="5"/>
      <c r="L12" s="5"/>
      <c r="M12" s="259" t="e">
        <f t="shared" si="0"/>
        <v>#DIV/0!</v>
      </c>
      <c r="N12" s="259"/>
      <c r="O12" s="2"/>
      <c r="P12" s="2"/>
      <c r="Q12" s="7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hidden="1" customHeight="1" x14ac:dyDescent="0.2">
      <c r="A13" s="8" t="s">
        <v>76</v>
      </c>
      <c r="B13" s="8" t="s">
        <v>80</v>
      </c>
      <c r="C13" s="6"/>
      <c r="D13" s="6"/>
      <c r="E13" s="6"/>
      <c r="F13" s="393">
        <f t="shared" si="1"/>
        <v>0</v>
      </c>
      <c r="G13" s="6"/>
      <c r="H13" s="393">
        <f t="shared" si="1"/>
        <v>0</v>
      </c>
      <c r="I13" s="6"/>
      <c r="J13" s="393">
        <f t="shared" si="2"/>
        <v>0</v>
      </c>
      <c r="K13" s="6"/>
      <c r="L13" s="6"/>
      <c r="M13" s="259" t="e">
        <f t="shared" si="0"/>
        <v>#DIV/0!</v>
      </c>
      <c r="N13" s="259"/>
      <c r="O13" s="2"/>
      <c r="P13" s="2"/>
      <c r="Q13" s="7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3.5" hidden="1" customHeight="1" x14ac:dyDescent="0.2">
      <c r="A14" s="8" t="s">
        <v>77</v>
      </c>
      <c r="B14" s="8" t="s">
        <v>81</v>
      </c>
      <c r="C14" s="11"/>
      <c r="D14" s="11"/>
      <c r="E14" s="11"/>
      <c r="F14" s="393">
        <f t="shared" si="1"/>
        <v>0</v>
      </c>
      <c r="G14" s="11"/>
      <c r="H14" s="393">
        <f t="shared" si="1"/>
        <v>0</v>
      </c>
      <c r="I14" s="11"/>
      <c r="J14" s="393">
        <f t="shared" si="2"/>
        <v>0</v>
      </c>
      <c r="K14" s="11"/>
      <c r="L14" s="11"/>
      <c r="M14" s="259" t="e">
        <f t="shared" si="0"/>
        <v>#DIV/0!</v>
      </c>
      <c r="N14" s="259"/>
      <c r="O14" s="2"/>
      <c r="P14" s="2"/>
      <c r="Q14" s="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3.5" hidden="1" customHeight="1" x14ac:dyDescent="0.2">
      <c r="A15" s="8" t="s">
        <v>78</v>
      </c>
      <c r="B15" s="8" t="s">
        <v>82</v>
      </c>
      <c r="C15" s="13"/>
      <c r="D15" s="13"/>
      <c r="E15" s="13"/>
      <c r="F15" s="393">
        <f t="shared" si="1"/>
        <v>0</v>
      </c>
      <c r="G15" s="13"/>
      <c r="H15" s="393">
        <f t="shared" si="1"/>
        <v>0</v>
      </c>
      <c r="I15" s="13"/>
      <c r="J15" s="393">
        <f t="shared" si="2"/>
        <v>0</v>
      </c>
      <c r="K15" s="13"/>
      <c r="L15" s="13"/>
      <c r="M15" s="259" t="e">
        <f t="shared" si="0"/>
        <v>#DIV/0!</v>
      </c>
      <c r="N15" s="259"/>
      <c r="O15" s="2"/>
      <c r="P15" s="2"/>
      <c r="Q15" s="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2.75" hidden="1" customHeight="1" x14ac:dyDescent="0.2">
      <c r="A16" s="8" t="s">
        <v>79</v>
      </c>
      <c r="B16" s="8" t="s">
        <v>84</v>
      </c>
      <c r="C16" s="13"/>
      <c r="D16" s="13"/>
      <c r="E16" s="13"/>
      <c r="F16" s="393">
        <f t="shared" si="1"/>
        <v>0</v>
      </c>
      <c r="G16" s="13"/>
      <c r="H16" s="393">
        <f t="shared" si="1"/>
        <v>0</v>
      </c>
      <c r="I16" s="13"/>
      <c r="J16" s="393">
        <f t="shared" si="2"/>
        <v>0</v>
      </c>
      <c r="K16" s="13"/>
      <c r="L16" s="13"/>
      <c r="M16" s="259" t="e">
        <f t="shared" si="0"/>
        <v>#DIV/0!</v>
      </c>
      <c r="N16" s="259"/>
      <c r="O16" s="2"/>
      <c r="P16" s="2"/>
      <c r="Q16" s="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8" customHeight="1" x14ac:dyDescent="0.25">
      <c r="A17" s="14" t="s">
        <v>85</v>
      </c>
      <c r="B17" s="22" t="s">
        <v>175</v>
      </c>
      <c r="C17" s="126">
        <v>93469</v>
      </c>
      <c r="D17" s="38">
        <f>SUM('3.felh'!D13)</f>
        <v>846026</v>
      </c>
      <c r="E17" s="38">
        <f>SUM('3.felh'!E13)</f>
        <v>896026</v>
      </c>
      <c r="F17" s="393">
        <f t="shared" si="1"/>
        <v>0</v>
      </c>
      <c r="G17" s="38">
        <f>SUM('3.felh'!G13)</f>
        <v>896026</v>
      </c>
      <c r="H17" s="393">
        <f t="shared" si="1"/>
        <v>0</v>
      </c>
      <c r="I17" s="38">
        <f>SUM('3.felh'!I13)</f>
        <v>896026</v>
      </c>
      <c r="J17" s="393">
        <f t="shared" si="2"/>
        <v>0</v>
      </c>
      <c r="K17" s="38">
        <f>SUM('3.felh'!K13)</f>
        <v>896026</v>
      </c>
      <c r="L17" s="38">
        <f>SUM('3.felh'!L13)</f>
        <v>394384</v>
      </c>
      <c r="M17" s="259">
        <f t="shared" si="0"/>
        <v>44.014794213560762</v>
      </c>
      <c r="N17" s="259"/>
      <c r="O17" s="2"/>
      <c r="P17" s="2"/>
      <c r="Q17" s="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2.75" hidden="1" customHeight="1" x14ac:dyDescent="0.2">
      <c r="A18" s="8" t="s">
        <v>86</v>
      </c>
      <c r="B18" s="8" t="s">
        <v>93</v>
      </c>
      <c r="C18" s="5"/>
      <c r="D18" s="5"/>
      <c r="E18" s="5"/>
      <c r="F18" s="393">
        <f t="shared" si="1"/>
        <v>0</v>
      </c>
      <c r="G18" s="5"/>
      <c r="H18" s="393">
        <f t="shared" si="1"/>
        <v>0</v>
      </c>
      <c r="I18" s="5"/>
      <c r="J18" s="393">
        <f t="shared" si="2"/>
        <v>0</v>
      </c>
      <c r="K18" s="5"/>
      <c r="L18" s="5"/>
      <c r="M18" s="259" t="e">
        <f t="shared" si="0"/>
        <v>#DIV/0!</v>
      </c>
      <c r="N18" s="259"/>
      <c r="O18" s="2"/>
      <c r="P18" s="2"/>
      <c r="Q18" s="7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2.75" hidden="1" customHeight="1" x14ac:dyDescent="0.2">
      <c r="A19" s="8" t="s">
        <v>126</v>
      </c>
      <c r="B19" s="8" t="s">
        <v>127</v>
      </c>
      <c r="C19" s="13"/>
      <c r="D19" s="13"/>
      <c r="E19" s="13"/>
      <c r="F19" s="393">
        <f t="shared" si="1"/>
        <v>0</v>
      </c>
      <c r="G19" s="13"/>
      <c r="H19" s="393">
        <f t="shared" si="1"/>
        <v>0</v>
      </c>
      <c r="I19" s="13"/>
      <c r="J19" s="393">
        <f t="shared" si="2"/>
        <v>0</v>
      </c>
      <c r="K19" s="13"/>
      <c r="L19" s="13"/>
      <c r="M19" s="259" t="e">
        <f t="shared" si="0"/>
        <v>#DIV/0!</v>
      </c>
      <c r="N19" s="259"/>
      <c r="O19" s="2"/>
      <c r="P19" s="2"/>
      <c r="Q19" s="7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2.75" hidden="1" customHeight="1" x14ac:dyDescent="0.2">
      <c r="A20" s="8" t="s">
        <v>87</v>
      </c>
      <c r="B20" s="8" t="s">
        <v>90</v>
      </c>
      <c r="C20" s="13"/>
      <c r="D20" s="13"/>
      <c r="E20" s="13"/>
      <c r="F20" s="393">
        <f t="shared" si="1"/>
        <v>0</v>
      </c>
      <c r="G20" s="13"/>
      <c r="H20" s="393">
        <f t="shared" si="1"/>
        <v>0</v>
      </c>
      <c r="I20" s="13"/>
      <c r="J20" s="393">
        <f t="shared" si="2"/>
        <v>0</v>
      </c>
      <c r="K20" s="13"/>
      <c r="L20" s="13"/>
      <c r="M20" s="259" t="e">
        <f t="shared" si="0"/>
        <v>#DIV/0!</v>
      </c>
      <c r="N20" s="259"/>
      <c r="O20" s="2"/>
      <c r="P20" s="2"/>
      <c r="Q20" s="7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2.75" hidden="1" customHeight="1" x14ac:dyDescent="0.2">
      <c r="A21" s="8" t="s">
        <v>88</v>
      </c>
      <c r="B21" s="8" t="s">
        <v>91</v>
      </c>
      <c r="C21" s="13"/>
      <c r="D21" s="13"/>
      <c r="E21" s="13"/>
      <c r="F21" s="393">
        <f t="shared" si="1"/>
        <v>0</v>
      </c>
      <c r="G21" s="13"/>
      <c r="H21" s="393">
        <f t="shared" si="1"/>
        <v>0</v>
      </c>
      <c r="I21" s="13"/>
      <c r="J21" s="393">
        <f t="shared" si="2"/>
        <v>0</v>
      </c>
      <c r="K21" s="13"/>
      <c r="L21" s="13"/>
      <c r="M21" s="259" t="e">
        <f t="shared" si="0"/>
        <v>#DIV/0!</v>
      </c>
      <c r="N21" s="259"/>
      <c r="O21" s="2"/>
      <c r="P21" s="2"/>
      <c r="Q21" s="7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2.75" hidden="1" customHeight="1" x14ac:dyDescent="0.2">
      <c r="A22" s="8" t="s">
        <v>89</v>
      </c>
      <c r="B22" s="8" t="s">
        <v>92</v>
      </c>
      <c r="C22" s="13"/>
      <c r="D22" s="13"/>
      <c r="E22" s="13"/>
      <c r="F22" s="393">
        <f t="shared" si="1"/>
        <v>0</v>
      </c>
      <c r="G22" s="13"/>
      <c r="H22" s="393">
        <f t="shared" si="1"/>
        <v>0</v>
      </c>
      <c r="I22" s="13"/>
      <c r="J22" s="393">
        <f t="shared" si="2"/>
        <v>0</v>
      </c>
      <c r="K22" s="13"/>
      <c r="L22" s="13"/>
      <c r="M22" s="259" t="e">
        <f t="shared" si="0"/>
        <v>#DIV/0!</v>
      </c>
      <c r="N22" s="259"/>
      <c r="O22" s="2"/>
      <c r="P22" s="2"/>
      <c r="Q22" s="7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8" customHeight="1" x14ac:dyDescent="0.25">
      <c r="A23" s="14" t="s">
        <v>94</v>
      </c>
      <c r="B23" s="22" t="s">
        <v>69</v>
      </c>
      <c r="C23" s="126">
        <v>544850</v>
      </c>
      <c r="D23" s="38">
        <f>SUM('2.működés'!D74)</f>
        <v>778620</v>
      </c>
      <c r="E23" s="38">
        <f>SUM('2.működés'!E74)</f>
        <v>778620</v>
      </c>
      <c r="F23" s="393">
        <f t="shared" si="1"/>
        <v>250</v>
      </c>
      <c r="G23" s="38">
        <f>SUM('2.működés'!G74)</f>
        <v>778870</v>
      </c>
      <c r="H23" s="393">
        <f t="shared" si="1"/>
        <v>20300</v>
      </c>
      <c r="I23" s="38">
        <f>SUM('2.működés'!I74)</f>
        <v>799170</v>
      </c>
      <c r="J23" s="393">
        <f t="shared" si="2"/>
        <v>0</v>
      </c>
      <c r="K23" s="38">
        <f>SUM('2.működés'!K74)</f>
        <v>799170</v>
      </c>
      <c r="L23" s="38">
        <f>SUM('2.működés'!L74)</f>
        <v>738279</v>
      </c>
      <c r="M23" s="259">
        <f t="shared" si="0"/>
        <v>92.380719996996888</v>
      </c>
      <c r="N23" s="259"/>
      <c r="O23" s="2"/>
      <c r="P23" s="2"/>
      <c r="Q23" s="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.75" hidden="1" customHeight="1" x14ac:dyDescent="0.2">
      <c r="A24" s="8" t="s">
        <v>95</v>
      </c>
      <c r="B24" s="8" t="s">
        <v>101</v>
      </c>
      <c r="C24" s="13"/>
      <c r="D24" s="13"/>
      <c r="E24" s="13"/>
      <c r="F24" s="393">
        <f t="shared" si="1"/>
        <v>0</v>
      </c>
      <c r="G24" s="13"/>
      <c r="H24" s="393">
        <f t="shared" si="1"/>
        <v>0</v>
      </c>
      <c r="I24" s="13"/>
      <c r="J24" s="393">
        <f t="shared" si="2"/>
        <v>0</v>
      </c>
      <c r="K24" s="13"/>
      <c r="L24" s="13"/>
      <c r="M24" s="259" t="e">
        <f t="shared" si="0"/>
        <v>#DIV/0!</v>
      </c>
      <c r="N24" s="259"/>
      <c r="O24" s="2"/>
      <c r="P24" s="2"/>
      <c r="Q24" s="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2.75" hidden="1" customHeight="1" x14ac:dyDescent="0.2">
      <c r="A25" s="8" t="s">
        <v>96</v>
      </c>
      <c r="B25" s="8" t="s">
        <v>102</v>
      </c>
      <c r="C25" s="13"/>
      <c r="D25" s="13"/>
      <c r="E25" s="13"/>
      <c r="F25" s="393">
        <f t="shared" si="1"/>
        <v>0</v>
      </c>
      <c r="G25" s="13"/>
      <c r="H25" s="393">
        <f t="shared" si="1"/>
        <v>0</v>
      </c>
      <c r="I25" s="13"/>
      <c r="J25" s="393">
        <f t="shared" si="2"/>
        <v>0</v>
      </c>
      <c r="K25" s="13"/>
      <c r="L25" s="13"/>
      <c r="M25" s="259" t="e">
        <f t="shared" si="0"/>
        <v>#DIV/0!</v>
      </c>
      <c r="N25" s="259"/>
      <c r="O25" s="2"/>
      <c r="P25" s="2"/>
      <c r="Q25" s="7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2.75" hidden="1" customHeight="1" x14ac:dyDescent="0.2">
      <c r="A26" s="8" t="s">
        <v>97</v>
      </c>
      <c r="B26" s="19" t="s">
        <v>103</v>
      </c>
      <c r="C26" s="44"/>
      <c r="D26" s="44"/>
      <c r="E26" s="44"/>
      <c r="F26" s="393">
        <f t="shared" si="1"/>
        <v>0</v>
      </c>
      <c r="G26" s="44"/>
      <c r="H26" s="393">
        <f t="shared" si="1"/>
        <v>0</v>
      </c>
      <c r="I26" s="44"/>
      <c r="J26" s="393">
        <f t="shared" si="2"/>
        <v>0</v>
      </c>
      <c r="K26" s="44"/>
      <c r="L26" s="44"/>
      <c r="M26" s="259" t="e">
        <f t="shared" si="0"/>
        <v>#DIV/0!</v>
      </c>
      <c r="N26" s="259"/>
      <c r="O26" s="2"/>
      <c r="P26" s="2"/>
      <c r="Q26" s="7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2.75" hidden="1" customHeight="1" x14ac:dyDescent="0.2">
      <c r="A27" s="8" t="s">
        <v>98</v>
      </c>
      <c r="B27" s="8" t="s">
        <v>130</v>
      </c>
      <c r="C27" s="35"/>
      <c r="D27" s="35"/>
      <c r="E27" s="35"/>
      <c r="F27" s="393">
        <f t="shared" si="1"/>
        <v>0</v>
      </c>
      <c r="G27" s="35"/>
      <c r="H27" s="393">
        <f t="shared" si="1"/>
        <v>0</v>
      </c>
      <c r="I27" s="35"/>
      <c r="J27" s="393">
        <f t="shared" si="2"/>
        <v>0</v>
      </c>
      <c r="K27" s="35"/>
      <c r="L27" s="35"/>
      <c r="M27" s="259" t="e">
        <f t="shared" si="0"/>
        <v>#DIV/0!</v>
      </c>
      <c r="N27" s="259"/>
      <c r="O27" s="2"/>
      <c r="P27" s="2"/>
      <c r="Q27" s="7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45" customFormat="1" ht="12.75" hidden="1" customHeight="1" x14ac:dyDescent="0.2">
      <c r="A28" s="8" t="s">
        <v>99</v>
      </c>
      <c r="B28" s="8" t="s">
        <v>131</v>
      </c>
      <c r="C28" s="13"/>
      <c r="D28" s="13"/>
      <c r="E28" s="13"/>
      <c r="F28" s="393">
        <f t="shared" si="1"/>
        <v>0</v>
      </c>
      <c r="G28" s="13"/>
      <c r="H28" s="393">
        <f t="shared" si="1"/>
        <v>0</v>
      </c>
      <c r="I28" s="13"/>
      <c r="J28" s="393">
        <f t="shared" si="2"/>
        <v>0</v>
      </c>
      <c r="K28" s="13"/>
      <c r="L28" s="13"/>
      <c r="M28" s="259" t="e">
        <f t="shared" si="0"/>
        <v>#DIV/0!</v>
      </c>
      <c r="N28" s="259"/>
      <c r="O28" s="2"/>
      <c r="P28" s="2"/>
      <c r="Q28" s="7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s="45" customFormat="1" ht="12.75" hidden="1" customHeight="1" x14ac:dyDescent="0.2">
      <c r="A29" s="8" t="s">
        <v>100</v>
      </c>
      <c r="B29" s="8" t="s">
        <v>104</v>
      </c>
      <c r="C29" s="13"/>
      <c r="D29" s="13"/>
      <c r="E29" s="13"/>
      <c r="F29" s="393">
        <f t="shared" si="1"/>
        <v>0</v>
      </c>
      <c r="G29" s="13"/>
      <c r="H29" s="393">
        <f t="shared" si="1"/>
        <v>0</v>
      </c>
      <c r="I29" s="13"/>
      <c r="J29" s="393">
        <f t="shared" si="2"/>
        <v>0</v>
      </c>
      <c r="K29" s="13"/>
      <c r="L29" s="13"/>
      <c r="M29" s="259" t="e">
        <f t="shared" si="0"/>
        <v>#DIV/0!</v>
      </c>
      <c r="N29" s="259"/>
      <c r="O29" s="2"/>
      <c r="P29" s="2"/>
      <c r="Q29" s="7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45" customFormat="1" ht="18" customHeight="1" x14ac:dyDescent="0.25">
      <c r="A30" s="14" t="s">
        <v>105</v>
      </c>
      <c r="B30" s="22" t="s">
        <v>176</v>
      </c>
      <c r="C30" s="126">
        <v>42353</v>
      </c>
      <c r="D30" s="38">
        <f>SUM('2.működés'!D87)</f>
        <v>239275</v>
      </c>
      <c r="E30" s="38">
        <f>SUM('2.működés'!E87)</f>
        <v>239275</v>
      </c>
      <c r="F30" s="393">
        <f t="shared" si="1"/>
        <v>5500</v>
      </c>
      <c r="G30" s="38">
        <f>SUM('2.működés'!G87)</f>
        <v>244775</v>
      </c>
      <c r="H30" s="393">
        <f t="shared" si="1"/>
        <v>-176294</v>
      </c>
      <c r="I30" s="38">
        <f>SUM('2.működés'!I87)</f>
        <v>68481</v>
      </c>
      <c r="J30" s="393">
        <f t="shared" si="2"/>
        <v>-808</v>
      </c>
      <c r="K30" s="38">
        <f>SUM('2.működés'!K87)</f>
        <v>67673</v>
      </c>
      <c r="L30" s="38">
        <f>SUM('2.működés'!L87)</f>
        <v>52464</v>
      </c>
      <c r="M30" s="259">
        <f t="shared" si="0"/>
        <v>77.525748821538869</v>
      </c>
      <c r="N30" s="259"/>
      <c r="O30" s="2"/>
      <c r="P30" s="2"/>
      <c r="Q30" s="7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3.5" hidden="1" customHeight="1" x14ac:dyDescent="0.2">
      <c r="A31" s="8" t="s">
        <v>108</v>
      </c>
      <c r="B31" s="8" t="s">
        <v>106</v>
      </c>
      <c r="C31" s="13"/>
      <c r="D31" s="13"/>
      <c r="E31" s="13"/>
      <c r="F31" s="393">
        <f t="shared" si="1"/>
        <v>0</v>
      </c>
      <c r="G31" s="13"/>
      <c r="H31" s="393">
        <f t="shared" si="1"/>
        <v>0</v>
      </c>
      <c r="I31" s="13"/>
      <c r="J31" s="393">
        <f t="shared" si="2"/>
        <v>0</v>
      </c>
      <c r="K31" s="13"/>
      <c r="L31" s="13"/>
      <c r="M31" s="259" t="e">
        <f t="shared" si="0"/>
        <v>#DIV/0!</v>
      </c>
      <c r="N31" s="259"/>
      <c r="O31" s="2"/>
      <c r="P31" s="2"/>
      <c r="Q31" s="7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s="45" customFormat="1" ht="13.5" hidden="1" customHeight="1" x14ac:dyDescent="0.2">
      <c r="A32" s="8" t="s">
        <v>109</v>
      </c>
      <c r="B32" s="8" t="s">
        <v>107</v>
      </c>
      <c r="C32" s="13"/>
      <c r="D32" s="13"/>
      <c r="E32" s="13"/>
      <c r="F32" s="393">
        <f t="shared" si="1"/>
        <v>0</v>
      </c>
      <c r="G32" s="13"/>
      <c r="H32" s="393">
        <f t="shared" si="1"/>
        <v>0</v>
      </c>
      <c r="I32" s="13"/>
      <c r="J32" s="393">
        <f t="shared" si="2"/>
        <v>0</v>
      </c>
      <c r="K32" s="13"/>
      <c r="L32" s="13"/>
      <c r="M32" s="259" t="e">
        <f t="shared" si="0"/>
        <v>#DIV/0!</v>
      </c>
      <c r="N32" s="259"/>
      <c r="O32" s="2"/>
      <c r="P32" s="2"/>
      <c r="Q32" s="7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45" customFormat="1" ht="13.5" hidden="1" customHeight="1" x14ac:dyDescent="0.2">
      <c r="A33" s="8" t="s">
        <v>110</v>
      </c>
      <c r="B33" s="8" t="s">
        <v>113</v>
      </c>
      <c r="C33" s="11"/>
      <c r="D33" s="11"/>
      <c r="E33" s="11"/>
      <c r="F33" s="393">
        <f t="shared" si="1"/>
        <v>0</v>
      </c>
      <c r="G33" s="11"/>
      <c r="H33" s="393">
        <f t="shared" si="1"/>
        <v>0</v>
      </c>
      <c r="I33" s="11"/>
      <c r="J33" s="393">
        <f t="shared" si="2"/>
        <v>0</v>
      </c>
      <c r="K33" s="11"/>
      <c r="L33" s="11"/>
      <c r="M33" s="259" t="e">
        <f t="shared" si="0"/>
        <v>#DIV/0!</v>
      </c>
      <c r="N33" s="259"/>
      <c r="O33" s="2"/>
      <c r="P33" s="2"/>
      <c r="Q33" s="7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3.5" hidden="1" customHeight="1" x14ac:dyDescent="0.2">
      <c r="A34" s="8" t="s">
        <v>111</v>
      </c>
      <c r="B34" s="19" t="s">
        <v>114</v>
      </c>
      <c r="C34" s="8"/>
      <c r="D34" s="8"/>
      <c r="E34" s="8"/>
      <c r="F34" s="393">
        <f t="shared" si="1"/>
        <v>0</v>
      </c>
      <c r="G34" s="8"/>
      <c r="H34" s="393">
        <f t="shared" si="1"/>
        <v>0</v>
      </c>
      <c r="I34" s="8"/>
      <c r="J34" s="393">
        <f t="shared" si="2"/>
        <v>0</v>
      </c>
      <c r="K34" s="8"/>
      <c r="L34" s="8"/>
      <c r="M34" s="259" t="e">
        <f t="shared" si="0"/>
        <v>#DIV/0!</v>
      </c>
      <c r="N34" s="259"/>
      <c r="O34" s="2"/>
      <c r="P34" s="2"/>
      <c r="Q34" s="7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2.75" hidden="1" customHeight="1" x14ac:dyDescent="0.2">
      <c r="A35" s="8" t="s">
        <v>112</v>
      </c>
      <c r="B35" s="19" t="s">
        <v>115</v>
      </c>
      <c r="C35" s="8"/>
      <c r="D35" s="8"/>
      <c r="E35" s="8"/>
      <c r="F35" s="393">
        <f t="shared" si="1"/>
        <v>0</v>
      </c>
      <c r="G35" s="8"/>
      <c r="H35" s="393">
        <f t="shared" si="1"/>
        <v>0</v>
      </c>
      <c r="I35" s="8"/>
      <c r="J35" s="393">
        <f t="shared" si="2"/>
        <v>0</v>
      </c>
      <c r="K35" s="8"/>
      <c r="L35" s="8"/>
      <c r="M35" s="259" t="e">
        <f t="shared" si="0"/>
        <v>#DIV/0!</v>
      </c>
      <c r="N35" s="259"/>
      <c r="O35" s="2"/>
      <c r="P35" s="2"/>
      <c r="Q35" s="7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2.75" hidden="1" customHeight="1" x14ac:dyDescent="0.2">
      <c r="A36" s="8" t="s">
        <v>116</v>
      </c>
      <c r="B36" s="19" t="s">
        <v>117</v>
      </c>
      <c r="C36" s="8"/>
      <c r="D36" s="8"/>
      <c r="E36" s="8"/>
      <c r="F36" s="393">
        <f t="shared" si="1"/>
        <v>0</v>
      </c>
      <c r="G36" s="8"/>
      <c r="H36" s="393">
        <f t="shared" si="1"/>
        <v>0</v>
      </c>
      <c r="I36" s="8"/>
      <c r="J36" s="393">
        <f t="shared" si="2"/>
        <v>0</v>
      </c>
      <c r="K36" s="8"/>
      <c r="L36" s="8"/>
      <c r="M36" s="259" t="e">
        <f t="shared" si="0"/>
        <v>#DIV/0!</v>
      </c>
      <c r="N36" s="259"/>
      <c r="O36" s="2"/>
      <c r="P36" s="2"/>
      <c r="Q36" s="7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2.75" hidden="1" customHeight="1" x14ac:dyDescent="0.2">
      <c r="A37" s="8" t="s">
        <v>118</v>
      </c>
      <c r="B37" s="19" t="s">
        <v>119</v>
      </c>
      <c r="C37" s="8"/>
      <c r="D37" s="8"/>
      <c r="E37" s="8"/>
      <c r="F37" s="393">
        <f t="shared" si="1"/>
        <v>0</v>
      </c>
      <c r="G37" s="8"/>
      <c r="H37" s="393">
        <f t="shared" si="1"/>
        <v>0</v>
      </c>
      <c r="I37" s="8"/>
      <c r="J37" s="393">
        <f t="shared" si="2"/>
        <v>0</v>
      </c>
      <c r="K37" s="8"/>
      <c r="L37" s="8"/>
      <c r="M37" s="259" t="e">
        <f t="shared" si="0"/>
        <v>#DIV/0!</v>
      </c>
      <c r="N37" s="259"/>
      <c r="O37" s="2"/>
      <c r="P37" s="2"/>
      <c r="Q37" s="7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2.75" hidden="1" customHeight="1" x14ac:dyDescent="0.2">
      <c r="A38" s="8" t="s">
        <v>120</v>
      </c>
      <c r="B38" s="19" t="s">
        <v>121</v>
      </c>
      <c r="C38" s="8"/>
      <c r="D38" s="8"/>
      <c r="E38" s="8"/>
      <c r="F38" s="393">
        <f t="shared" si="1"/>
        <v>0</v>
      </c>
      <c r="G38" s="8"/>
      <c r="H38" s="393">
        <f t="shared" si="1"/>
        <v>0</v>
      </c>
      <c r="I38" s="8"/>
      <c r="J38" s="393">
        <f t="shared" si="2"/>
        <v>0</v>
      </c>
      <c r="K38" s="8"/>
      <c r="L38" s="8"/>
      <c r="M38" s="259" t="e">
        <f t="shared" si="0"/>
        <v>#DIV/0!</v>
      </c>
      <c r="N38" s="259"/>
      <c r="O38" s="2"/>
      <c r="P38" s="2"/>
      <c r="Q38" s="7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2.75" hidden="1" customHeight="1" x14ac:dyDescent="0.2">
      <c r="A39" s="8" t="s">
        <v>122</v>
      </c>
      <c r="B39" s="19" t="s">
        <v>123</v>
      </c>
      <c r="C39" s="8"/>
      <c r="D39" s="8"/>
      <c r="E39" s="8"/>
      <c r="F39" s="393">
        <f t="shared" si="1"/>
        <v>0</v>
      </c>
      <c r="G39" s="8"/>
      <c r="H39" s="393">
        <f t="shared" si="1"/>
        <v>0</v>
      </c>
      <c r="I39" s="8"/>
      <c r="J39" s="393">
        <f t="shared" si="2"/>
        <v>0</v>
      </c>
      <c r="K39" s="8"/>
      <c r="L39" s="8"/>
      <c r="M39" s="259" t="e">
        <f t="shared" si="0"/>
        <v>#DIV/0!</v>
      </c>
      <c r="N39" s="259"/>
      <c r="O39" s="2"/>
      <c r="P39" s="2"/>
      <c r="Q39" s="7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2.75" hidden="1" customHeight="1" x14ac:dyDescent="0.2">
      <c r="A40" s="8" t="s">
        <v>128</v>
      </c>
      <c r="B40" s="19" t="s">
        <v>129</v>
      </c>
      <c r="C40" s="8"/>
      <c r="D40" s="8"/>
      <c r="E40" s="8"/>
      <c r="F40" s="393">
        <f t="shared" si="1"/>
        <v>0</v>
      </c>
      <c r="G40" s="8"/>
      <c r="H40" s="393">
        <f t="shared" si="1"/>
        <v>0</v>
      </c>
      <c r="I40" s="8"/>
      <c r="J40" s="393">
        <f t="shared" si="2"/>
        <v>0</v>
      </c>
      <c r="K40" s="8"/>
      <c r="L40" s="8"/>
      <c r="M40" s="259" t="e">
        <f t="shared" si="0"/>
        <v>#DIV/0!</v>
      </c>
      <c r="N40" s="259"/>
      <c r="O40" s="2"/>
      <c r="P40" s="2"/>
      <c r="Q40" s="7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7.25" customHeight="1" x14ac:dyDescent="0.25">
      <c r="A41" s="14" t="s">
        <v>132</v>
      </c>
      <c r="B41" s="22" t="s">
        <v>177</v>
      </c>
      <c r="C41" s="126">
        <v>98400</v>
      </c>
      <c r="D41" s="38">
        <f>SUM('3.felh'!D28)</f>
        <v>508</v>
      </c>
      <c r="E41" s="38">
        <f>SUM('3.felh'!E28)</f>
        <v>508</v>
      </c>
      <c r="F41" s="393">
        <f t="shared" si="1"/>
        <v>0</v>
      </c>
      <c r="G41" s="38">
        <f>SUM('3.felh'!G28)</f>
        <v>508</v>
      </c>
      <c r="H41" s="393">
        <f t="shared" si="1"/>
        <v>0</v>
      </c>
      <c r="I41" s="38">
        <f>SUM('3.felh'!I28)</f>
        <v>508</v>
      </c>
      <c r="J41" s="393">
        <f t="shared" si="2"/>
        <v>0</v>
      </c>
      <c r="K41" s="38">
        <f>SUM('3.felh'!K28)</f>
        <v>508</v>
      </c>
      <c r="L41" s="38">
        <f>SUM('3.felh'!L28)</f>
        <v>400</v>
      </c>
      <c r="M41" s="259">
        <f t="shared" si="0"/>
        <v>78.740157480314963</v>
      </c>
      <c r="N41" s="259"/>
      <c r="O41" s="2"/>
      <c r="P41" s="2"/>
      <c r="Q41" s="7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2.75" hidden="1" customHeight="1" x14ac:dyDescent="0.2">
      <c r="A42" s="8" t="s">
        <v>133</v>
      </c>
      <c r="B42" s="19" t="s">
        <v>138</v>
      </c>
      <c r="C42" s="8"/>
      <c r="D42" s="8"/>
      <c r="E42" s="8"/>
      <c r="F42" s="393">
        <f t="shared" si="1"/>
        <v>0</v>
      </c>
      <c r="G42" s="8"/>
      <c r="H42" s="393">
        <f t="shared" si="1"/>
        <v>0</v>
      </c>
      <c r="I42" s="8"/>
      <c r="J42" s="393">
        <f t="shared" si="2"/>
        <v>0</v>
      </c>
      <c r="K42" s="8"/>
      <c r="L42" s="8"/>
      <c r="M42" s="259" t="e">
        <f t="shared" si="0"/>
        <v>#DIV/0!</v>
      </c>
      <c r="N42" s="259"/>
      <c r="O42" s="2"/>
      <c r="P42" s="2"/>
      <c r="Q42" s="7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2.75" hidden="1" customHeight="1" x14ac:dyDescent="0.2">
      <c r="A43" s="8" t="s">
        <v>134</v>
      </c>
      <c r="B43" s="19" t="s">
        <v>139</v>
      </c>
      <c r="C43" s="8"/>
      <c r="D43" s="8"/>
      <c r="E43" s="8"/>
      <c r="F43" s="393">
        <f t="shared" si="1"/>
        <v>0</v>
      </c>
      <c r="G43" s="8"/>
      <c r="H43" s="393">
        <f t="shared" si="1"/>
        <v>0</v>
      </c>
      <c r="I43" s="8"/>
      <c r="J43" s="393">
        <f t="shared" si="2"/>
        <v>0</v>
      </c>
      <c r="K43" s="8"/>
      <c r="L43" s="8"/>
      <c r="M43" s="259" t="e">
        <f t="shared" si="0"/>
        <v>#DIV/0!</v>
      </c>
      <c r="N43" s="259"/>
      <c r="O43" s="2"/>
      <c r="P43" s="2"/>
      <c r="Q43" s="7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2.75" hidden="1" customHeight="1" x14ac:dyDescent="0.2">
      <c r="A44" s="8" t="s">
        <v>135</v>
      </c>
      <c r="B44" s="19" t="s">
        <v>140</v>
      </c>
      <c r="C44" s="8"/>
      <c r="D44" s="8"/>
      <c r="E44" s="8"/>
      <c r="F44" s="393">
        <f t="shared" si="1"/>
        <v>0</v>
      </c>
      <c r="G44" s="8"/>
      <c r="H44" s="393">
        <f t="shared" si="1"/>
        <v>0</v>
      </c>
      <c r="I44" s="8"/>
      <c r="J44" s="393">
        <f t="shared" si="2"/>
        <v>0</v>
      </c>
      <c r="K44" s="8"/>
      <c r="L44" s="8"/>
      <c r="M44" s="259" t="e">
        <f t="shared" si="0"/>
        <v>#DIV/0!</v>
      </c>
      <c r="N44" s="259"/>
      <c r="O44" s="2"/>
      <c r="P44" s="2"/>
      <c r="Q44" s="7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2.75" hidden="1" customHeight="1" x14ac:dyDescent="0.2">
      <c r="A45" s="8" t="s">
        <v>136</v>
      </c>
      <c r="B45" s="19" t="s">
        <v>141</v>
      </c>
      <c r="C45" s="8"/>
      <c r="D45" s="8"/>
      <c r="E45" s="8"/>
      <c r="F45" s="393">
        <f t="shared" si="1"/>
        <v>0</v>
      </c>
      <c r="G45" s="8"/>
      <c r="H45" s="393">
        <f t="shared" si="1"/>
        <v>0</v>
      </c>
      <c r="I45" s="8"/>
      <c r="J45" s="393">
        <f t="shared" si="2"/>
        <v>0</v>
      </c>
      <c r="K45" s="8"/>
      <c r="L45" s="8"/>
      <c r="M45" s="259" t="e">
        <f t="shared" si="0"/>
        <v>#DIV/0!</v>
      </c>
      <c r="N45" s="259"/>
      <c r="O45" s="2"/>
      <c r="P45" s="2"/>
      <c r="Q45" s="7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2.75" hidden="1" customHeight="1" x14ac:dyDescent="0.2">
      <c r="A46" s="8" t="s">
        <v>137</v>
      </c>
      <c r="B46" s="19" t="s">
        <v>142</v>
      </c>
      <c r="C46" s="8"/>
      <c r="D46" s="8"/>
      <c r="E46" s="8"/>
      <c r="F46" s="393">
        <f t="shared" si="1"/>
        <v>0</v>
      </c>
      <c r="G46" s="8"/>
      <c r="H46" s="393">
        <f t="shared" si="1"/>
        <v>0</v>
      </c>
      <c r="I46" s="8"/>
      <c r="J46" s="393">
        <f t="shared" si="2"/>
        <v>0</v>
      </c>
      <c r="K46" s="8"/>
      <c r="L46" s="8"/>
      <c r="M46" s="259" t="e">
        <f t="shared" si="0"/>
        <v>#DIV/0!</v>
      </c>
      <c r="N46" s="259"/>
      <c r="O46" s="2"/>
      <c r="P46" s="2"/>
      <c r="Q46" s="7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8" customHeight="1" x14ac:dyDescent="0.25">
      <c r="A47" s="14" t="s">
        <v>143</v>
      </c>
      <c r="B47" s="22" t="s">
        <v>178</v>
      </c>
      <c r="C47" s="126">
        <v>33493</v>
      </c>
      <c r="D47" s="38">
        <f>SUM('2.működés'!D99)</f>
        <v>23000</v>
      </c>
      <c r="E47" s="38">
        <f>SUM('2.működés'!E99)</f>
        <v>23000</v>
      </c>
      <c r="F47" s="393">
        <f t="shared" si="1"/>
        <v>0</v>
      </c>
      <c r="G47" s="38">
        <f>SUM('2.működés'!G99)</f>
        <v>23000</v>
      </c>
      <c r="H47" s="393">
        <f t="shared" si="1"/>
        <v>6805</v>
      </c>
      <c r="I47" s="38">
        <f>SUM('2.működés'!I99)</f>
        <v>29805</v>
      </c>
      <c r="J47" s="393">
        <f t="shared" si="2"/>
        <v>0</v>
      </c>
      <c r="K47" s="38">
        <f>SUM('2.működés'!K99)</f>
        <v>29805</v>
      </c>
      <c r="L47" s="38">
        <f>SUM('2.működés'!L99)</f>
        <v>29805</v>
      </c>
      <c r="M47" s="259">
        <f t="shared" si="0"/>
        <v>100</v>
      </c>
      <c r="N47" s="259"/>
      <c r="O47" s="2"/>
      <c r="P47" s="2"/>
      <c r="Q47" s="7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2.75" hidden="1" customHeight="1" x14ac:dyDescent="0.2">
      <c r="A48" s="8" t="s">
        <v>149</v>
      </c>
      <c r="B48" s="19" t="s">
        <v>146</v>
      </c>
      <c r="C48" s="8"/>
      <c r="D48" s="8"/>
      <c r="E48" s="8"/>
      <c r="F48" s="393">
        <f t="shared" si="1"/>
        <v>0</v>
      </c>
      <c r="G48" s="8"/>
      <c r="H48" s="393">
        <f t="shared" si="1"/>
        <v>0</v>
      </c>
      <c r="I48" s="8"/>
      <c r="J48" s="393">
        <f t="shared" si="2"/>
        <v>0</v>
      </c>
      <c r="K48" s="8"/>
      <c r="L48" s="8"/>
      <c r="M48" s="259" t="e">
        <f t="shared" si="0"/>
        <v>#DIV/0!</v>
      </c>
      <c r="N48" s="259"/>
      <c r="O48" s="2"/>
      <c r="P48" s="2"/>
      <c r="Q48" s="7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2.75" hidden="1" customHeight="1" x14ac:dyDescent="0.2">
      <c r="A49" s="8" t="s">
        <v>150</v>
      </c>
      <c r="B49" s="19" t="s">
        <v>147</v>
      </c>
      <c r="C49" s="8"/>
      <c r="D49" s="8"/>
      <c r="E49" s="8"/>
      <c r="F49" s="393">
        <f t="shared" si="1"/>
        <v>0</v>
      </c>
      <c r="G49" s="8"/>
      <c r="H49" s="393">
        <f t="shared" si="1"/>
        <v>0</v>
      </c>
      <c r="I49" s="8"/>
      <c r="J49" s="393">
        <f t="shared" si="2"/>
        <v>0</v>
      </c>
      <c r="K49" s="8"/>
      <c r="L49" s="8"/>
      <c r="M49" s="259" t="e">
        <f t="shared" si="0"/>
        <v>#DIV/0!</v>
      </c>
      <c r="N49" s="259"/>
      <c r="O49" s="2"/>
      <c r="P49" s="2"/>
      <c r="Q49" s="7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2.75" hidden="1" customHeight="1" x14ac:dyDescent="0.2">
      <c r="A50" s="8" t="s">
        <v>151</v>
      </c>
      <c r="B50" s="19" t="s">
        <v>148</v>
      </c>
      <c r="C50" s="8"/>
      <c r="D50" s="8"/>
      <c r="E50" s="8"/>
      <c r="F50" s="393">
        <f t="shared" si="1"/>
        <v>0</v>
      </c>
      <c r="G50" s="8"/>
      <c r="H50" s="393">
        <f t="shared" si="1"/>
        <v>0</v>
      </c>
      <c r="I50" s="8"/>
      <c r="J50" s="393">
        <f t="shared" si="2"/>
        <v>0</v>
      </c>
      <c r="K50" s="8"/>
      <c r="L50" s="8"/>
      <c r="M50" s="259" t="e">
        <f t="shared" si="0"/>
        <v>#DIV/0!</v>
      </c>
      <c r="N50" s="259"/>
      <c r="O50" s="2"/>
      <c r="P50" s="2"/>
      <c r="Q50" s="7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8" customHeight="1" x14ac:dyDescent="0.25">
      <c r="A51" s="14" t="s">
        <v>144</v>
      </c>
      <c r="B51" s="22" t="s">
        <v>179</v>
      </c>
      <c r="C51" s="126">
        <v>20294</v>
      </c>
      <c r="D51" s="38">
        <f>SUM('3.felh'!D34)</f>
        <v>10300</v>
      </c>
      <c r="E51" s="38">
        <f>SUM('3.felh'!E34)</f>
        <v>10300</v>
      </c>
      <c r="F51" s="393">
        <f t="shared" si="1"/>
        <v>0</v>
      </c>
      <c r="G51" s="38">
        <f>SUM('3.felh'!G34)</f>
        <v>10300</v>
      </c>
      <c r="H51" s="393">
        <f t="shared" si="1"/>
        <v>0</v>
      </c>
      <c r="I51" s="38">
        <f>SUM('3.felh'!I34)</f>
        <v>10300</v>
      </c>
      <c r="J51" s="393">
        <f t="shared" si="2"/>
        <v>808</v>
      </c>
      <c r="K51" s="38">
        <f>SUM('3.felh'!K34)</f>
        <v>11108</v>
      </c>
      <c r="L51" s="38">
        <f>SUM('3.felh'!L34)</f>
        <v>11101</v>
      </c>
      <c r="M51" s="259">
        <f t="shared" si="0"/>
        <v>99.936982355059413</v>
      </c>
      <c r="N51" s="259"/>
      <c r="O51" s="2"/>
      <c r="P51" s="2"/>
      <c r="Q51" s="7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3.5" hidden="1" customHeight="1" x14ac:dyDescent="0.25">
      <c r="A52" s="8" t="s">
        <v>152</v>
      </c>
      <c r="B52" s="19" t="s">
        <v>155</v>
      </c>
      <c r="C52" s="126"/>
      <c r="D52" s="38"/>
      <c r="E52" s="38"/>
      <c r="F52" s="393">
        <f t="shared" si="1"/>
        <v>0</v>
      </c>
      <c r="G52" s="38"/>
      <c r="H52" s="393">
        <f t="shared" si="1"/>
        <v>0</v>
      </c>
      <c r="I52" s="38"/>
      <c r="J52" s="393">
        <f t="shared" si="2"/>
        <v>0</v>
      </c>
      <c r="K52" s="38"/>
      <c r="L52" s="38"/>
      <c r="M52" s="259" t="e">
        <f t="shared" si="0"/>
        <v>#DIV/0!</v>
      </c>
      <c r="N52" s="259"/>
      <c r="O52" s="2"/>
      <c r="P52" s="2"/>
      <c r="Q52" s="7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3.5" hidden="1" customHeight="1" x14ac:dyDescent="0.25">
      <c r="A53" s="8" t="s">
        <v>153</v>
      </c>
      <c r="B53" s="19" t="s">
        <v>156</v>
      </c>
      <c r="C53" s="126"/>
      <c r="D53" s="38"/>
      <c r="E53" s="38"/>
      <c r="F53" s="393">
        <f t="shared" si="1"/>
        <v>0</v>
      </c>
      <c r="G53" s="38"/>
      <c r="H53" s="393">
        <f t="shared" si="1"/>
        <v>0</v>
      </c>
      <c r="I53" s="38"/>
      <c r="J53" s="393">
        <f t="shared" si="2"/>
        <v>0</v>
      </c>
      <c r="K53" s="38"/>
      <c r="L53" s="38"/>
      <c r="M53" s="259" t="e">
        <f t="shared" si="0"/>
        <v>#DIV/0!</v>
      </c>
      <c r="N53" s="259"/>
      <c r="O53" s="2"/>
      <c r="P53" s="2"/>
      <c r="Q53" s="7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3.5" hidden="1" customHeight="1" x14ac:dyDescent="0.25">
      <c r="A54" s="8" t="s">
        <v>154</v>
      </c>
      <c r="B54" s="19" t="s">
        <v>157</v>
      </c>
      <c r="C54" s="126"/>
      <c r="D54" s="38"/>
      <c r="E54" s="38"/>
      <c r="F54" s="393">
        <f t="shared" si="1"/>
        <v>0</v>
      </c>
      <c r="G54" s="38"/>
      <c r="H54" s="393">
        <f t="shared" si="1"/>
        <v>0</v>
      </c>
      <c r="I54" s="38"/>
      <c r="J54" s="393">
        <f t="shared" si="2"/>
        <v>0</v>
      </c>
      <c r="K54" s="38"/>
      <c r="L54" s="38"/>
      <c r="M54" s="259" t="e">
        <f t="shared" si="0"/>
        <v>#DIV/0!</v>
      </c>
      <c r="N54" s="259"/>
      <c r="O54" s="2"/>
      <c r="P54" s="2"/>
      <c r="Q54" s="7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22.5" customHeight="1" x14ac:dyDescent="0.2">
      <c r="A55" s="376" t="s">
        <v>388</v>
      </c>
      <c r="B55" s="137" t="s">
        <v>277</v>
      </c>
      <c r="C55" s="388">
        <v>1949167</v>
      </c>
      <c r="D55" s="156">
        <f>SUM(D56+D61)</f>
        <v>360653</v>
      </c>
      <c r="E55" s="156">
        <f>SUM(E56+E61)</f>
        <v>360653</v>
      </c>
      <c r="F55" s="393">
        <f t="shared" si="1"/>
        <v>0</v>
      </c>
      <c r="G55" s="156">
        <f>SUM(G56+G61)</f>
        <v>360653</v>
      </c>
      <c r="H55" s="393">
        <f t="shared" si="1"/>
        <v>24161</v>
      </c>
      <c r="I55" s="156">
        <f>SUM(I56+I61)</f>
        <v>384814</v>
      </c>
      <c r="J55" s="393">
        <f t="shared" si="2"/>
        <v>3415</v>
      </c>
      <c r="K55" s="156">
        <f>SUM(K56+K61)</f>
        <v>388229</v>
      </c>
      <c r="L55" s="156">
        <f>SUM(L56+L61)</f>
        <v>388229</v>
      </c>
      <c r="M55" s="259">
        <f t="shared" si="0"/>
        <v>100</v>
      </c>
      <c r="N55" s="259"/>
      <c r="O55" s="2"/>
      <c r="P55" s="2"/>
      <c r="Q55" s="7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" customHeight="1" x14ac:dyDescent="0.25">
      <c r="A56" s="24"/>
      <c r="B56" s="22" t="s">
        <v>347</v>
      </c>
      <c r="C56" s="126">
        <v>1649581</v>
      </c>
      <c r="D56" s="38">
        <f>SUM(D57)+D60</f>
        <v>360653</v>
      </c>
      <c r="E56" s="38">
        <f>SUM(E57)+E60</f>
        <v>360653</v>
      </c>
      <c r="F56" s="393">
        <f t="shared" si="1"/>
        <v>0</v>
      </c>
      <c r="G56" s="38">
        <f>SUM(G57)+G60</f>
        <v>360653</v>
      </c>
      <c r="H56" s="393">
        <f t="shared" si="1"/>
        <v>24161</v>
      </c>
      <c r="I56" s="38">
        <f>SUM(I57)+I60</f>
        <v>384814</v>
      </c>
      <c r="J56" s="393">
        <f t="shared" si="2"/>
        <v>3415</v>
      </c>
      <c r="K56" s="38">
        <f>SUM(K57)+K60</f>
        <v>388229</v>
      </c>
      <c r="L56" s="38">
        <f>SUM(L57)+L60</f>
        <v>388229</v>
      </c>
      <c r="M56" s="259">
        <f t="shared" si="0"/>
        <v>100</v>
      </c>
      <c r="N56" s="259"/>
      <c r="O56" s="2"/>
      <c r="P56" s="2"/>
      <c r="Q56" s="7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s="260" customFormat="1" ht="26.25" customHeight="1" x14ac:dyDescent="0.2">
      <c r="A57" s="395"/>
      <c r="B57" s="28" t="s">
        <v>348</v>
      </c>
      <c r="C57" s="133">
        <v>1627918</v>
      </c>
      <c r="D57" s="133">
        <f>SUM(D58:D59)</f>
        <v>360653</v>
      </c>
      <c r="E57" s="132">
        <f>SUM(E58:E59)</f>
        <v>360653</v>
      </c>
      <c r="F57" s="393">
        <f t="shared" si="1"/>
        <v>0</v>
      </c>
      <c r="G57" s="132">
        <f>SUM(G58:G59)</f>
        <v>360653</v>
      </c>
      <c r="H57" s="393">
        <f t="shared" si="1"/>
        <v>0</v>
      </c>
      <c r="I57" s="133">
        <f>SUM(I58:I59)</f>
        <v>360653</v>
      </c>
      <c r="J57" s="393">
        <f t="shared" si="2"/>
        <v>0</v>
      </c>
      <c r="K57" s="133">
        <f>SUM(K58:K59)</f>
        <v>360653</v>
      </c>
      <c r="L57" s="133">
        <f>SUM(L58:L59)</f>
        <v>360653</v>
      </c>
      <c r="M57" s="259">
        <f t="shared" si="0"/>
        <v>100</v>
      </c>
      <c r="N57" s="396"/>
      <c r="O57" s="304"/>
      <c r="P57" s="63"/>
      <c r="Q57" s="304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</row>
    <row r="58" spans="1:47" x14ac:dyDescent="0.2">
      <c r="A58" s="8"/>
      <c r="B58" s="28" t="s">
        <v>337</v>
      </c>
      <c r="C58" s="13">
        <v>706845</v>
      </c>
      <c r="D58" s="13">
        <f>SUM('2.működés'!D108)</f>
        <v>321764</v>
      </c>
      <c r="E58" s="13">
        <f>SUM('2.működés'!E108)</f>
        <v>321764</v>
      </c>
      <c r="F58" s="393">
        <f t="shared" si="1"/>
        <v>0</v>
      </c>
      <c r="G58" s="13">
        <f>SUM('2.működés'!G108)</f>
        <v>321764</v>
      </c>
      <c r="H58" s="393">
        <f t="shared" si="1"/>
        <v>0</v>
      </c>
      <c r="I58" s="13">
        <f>SUM('2.működés'!I108)</f>
        <v>321764</v>
      </c>
      <c r="J58" s="393">
        <f t="shared" si="2"/>
        <v>0</v>
      </c>
      <c r="K58" s="13">
        <f>SUM('2.működés'!K108)</f>
        <v>321764</v>
      </c>
      <c r="L58" s="13">
        <f>SUM('2.működés'!L108)</f>
        <v>321764</v>
      </c>
      <c r="M58" s="259">
        <f t="shared" si="0"/>
        <v>100</v>
      </c>
      <c r="N58" s="259"/>
      <c r="O58" s="2"/>
      <c r="P58" s="2"/>
      <c r="Q58" s="7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x14ac:dyDescent="0.2">
      <c r="A59" s="8"/>
      <c r="B59" s="28" t="s">
        <v>338</v>
      </c>
      <c r="C59" s="13">
        <v>921073</v>
      </c>
      <c r="D59" s="13">
        <f>'3.felh'!D40</f>
        <v>38889</v>
      </c>
      <c r="E59" s="13">
        <f>'3.felh'!E40</f>
        <v>38889</v>
      </c>
      <c r="F59" s="393">
        <f t="shared" si="1"/>
        <v>0</v>
      </c>
      <c r="G59" s="13">
        <f>'3.felh'!G40</f>
        <v>38889</v>
      </c>
      <c r="H59" s="393">
        <f t="shared" si="1"/>
        <v>0</v>
      </c>
      <c r="I59" s="13">
        <f>'3.felh'!I40</f>
        <v>38889</v>
      </c>
      <c r="J59" s="393">
        <f t="shared" si="2"/>
        <v>0</v>
      </c>
      <c r="K59" s="13">
        <f>'3.felh'!K40</f>
        <v>38889</v>
      </c>
      <c r="L59" s="13">
        <f>'3.felh'!L40</f>
        <v>38889</v>
      </c>
      <c r="M59" s="259">
        <f t="shared" si="0"/>
        <v>100</v>
      </c>
      <c r="N59" s="259"/>
      <c r="O59" s="2"/>
      <c r="P59" s="2"/>
      <c r="Q59" s="7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3.5" customHeight="1" x14ac:dyDescent="0.2">
      <c r="A60" s="8"/>
      <c r="B60" s="28" t="s">
        <v>382</v>
      </c>
      <c r="C60" s="13">
        <v>21663</v>
      </c>
      <c r="D60" s="13">
        <f>'2.működés'!D113</f>
        <v>0</v>
      </c>
      <c r="E60" s="13">
        <f>'2.működés'!E113</f>
        <v>0</v>
      </c>
      <c r="F60" s="393">
        <f t="shared" si="1"/>
        <v>0</v>
      </c>
      <c r="G60" s="13">
        <f>'2.működés'!G113</f>
        <v>0</v>
      </c>
      <c r="H60" s="393">
        <f t="shared" si="1"/>
        <v>24161</v>
      </c>
      <c r="I60" s="13">
        <f>'2.működés'!I113</f>
        <v>24161</v>
      </c>
      <c r="J60" s="393">
        <f t="shared" si="2"/>
        <v>3415</v>
      </c>
      <c r="K60" s="13">
        <f>'2.működés'!K113</f>
        <v>27576</v>
      </c>
      <c r="L60" s="13">
        <f>'2.működés'!L113</f>
        <v>27576</v>
      </c>
      <c r="M60" s="259">
        <f t="shared" si="0"/>
        <v>100</v>
      </c>
      <c r="N60" s="259"/>
      <c r="O60" s="2"/>
      <c r="P60" s="2"/>
      <c r="Q60" s="7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customHeight="1" thickBot="1" x14ac:dyDescent="0.3">
      <c r="A61" s="8"/>
      <c r="B61" s="22" t="s">
        <v>345</v>
      </c>
      <c r="C61" s="126">
        <v>299586</v>
      </c>
      <c r="D61" s="38">
        <f>SUM(D62:D63)</f>
        <v>0</v>
      </c>
      <c r="E61" s="38">
        <f>SUM(E62:E63)</f>
        <v>0</v>
      </c>
      <c r="F61" s="393">
        <f t="shared" si="1"/>
        <v>0</v>
      </c>
      <c r="G61" s="38">
        <f>SUM(G62:G63)</f>
        <v>0</v>
      </c>
      <c r="H61" s="393">
        <f t="shared" si="1"/>
        <v>0</v>
      </c>
      <c r="I61" s="38">
        <f>SUM(I62:I63)</f>
        <v>0</v>
      </c>
      <c r="J61" s="393">
        <f t="shared" si="2"/>
        <v>0</v>
      </c>
      <c r="K61" s="38">
        <f>SUM(K62:K63)</f>
        <v>0</v>
      </c>
      <c r="L61" s="38">
        <f>SUM(L62:L63)</f>
        <v>0</v>
      </c>
      <c r="M61" s="259"/>
      <c r="N61" s="259"/>
      <c r="O61" s="2"/>
      <c r="P61" s="2"/>
      <c r="Q61" s="7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3.5" hidden="1" customHeight="1" x14ac:dyDescent="0.2">
      <c r="A62" s="8"/>
      <c r="B62" s="8" t="s">
        <v>589</v>
      </c>
      <c r="C62" s="8"/>
      <c r="D62" s="13">
        <f>'2.működés'!D115</f>
        <v>0</v>
      </c>
      <c r="E62" s="13">
        <v>0</v>
      </c>
      <c r="F62" s="13"/>
      <c r="G62" s="13">
        <v>0</v>
      </c>
      <c r="H62" s="13"/>
      <c r="I62" s="13">
        <v>0</v>
      </c>
      <c r="J62" s="13"/>
      <c r="K62" s="13">
        <v>0</v>
      </c>
      <c r="L62" s="13">
        <v>0</v>
      </c>
      <c r="M62" s="259" t="e">
        <f t="shared" si="0"/>
        <v>#DIV/0!</v>
      </c>
      <c r="N62" s="259"/>
      <c r="O62" s="2"/>
      <c r="P62" s="2"/>
      <c r="Q62" s="7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3.5" hidden="1" customHeight="1" thickBot="1" x14ac:dyDescent="0.25">
      <c r="A63" s="12"/>
      <c r="B63" s="12" t="s">
        <v>645</v>
      </c>
      <c r="C63" s="12"/>
      <c r="D63" s="29">
        <f>'3.felh'!D43</f>
        <v>0</v>
      </c>
      <c r="E63" s="29">
        <f>'3.felh'!E43</f>
        <v>0</v>
      </c>
      <c r="F63" s="29"/>
      <c r="G63" s="29">
        <f>'3.felh'!G43</f>
        <v>0</v>
      </c>
      <c r="H63" s="29"/>
      <c r="I63" s="29">
        <f>'3.felh'!I43</f>
        <v>0</v>
      </c>
      <c r="J63" s="29"/>
      <c r="K63" s="29">
        <f>'3.felh'!K43</f>
        <v>0</v>
      </c>
      <c r="L63" s="29">
        <f>'3.felh'!L43</f>
        <v>0</v>
      </c>
      <c r="M63" s="259" t="e">
        <f t="shared" si="0"/>
        <v>#DIV/0!</v>
      </c>
      <c r="N63" s="259"/>
      <c r="O63" s="2"/>
      <c r="P63" s="2"/>
      <c r="Q63" s="7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23.25" customHeight="1" thickBot="1" x14ac:dyDescent="0.4">
      <c r="A64" s="178"/>
      <c r="B64" s="179" t="s">
        <v>294</v>
      </c>
      <c r="C64" s="389">
        <f>SUM(C9+C55)</f>
        <v>3477340</v>
      </c>
      <c r="D64" s="284">
        <f>SUM(D9+D55)</f>
        <v>3000920</v>
      </c>
      <c r="E64" s="284">
        <f>SUM(E9+E55)</f>
        <v>3065542</v>
      </c>
      <c r="F64" s="394">
        <f>G64-E64</f>
        <v>10397</v>
      </c>
      <c r="G64" s="284">
        <f>SUM(G9+G55)</f>
        <v>3075939</v>
      </c>
      <c r="H64" s="394">
        <f>I64-G64</f>
        <v>-117647</v>
      </c>
      <c r="I64" s="143">
        <f>SUM(I9+I55)</f>
        <v>2958292</v>
      </c>
      <c r="J64" s="394">
        <f>K64-I64</f>
        <v>3415</v>
      </c>
      <c r="K64" s="143">
        <f>SUM(K9+K55)</f>
        <v>2961707</v>
      </c>
      <c r="L64" s="43">
        <f>SUM(L9+L55)</f>
        <v>2383848</v>
      </c>
      <c r="M64" s="259">
        <f t="shared" si="0"/>
        <v>80.488988276017849</v>
      </c>
      <c r="N64" s="259"/>
      <c r="O64" s="2"/>
      <c r="P64" s="7"/>
      <c r="Q64" s="7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20.25" customHeight="1" x14ac:dyDescent="0.25">
      <c r="A65" s="115" t="s">
        <v>279</v>
      </c>
      <c r="B65" s="185" t="s">
        <v>269</v>
      </c>
      <c r="C65" s="390">
        <f t="shared" ref="C65" si="3">SUM(C66+C75)</f>
        <v>3011696</v>
      </c>
      <c r="D65" s="139">
        <f>SUM(D66+D75)</f>
        <v>2885046</v>
      </c>
      <c r="E65" s="139">
        <f>SUM(E66+E75)</f>
        <v>2949668</v>
      </c>
      <c r="F65" s="393">
        <f>G65-E65</f>
        <v>10397</v>
      </c>
      <c r="G65" s="139">
        <f>SUM(G66+G75)</f>
        <v>2960065</v>
      </c>
      <c r="H65" s="393">
        <f>I65-G65</f>
        <v>-117647</v>
      </c>
      <c r="I65" s="139">
        <f>SUM(I66+I75)</f>
        <v>2842418</v>
      </c>
      <c r="J65" s="393">
        <f>K65-I65</f>
        <v>3415</v>
      </c>
      <c r="K65" s="139">
        <f>SUM(K66+K75)</f>
        <v>2845833</v>
      </c>
      <c r="L65" s="139">
        <f>SUM(L66+L75)</f>
        <v>1772361</v>
      </c>
      <c r="M65" s="259">
        <f t="shared" si="0"/>
        <v>62.279163956563863</v>
      </c>
      <c r="N65" s="259"/>
      <c r="O65" s="2"/>
      <c r="P65" s="2"/>
      <c r="Q65" s="7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8" customHeight="1" x14ac:dyDescent="0.25">
      <c r="A66" s="14" t="s">
        <v>158</v>
      </c>
      <c r="B66" s="22" t="s">
        <v>646</v>
      </c>
      <c r="C66" s="6">
        <f t="shared" ref="C66" si="4">C67</f>
        <v>1432802</v>
      </c>
      <c r="D66" s="116">
        <f>D67</f>
        <v>1788856</v>
      </c>
      <c r="E66" s="116">
        <f>E67</f>
        <v>1781623</v>
      </c>
      <c r="F66" s="393">
        <f t="shared" ref="F66:J89" si="5">G66-E66</f>
        <v>10397</v>
      </c>
      <c r="G66" s="116">
        <f>G67</f>
        <v>1792020</v>
      </c>
      <c r="H66" s="393">
        <f t="shared" si="5"/>
        <v>-151244</v>
      </c>
      <c r="I66" s="116">
        <f>I67</f>
        <v>1640776</v>
      </c>
      <c r="J66" s="393">
        <f t="shared" si="5"/>
        <v>3415</v>
      </c>
      <c r="K66" s="116">
        <f>K67</f>
        <v>1644191</v>
      </c>
      <c r="L66" s="116">
        <f>L67</f>
        <v>1411219</v>
      </c>
      <c r="M66" s="259">
        <f t="shared" si="0"/>
        <v>85.830599972874197</v>
      </c>
      <c r="N66" s="259"/>
      <c r="O66" s="2"/>
      <c r="P66" s="2"/>
      <c r="Q66" s="7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x14ac:dyDescent="0.2">
      <c r="A67" s="8"/>
      <c r="B67" s="14" t="s">
        <v>628</v>
      </c>
      <c r="C67" s="75">
        <f t="shared" ref="C67" si="6">SUM(C68:C72)</f>
        <v>1432802</v>
      </c>
      <c r="D67" s="75">
        <f>SUM(D68:D72)</f>
        <v>1788856</v>
      </c>
      <c r="E67" s="75">
        <f>SUM(E68:E72)</f>
        <v>1781623</v>
      </c>
      <c r="F67" s="393">
        <f t="shared" si="5"/>
        <v>10397</v>
      </c>
      <c r="G67" s="75">
        <f>SUM(G68:G72)</f>
        <v>1792020</v>
      </c>
      <c r="H67" s="393">
        <f t="shared" si="5"/>
        <v>-151244</v>
      </c>
      <c r="I67" s="75">
        <f>SUM(I68:I72)</f>
        <v>1640776</v>
      </c>
      <c r="J67" s="393">
        <f t="shared" si="5"/>
        <v>3415</v>
      </c>
      <c r="K67" s="75">
        <f>SUM(K68:K72)</f>
        <v>1644191</v>
      </c>
      <c r="L67" s="75">
        <f>SUM(L68:L72)</f>
        <v>1411219</v>
      </c>
      <c r="M67" s="259">
        <f t="shared" si="0"/>
        <v>85.830599972874197</v>
      </c>
      <c r="N67" s="259"/>
      <c r="O67" s="2"/>
      <c r="P67" s="2"/>
      <c r="Q67" s="7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x14ac:dyDescent="0.2">
      <c r="A68" s="8"/>
      <c r="B68" s="8" t="s">
        <v>629</v>
      </c>
      <c r="C68" s="105">
        <v>275450</v>
      </c>
      <c r="D68" s="105">
        <f>'2.működés'!D118</f>
        <v>294286</v>
      </c>
      <c r="E68" s="105">
        <f>'2.működés'!E118</f>
        <v>313730</v>
      </c>
      <c r="F68" s="393">
        <f t="shared" si="5"/>
        <v>0</v>
      </c>
      <c r="G68" s="105">
        <f>'2.működés'!G118</f>
        <v>313730</v>
      </c>
      <c r="H68" s="393">
        <f t="shared" si="5"/>
        <v>465</v>
      </c>
      <c r="I68" s="105">
        <f>'2.működés'!I118</f>
        <v>314195</v>
      </c>
      <c r="J68" s="393">
        <f t="shared" si="5"/>
        <v>0</v>
      </c>
      <c r="K68" s="105">
        <f>'2.működés'!K118</f>
        <v>314195</v>
      </c>
      <c r="L68" s="105">
        <f>'2.működés'!L118</f>
        <v>308647</v>
      </c>
      <c r="M68" s="259">
        <f t="shared" si="0"/>
        <v>98.23421760371744</v>
      </c>
      <c r="N68" s="259"/>
      <c r="O68" s="2"/>
      <c r="P68" s="2"/>
      <c r="Q68" s="7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x14ac:dyDescent="0.2">
      <c r="A69" s="8"/>
      <c r="B69" s="8" t="s">
        <v>630</v>
      </c>
      <c r="C69" s="105">
        <v>34735</v>
      </c>
      <c r="D69" s="105">
        <f>'2.működés'!D121</f>
        <v>37978</v>
      </c>
      <c r="E69" s="105">
        <f>'2.működés'!E121</f>
        <v>40089</v>
      </c>
      <c r="F69" s="393">
        <f t="shared" si="5"/>
        <v>0</v>
      </c>
      <c r="G69" s="105">
        <f>'2.működés'!G121</f>
        <v>40089</v>
      </c>
      <c r="H69" s="393">
        <f t="shared" si="5"/>
        <v>-128</v>
      </c>
      <c r="I69" s="105">
        <f>'2.működés'!I121</f>
        <v>39961</v>
      </c>
      <c r="J69" s="393">
        <f t="shared" si="5"/>
        <v>0</v>
      </c>
      <c r="K69" s="105">
        <f>'2.működés'!K121</f>
        <v>39961</v>
      </c>
      <c r="L69" s="105">
        <f>'2.működés'!L121</f>
        <v>38354</v>
      </c>
      <c r="M69" s="259">
        <f t="shared" si="0"/>
        <v>95.978579114636773</v>
      </c>
      <c r="N69" s="259"/>
      <c r="O69" s="2"/>
      <c r="P69" s="2"/>
      <c r="Q69" s="7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x14ac:dyDescent="0.2">
      <c r="A70" s="8"/>
      <c r="B70" s="8" t="s">
        <v>631</v>
      </c>
      <c r="C70" s="105">
        <v>475680</v>
      </c>
      <c r="D70" s="105">
        <f>'2.működés'!D124</f>
        <v>660926</v>
      </c>
      <c r="E70" s="105">
        <f>'2.működés'!E124</f>
        <v>666028</v>
      </c>
      <c r="F70" s="393">
        <f t="shared" si="5"/>
        <v>2941</v>
      </c>
      <c r="G70" s="105">
        <f>'2.működés'!G124</f>
        <v>668969</v>
      </c>
      <c r="H70" s="393">
        <f t="shared" si="5"/>
        <v>-180749</v>
      </c>
      <c r="I70" s="105">
        <f>'2.működés'!I124</f>
        <v>488220</v>
      </c>
      <c r="J70" s="393">
        <f t="shared" si="5"/>
        <v>1650</v>
      </c>
      <c r="K70" s="105">
        <f>'2.működés'!K124</f>
        <v>489870</v>
      </c>
      <c r="L70" s="105">
        <f>'2.működés'!L124</f>
        <v>350567</v>
      </c>
      <c r="M70" s="259">
        <f t="shared" si="0"/>
        <v>71.563271888460207</v>
      </c>
      <c r="N70" s="259"/>
      <c r="O70" s="2"/>
      <c r="P70" s="2"/>
      <c r="Q70" s="7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x14ac:dyDescent="0.2">
      <c r="A71" s="8"/>
      <c r="B71" s="8" t="s">
        <v>632</v>
      </c>
      <c r="C71" s="105">
        <v>17943</v>
      </c>
      <c r="D71" s="105">
        <f>'2.működés'!D127</f>
        <v>18000</v>
      </c>
      <c r="E71" s="105">
        <f>'2.működés'!E127</f>
        <v>18000</v>
      </c>
      <c r="F71" s="393">
        <f t="shared" si="5"/>
        <v>0</v>
      </c>
      <c r="G71" s="105">
        <f>'2.működés'!G127</f>
        <v>18000</v>
      </c>
      <c r="H71" s="393">
        <f t="shared" si="5"/>
        <v>-10000</v>
      </c>
      <c r="I71" s="105">
        <f>'2.működés'!I127</f>
        <v>8000</v>
      </c>
      <c r="J71" s="393">
        <f t="shared" si="5"/>
        <v>0</v>
      </c>
      <c r="K71" s="105">
        <f>'2.működés'!K127</f>
        <v>8000</v>
      </c>
      <c r="L71" s="105">
        <f>'2.működés'!L127</f>
        <v>6187</v>
      </c>
      <c r="M71" s="259">
        <f t="shared" si="0"/>
        <v>77.337500000000006</v>
      </c>
      <c r="N71" s="259"/>
      <c r="O71" s="2"/>
      <c r="P71" s="2"/>
      <c r="Q71" s="7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x14ac:dyDescent="0.2">
      <c r="A72" s="8"/>
      <c r="B72" s="8" t="s">
        <v>633</v>
      </c>
      <c r="C72" s="105">
        <v>628994</v>
      </c>
      <c r="D72" s="105">
        <f>'2.működés'!D128</f>
        <v>777666</v>
      </c>
      <c r="E72" s="105">
        <f>'2.működés'!E128</f>
        <v>743776</v>
      </c>
      <c r="F72" s="393">
        <f t="shared" si="5"/>
        <v>7456</v>
      </c>
      <c r="G72" s="105">
        <f>'2.működés'!G128</f>
        <v>751232</v>
      </c>
      <c r="H72" s="393">
        <f t="shared" si="5"/>
        <v>39168</v>
      </c>
      <c r="I72" s="105">
        <f>'2.működés'!I128</f>
        <v>790400</v>
      </c>
      <c r="J72" s="393">
        <f t="shared" si="5"/>
        <v>1765</v>
      </c>
      <c r="K72" s="105">
        <f>'2.működés'!K128</f>
        <v>792165</v>
      </c>
      <c r="L72" s="105">
        <f>'2.működés'!L128</f>
        <v>707464</v>
      </c>
      <c r="M72" s="259">
        <f t="shared" si="0"/>
        <v>89.307656864415875</v>
      </c>
      <c r="N72" s="259"/>
      <c r="O72" s="2"/>
      <c r="P72" s="2"/>
      <c r="Q72" s="7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3.5" hidden="1" customHeight="1" thickBot="1" x14ac:dyDescent="0.25">
      <c r="A73" s="8"/>
      <c r="B73" s="8" t="s">
        <v>364</v>
      </c>
      <c r="C73" s="105">
        <v>3</v>
      </c>
      <c r="D73" s="105">
        <v>0</v>
      </c>
      <c r="E73" s="105">
        <v>0</v>
      </c>
      <c r="F73" s="393">
        <f t="shared" si="5"/>
        <v>0</v>
      </c>
      <c r="G73" s="105">
        <v>0</v>
      </c>
      <c r="H73" s="393">
        <f t="shared" si="5"/>
        <v>0</v>
      </c>
      <c r="I73" s="105">
        <v>0</v>
      </c>
      <c r="J73" s="393">
        <f t="shared" si="5"/>
        <v>0</v>
      </c>
      <c r="K73" s="105">
        <v>0</v>
      </c>
      <c r="L73" s="105">
        <v>0</v>
      </c>
      <c r="M73" s="259" t="e">
        <f t="shared" si="0"/>
        <v>#DIV/0!</v>
      </c>
      <c r="N73" s="259"/>
      <c r="O73" s="2"/>
      <c r="P73" s="2"/>
      <c r="Q73" s="7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2.75" hidden="1" customHeight="1" thickBot="1" x14ac:dyDescent="0.25">
      <c r="A74" s="8"/>
      <c r="B74" s="8" t="s">
        <v>346</v>
      </c>
      <c r="C74" s="219"/>
      <c r="D74" s="219"/>
      <c r="E74" s="219"/>
      <c r="F74" s="393">
        <f t="shared" si="5"/>
        <v>0</v>
      </c>
      <c r="G74" s="219"/>
      <c r="H74" s="393">
        <f t="shared" si="5"/>
        <v>0</v>
      </c>
      <c r="I74" s="219"/>
      <c r="J74" s="393">
        <f t="shared" si="5"/>
        <v>0</v>
      </c>
      <c r="K74" s="219"/>
      <c r="L74" s="219"/>
      <c r="M74" s="259" t="e">
        <f t="shared" si="0"/>
        <v>#DIV/0!</v>
      </c>
      <c r="N74" s="259"/>
      <c r="O74" s="2"/>
      <c r="P74" s="2"/>
      <c r="Q74" s="7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8" customHeight="1" x14ac:dyDescent="0.25">
      <c r="A75" s="14" t="s">
        <v>159</v>
      </c>
      <c r="B75" s="22" t="s">
        <v>647</v>
      </c>
      <c r="C75" s="5">
        <f t="shared" ref="C75" si="7">SUM(C76:C78)</f>
        <v>1578894</v>
      </c>
      <c r="D75" s="32">
        <f>SUM(D76:D78)</f>
        <v>1096190</v>
      </c>
      <c r="E75" s="32">
        <f>SUM(E76:E78)</f>
        <v>1168045</v>
      </c>
      <c r="F75" s="393">
        <f t="shared" si="5"/>
        <v>0</v>
      </c>
      <c r="G75" s="32">
        <f>SUM(G76:G78)</f>
        <v>1168045</v>
      </c>
      <c r="H75" s="393">
        <f t="shared" si="5"/>
        <v>33597</v>
      </c>
      <c r="I75" s="32">
        <f>SUM(I76:I78)</f>
        <v>1201642</v>
      </c>
      <c r="J75" s="393">
        <f t="shared" si="5"/>
        <v>0</v>
      </c>
      <c r="K75" s="32">
        <f>SUM(K76:K78)</f>
        <v>1201642</v>
      </c>
      <c r="L75" s="32">
        <f>SUM(L76:L78)</f>
        <v>361142</v>
      </c>
      <c r="M75" s="259">
        <f t="shared" si="0"/>
        <v>30.054042718213907</v>
      </c>
      <c r="N75" s="259"/>
      <c r="O75" s="2"/>
      <c r="P75" s="2"/>
      <c r="Q75" s="7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s="45" customFormat="1" ht="13.5" customHeight="1" x14ac:dyDescent="0.2">
      <c r="A76" s="8"/>
      <c r="B76" s="8" t="s">
        <v>263</v>
      </c>
      <c r="C76" s="13">
        <v>206350</v>
      </c>
      <c r="D76" s="13">
        <f>SUM('3.felh'!D47)</f>
        <v>772610</v>
      </c>
      <c r="E76" s="13">
        <f>SUM('3.felh'!E47)</f>
        <v>794867</v>
      </c>
      <c r="F76" s="393">
        <f t="shared" si="5"/>
        <v>0</v>
      </c>
      <c r="G76" s="13">
        <f>SUM('3.felh'!G47)</f>
        <v>794867</v>
      </c>
      <c r="H76" s="393">
        <f t="shared" si="5"/>
        <v>13000</v>
      </c>
      <c r="I76" s="13">
        <f>SUM('3.felh'!I47)</f>
        <v>807867</v>
      </c>
      <c r="J76" s="393">
        <f t="shared" si="5"/>
        <v>0</v>
      </c>
      <c r="K76" s="13">
        <f>SUM('3.felh'!K47)</f>
        <v>807867</v>
      </c>
      <c r="L76" s="13">
        <f>SUM('3.felh'!L47)</f>
        <v>188483</v>
      </c>
      <c r="M76" s="259">
        <f t="shared" si="0"/>
        <v>23.330944326231918</v>
      </c>
      <c r="N76" s="259"/>
      <c r="O76" s="2"/>
      <c r="P76" s="2"/>
      <c r="Q76" s="7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s="45" customFormat="1" ht="13.5" customHeight="1" x14ac:dyDescent="0.2">
      <c r="A77" s="8"/>
      <c r="B77" s="8" t="s">
        <v>264</v>
      </c>
      <c r="C77" s="13">
        <v>522079</v>
      </c>
      <c r="D77" s="13">
        <f>SUM('3.felh'!D73)</f>
        <v>323580</v>
      </c>
      <c r="E77" s="13">
        <f>SUM('3.felh'!E73)</f>
        <v>373178</v>
      </c>
      <c r="F77" s="393">
        <f t="shared" si="5"/>
        <v>0</v>
      </c>
      <c r="G77" s="13">
        <f>SUM('3.felh'!G73)</f>
        <v>373178</v>
      </c>
      <c r="H77" s="393">
        <f t="shared" si="5"/>
        <v>20597</v>
      </c>
      <c r="I77" s="13">
        <f>SUM('3.felh'!I73)</f>
        <v>393775</v>
      </c>
      <c r="J77" s="393">
        <f t="shared" si="5"/>
        <v>0</v>
      </c>
      <c r="K77" s="13">
        <f>SUM('3.felh'!K73)</f>
        <v>393775</v>
      </c>
      <c r="L77" s="13">
        <f>SUM('3.felh'!L73)</f>
        <v>172659</v>
      </c>
      <c r="M77" s="259">
        <f t="shared" ref="M77:M90" si="8">(L77/K77)*100</f>
        <v>43.847120817725859</v>
      </c>
      <c r="N77" s="259"/>
      <c r="O77" s="2"/>
      <c r="P77" s="2"/>
      <c r="Q77" s="7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s="45" customFormat="1" ht="13.5" customHeight="1" x14ac:dyDescent="0.2">
      <c r="A78" s="8"/>
      <c r="B78" s="8" t="s">
        <v>265</v>
      </c>
      <c r="C78" s="13">
        <v>850465</v>
      </c>
      <c r="D78" s="13">
        <f>SUM(D79:D81)</f>
        <v>0</v>
      </c>
      <c r="E78" s="13">
        <f>SUM(E79:E81)</f>
        <v>0</v>
      </c>
      <c r="F78" s="393">
        <f t="shared" si="5"/>
        <v>0</v>
      </c>
      <c r="G78" s="13">
        <f>SUM(G79:G81)</f>
        <v>0</v>
      </c>
      <c r="H78" s="393">
        <f t="shared" si="5"/>
        <v>0</v>
      </c>
      <c r="I78" s="13">
        <f>SUM(I79:I81)</f>
        <v>0</v>
      </c>
      <c r="J78" s="393">
        <f t="shared" si="5"/>
        <v>0</v>
      </c>
      <c r="K78" s="13">
        <f>SUM(K79:K81)</f>
        <v>0</v>
      </c>
      <c r="L78" s="13">
        <f>SUM(L79:L81)</f>
        <v>0</v>
      </c>
      <c r="M78" s="259"/>
      <c r="N78" s="259"/>
      <c r="O78" s="2"/>
      <c r="P78" s="2"/>
      <c r="Q78" s="7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s="45" customFormat="1" ht="13.5" hidden="1" customHeight="1" x14ac:dyDescent="0.2">
      <c r="A79" s="8"/>
      <c r="B79" s="118" t="s">
        <v>490</v>
      </c>
      <c r="C79" s="13">
        <f>SUM('[3]3.felh'!C89)+'[3]3.felh'!C90+'[3]3.felh'!C91</f>
        <v>0</v>
      </c>
      <c r="D79" s="67">
        <f>SUM('3.felh'!D95)+'3.felh'!D96+'3.felh'!D97</f>
        <v>0</v>
      </c>
      <c r="E79" s="67">
        <f>SUM('3.felh'!E95)+'3.felh'!E96+'3.felh'!E97</f>
        <v>0</v>
      </c>
      <c r="F79" s="393">
        <f t="shared" si="5"/>
        <v>0</v>
      </c>
      <c r="G79" s="67">
        <f>SUM('3.felh'!G95)+'3.felh'!G96+'3.felh'!G97</f>
        <v>0</v>
      </c>
      <c r="H79" s="393">
        <f t="shared" si="5"/>
        <v>0</v>
      </c>
      <c r="I79" s="67">
        <f>SUM('3.felh'!I95)+'3.felh'!I96+'3.felh'!I97</f>
        <v>0</v>
      </c>
      <c r="J79" s="393">
        <f t="shared" si="5"/>
        <v>0</v>
      </c>
      <c r="K79" s="67">
        <f>SUM('3.felh'!K95)+'3.felh'!K96+'3.felh'!K97</f>
        <v>0</v>
      </c>
      <c r="L79" s="67">
        <f>SUM('3.felh'!L95)+'3.felh'!L96+'3.felh'!L97</f>
        <v>0</v>
      </c>
      <c r="M79" s="259" t="e">
        <f t="shared" si="8"/>
        <v>#DIV/0!</v>
      </c>
      <c r="N79" s="259"/>
      <c r="O79" s="2"/>
      <c r="P79" s="2"/>
      <c r="Q79" s="7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s="45" customFormat="1" ht="13.5" hidden="1" customHeight="1" thickBot="1" x14ac:dyDescent="0.25">
      <c r="A80" s="8"/>
      <c r="B80" s="118" t="s">
        <v>494</v>
      </c>
      <c r="C80" s="13">
        <v>0</v>
      </c>
      <c r="D80" s="67">
        <v>0</v>
      </c>
      <c r="E80" s="67">
        <v>0</v>
      </c>
      <c r="F80" s="393">
        <f t="shared" si="5"/>
        <v>0</v>
      </c>
      <c r="G80" s="67">
        <v>0</v>
      </c>
      <c r="H80" s="393">
        <f t="shared" si="5"/>
        <v>0</v>
      </c>
      <c r="I80" s="67">
        <v>0</v>
      </c>
      <c r="J80" s="393">
        <f t="shared" si="5"/>
        <v>0</v>
      </c>
      <c r="K80" s="67">
        <v>0</v>
      </c>
      <c r="L80" s="67">
        <v>0</v>
      </c>
      <c r="M80" s="259" t="e">
        <f t="shared" si="8"/>
        <v>#DIV/0!</v>
      </c>
      <c r="N80" s="7"/>
      <c r="O80" s="2"/>
      <c r="P80" s="2"/>
      <c r="Q80" s="7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s="45" customFormat="1" ht="13.5" hidden="1" customHeight="1" thickBot="1" x14ac:dyDescent="0.25">
      <c r="A81" s="8"/>
      <c r="B81" s="367" t="s">
        <v>651</v>
      </c>
      <c r="C81" s="157">
        <f>SUM('[3]3.felh'!C93)</f>
        <v>0</v>
      </c>
      <c r="D81" s="368">
        <f>SUM('3.felh'!D99)</f>
        <v>0</v>
      </c>
      <c r="E81" s="368">
        <f>SUM('3.felh'!E99)</f>
        <v>0</v>
      </c>
      <c r="F81" s="393">
        <f t="shared" si="5"/>
        <v>0</v>
      </c>
      <c r="G81" s="368">
        <f>SUM('3.felh'!G99)</f>
        <v>0</v>
      </c>
      <c r="H81" s="393">
        <f t="shared" si="5"/>
        <v>0</v>
      </c>
      <c r="I81" s="368">
        <f>SUM('3.felh'!I99)</f>
        <v>0</v>
      </c>
      <c r="J81" s="393">
        <f t="shared" si="5"/>
        <v>0</v>
      </c>
      <c r="K81" s="368">
        <f>SUM('3.felh'!K99)</f>
        <v>0</v>
      </c>
      <c r="L81" s="368">
        <f>SUM('3.felh'!L99)</f>
        <v>0</v>
      </c>
      <c r="M81" s="259" t="e">
        <f t="shared" si="8"/>
        <v>#DIV/0!</v>
      </c>
      <c r="N81" s="7"/>
      <c r="O81" s="2"/>
      <c r="P81" s="2"/>
      <c r="Q81" s="7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s="45" customFormat="1" ht="22.5" customHeight="1" x14ac:dyDescent="0.25">
      <c r="A82" s="14" t="s">
        <v>160</v>
      </c>
      <c r="B82" s="137" t="s">
        <v>278</v>
      </c>
      <c r="C82" s="391">
        <f t="shared" ref="C82" si="9">SUM(C83+C88+C89)</f>
        <v>104991</v>
      </c>
      <c r="D82" s="153">
        <f>SUM(D83+D88+D89)</f>
        <v>115874</v>
      </c>
      <c r="E82" s="153">
        <f>SUM(E83+E88+E89)</f>
        <v>115874</v>
      </c>
      <c r="F82" s="393">
        <f t="shared" si="5"/>
        <v>0</v>
      </c>
      <c r="G82" s="153">
        <f>SUM(G83+G88+G89)</f>
        <v>115874</v>
      </c>
      <c r="H82" s="393">
        <f t="shared" si="5"/>
        <v>0</v>
      </c>
      <c r="I82" s="153">
        <f>SUM(I83+I88+I89)</f>
        <v>115874</v>
      </c>
      <c r="J82" s="393">
        <f t="shared" si="5"/>
        <v>0</v>
      </c>
      <c r="K82" s="153">
        <f>SUM(K83+K88+K89)</f>
        <v>115874</v>
      </c>
      <c r="L82" s="153">
        <f>SUM(L83+L88+L89)</f>
        <v>115874</v>
      </c>
      <c r="M82" s="259">
        <f t="shared" si="8"/>
        <v>100</v>
      </c>
      <c r="N82" s="7"/>
      <c r="O82" s="2"/>
      <c r="P82" s="2"/>
      <c r="Q82" s="7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s="45" customFormat="1" ht="15" customHeight="1" x14ac:dyDescent="0.25">
      <c r="A83" s="14"/>
      <c r="B83" s="152" t="s">
        <v>299</v>
      </c>
      <c r="C83" s="126">
        <f t="shared" ref="C83" si="10">SUM(C84:C87)</f>
        <v>104991</v>
      </c>
      <c r="D83" s="126">
        <f>SUM(D84:D87)</f>
        <v>115874</v>
      </c>
      <c r="E83" s="126">
        <f>SUM(E84:E87)</f>
        <v>115874</v>
      </c>
      <c r="F83" s="393">
        <f t="shared" si="5"/>
        <v>0</v>
      </c>
      <c r="G83" s="126">
        <f>SUM(G84:G87)</f>
        <v>115874</v>
      </c>
      <c r="H83" s="393">
        <f t="shared" si="5"/>
        <v>0</v>
      </c>
      <c r="I83" s="126">
        <f>SUM(I84:I87)</f>
        <v>115874</v>
      </c>
      <c r="J83" s="393">
        <f t="shared" si="5"/>
        <v>0</v>
      </c>
      <c r="K83" s="126">
        <f>SUM(K84:K87)</f>
        <v>115874</v>
      </c>
      <c r="L83" s="126">
        <f>SUM(L84:L87)</f>
        <v>115874</v>
      </c>
      <c r="M83" s="259">
        <f t="shared" si="8"/>
        <v>100</v>
      </c>
      <c r="N83" s="259"/>
      <c r="O83" s="2"/>
      <c r="P83" s="2"/>
      <c r="Q83" s="7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45" customFormat="1" hidden="1" x14ac:dyDescent="0.2">
      <c r="A84" s="8" t="s">
        <v>621</v>
      </c>
      <c r="B84" s="8" t="s">
        <v>623</v>
      </c>
      <c r="C84" s="13"/>
      <c r="D84" s="13">
        <v>0</v>
      </c>
      <c r="E84" s="13">
        <v>0</v>
      </c>
      <c r="F84" s="393">
        <f t="shared" si="5"/>
        <v>0</v>
      </c>
      <c r="G84" s="13">
        <v>0</v>
      </c>
      <c r="H84" s="393">
        <f t="shared" si="5"/>
        <v>0</v>
      </c>
      <c r="I84" s="13">
        <v>0</v>
      </c>
      <c r="J84" s="393">
        <f t="shared" si="5"/>
        <v>0</v>
      </c>
      <c r="K84" s="13">
        <v>0</v>
      </c>
      <c r="L84" s="13">
        <v>0</v>
      </c>
      <c r="M84" s="259" t="e">
        <f t="shared" si="8"/>
        <v>#DIV/0!</v>
      </c>
      <c r="N84" s="259"/>
      <c r="O84" s="2"/>
      <c r="P84" s="2"/>
      <c r="Q84" s="7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s="45" customFormat="1" ht="12.75" customHeight="1" x14ac:dyDescent="0.2">
      <c r="A85" s="8" t="s">
        <v>305</v>
      </c>
      <c r="B85" s="8" t="s">
        <v>325</v>
      </c>
      <c r="C85" s="13">
        <v>19597</v>
      </c>
      <c r="D85" s="13">
        <f>SUM('2.működés'!D137)</f>
        <v>21664</v>
      </c>
      <c r="E85" s="13">
        <f>SUM('2.működés'!E137)</f>
        <v>21664</v>
      </c>
      <c r="F85" s="393">
        <f t="shared" si="5"/>
        <v>0</v>
      </c>
      <c r="G85" s="13">
        <f>SUM('2.működés'!G137)</f>
        <v>21664</v>
      </c>
      <c r="H85" s="393">
        <f t="shared" si="5"/>
        <v>0</v>
      </c>
      <c r="I85" s="13">
        <f>SUM('2.működés'!I137)</f>
        <v>21664</v>
      </c>
      <c r="J85" s="393">
        <f t="shared" si="5"/>
        <v>0</v>
      </c>
      <c r="K85" s="13">
        <f>SUM('2.működés'!K137)</f>
        <v>21664</v>
      </c>
      <c r="L85" s="13">
        <f>SUM('2.működés'!L137)</f>
        <v>21664</v>
      </c>
      <c r="M85" s="259">
        <f t="shared" si="8"/>
        <v>100</v>
      </c>
      <c r="N85" s="259"/>
      <c r="O85" s="2"/>
      <c r="P85" s="2"/>
      <c r="Q85" s="7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s="45" customFormat="1" ht="15.75" hidden="1" x14ac:dyDescent="0.25">
      <c r="A86" s="8"/>
      <c r="B86" s="184" t="s">
        <v>300</v>
      </c>
      <c r="C86" s="126"/>
      <c r="D86" s="39"/>
      <c r="E86" s="39"/>
      <c r="F86" s="393">
        <f t="shared" si="5"/>
        <v>0</v>
      </c>
      <c r="G86" s="39"/>
      <c r="H86" s="393">
        <f t="shared" si="5"/>
        <v>0</v>
      </c>
      <c r="I86" s="39"/>
      <c r="J86" s="393">
        <f t="shared" si="5"/>
        <v>0</v>
      </c>
      <c r="K86" s="39"/>
      <c r="L86" s="39"/>
      <c r="M86" s="259" t="e">
        <f t="shared" si="8"/>
        <v>#DIV/0!</v>
      </c>
      <c r="N86" s="259"/>
      <c r="O86" s="2"/>
      <c r="P86" s="2"/>
      <c r="Q86" s="7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s="45" customFormat="1" ht="12.75" customHeight="1" x14ac:dyDescent="0.2">
      <c r="A87" s="8" t="s">
        <v>621</v>
      </c>
      <c r="B87" s="184" t="s">
        <v>533</v>
      </c>
      <c r="C87" s="13">
        <v>85394</v>
      </c>
      <c r="D87" s="13">
        <f>SUM('3.felh'!D104)</f>
        <v>94210</v>
      </c>
      <c r="E87" s="13">
        <f>SUM('3.felh'!E104)</f>
        <v>94210</v>
      </c>
      <c r="F87" s="393">
        <f t="shared" si="5"/>
        <v>0</v>
      </c>
      <c r="G87" s="13">
        <f>SUM('3.felh'!G104)</f>
        <v>94210</v>
      </c>
      <c r="H87" s="393">
        <f t="shared" si="5"/>
        <v>0</v>
      </c>
      <c r="I87" s="13">
        <f>SUM('3.felh'!I104)</f>
        <v>94210</v>
      </c>
      <c r="J87" s="393">
        <f t="shared" si="5"/>
        <v>0</v>
      </c>
      <c r="K87" s="13">
        <f>SUM('3.felh'!K104)</f>
        <v>94210</v>
      </c>
      <c r="L87" s="13">
        <f>SUM('3.felh'!L104)</f>
        <v>94210</v>
      </c>
      <c r="M87" s="259">
        <f t="shared" si="8"/>
        <v>100</v>
      </c>
      <c r="N87" s="259"/>
      <c r="O87" s="2"/>
      <c r="P87" s="2"/>
      <c r="Q87" s="7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45" customFormat="1" ht="15" customHeight="1" x14ac:dyDescent="0.25">
      <c r="A88" s="14"/>
      <c r="B88" s="152" t="s">
        <v>301</v>
      </c>
      <c r="C88" s="126">
        <v>0</v>
      </c>
      <c r="D88" s="39">
        <v>0</v>
      </c>
      <c r="E88" s="39">
        <v>0</v>
      </c>
      <c r="F88" s="393">
        <f t="shared" si="5"/>
        <v>0</v>
      </c>
      <c r="G88" s="39">
        <v>0</v>
      </c>
      <c r="H88" s="393">
        <f t="shared" si="5"/>
        <v>0</v>
      </c>
      <c r="I88" s="39">
        <v>0</v>
      </c>
      <c r="J88" s="393">
        <f t="shared" si="5"/>
        <v>0</v>
      </c>
      <c r="K88" s="39">
        <v>0</v>
      </c>
      <c r="L88" s="39">
        <v>0</v>
      </c>
      <c r="M88" s="259"/>
      <c r="N88" s="259"/>
      <c r="O88" s="2"/>
      <c r="P88" s="2"/>
      <c r="Q88" s="7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s="528" customFormat="1" ht="30.75" thickBot="1" x14ac:dyDescent="0.25">
      <c r="A89" s="525"/>
      <c r="B89" s="149" t="s">
        <v>302</v>
      </c>
      <c r="C89" s="526">
        <v>0</v>
      </c>
      <c r="D89" s="527">
        <v>0</v>
      </c>
      <c r="E89" s="527">
        <v>0</v>
      </c>
      <c r="F89" s="393">
        <f t="shared" si="5"/>
        <v>0</v>
      </c>
      <c r="G89" s="527">
        <v>0</v>
      </c>
      <c r="H89" s="393">
        <f t="shared" si="5"/>
        <v>0</v>
      </c>
      <c r="I89" s="527">
        <v>0</v>
      </c>
      <c r="J89" s="393">
        <f t="shared" si="5"/>
        <v>0</v>
      </c>
      <c r="K89" s="527">
        <v>0</v>
      </c>
      <c r="L89" s="527">
        <v>0</v>
      </c>
      <c r="M89" s="259"/>
      <c r="N89" s="396"/>
      <c r="O89" s="63"/>
      <c r="P89" s="63"/>
      <c r="Q89" s="304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</row>
    <row r="90" spans="1:47" ht="21.75" customHeight="1" thickBot="1" x14ac:dyDescent="0.4">
      <c r="A90" s="217"/>
      <c r="B90" s="179" t="s">
        <v>48</v>
      </c>
      <c r="C90" s="389">
        <f>SUM(C65+C82)</f>
        <v>3116687</v>
      </c>
      <c r="D90" s="284">
        <f>SUM(D65+D82)</f>
        <v>3000920</v>
      </c>
      <c r="E90" s="284">
        <f>SUM(E65+E82)</f>
        <v>3065542</v>
      </c>
      <c r="F90" s="394">
        <f>G90-E90</f>
        <v>10397</v>
      </c>
      <c r="G90" s="284">
        <f>SUM(G65+G82)</f>
        <v>3075939</v>
      </c>
      <c r="H90" s="394">
        <f>I90-G90</f>
        <v>-117647</v>
      </c>
      <c r="I90" s="143">
        <f>SUM(I65+I82)</f>
        <v>2958292</v>
      </c>
      <c r="J90" s="394">
        <f>K90-I90</f>
        <v>3415</v>
      </c>
      <c r="K90" s="143">
        <f>SUM(K65+K82)</f>
        <v>2961707</v>
      </c>
      <c r="L90" s="43">
        <f>SUM(L65+L82)</f>
        <v>1888235</v>
      </c>
      <c r="M90" s="259">
        <f t="shared" si="8"/>
        <v>63.754956178987321</v>
      </c>
      <c r="N90" s="259"/>
      <c r="O90" s="7"/>
      <c r="P90" s="2"/>
      <c r="Q90" s="7"/>
      <c r="R90" s="7"/>
      <c r="S90" s="7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4.25" customHeight="1" x14ac:dyDescent="0.2">
      <c r="D91" s="7"/>
      <c r="E91" s="7"/>
      <c r="F91" s="7"/>
      <c r="G91" s="7"/>
      <c r="H91" s="7"/>
      <c r="I91" s="7"/>
      <c r="J91" s="7"/>
      <c r="K91" s="7"/>
      <c r="L91" s="7"/>
      <c r="M91" s="259"/>
      <c r="N91" s="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customHeight="1" x14ac:dyDescent="0.2">
      <c r="B92" s="2"/>
      <c r="C92" s="2"/>
      <c r="D92" s="7"/>
      <c r="E92" s="7"/>
      <c r="F92" s="7"/>
      <c r="G92" s="7"/>
      <c r="H92" s="7"/>
      <c r="I92" s="7"/>
      <c r="J92" s="7"/>
      <c r="K92" s="7"/>
      <c r="L92" s="7"/>
      <c r="M92" s="25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customHeight="1" x14ac:dyDescent="0.2">
      <c r="D93" s="7"/>
      <c r="E93" s="7"/>
      <c r="F93" s="7"/>
      <c r="G93" s="7"/>
      <c r="H93" s="7"/>
      <c r="I93" s="7"/>
      <c r="J93" s="7"/>
      <c r="K93" s="7"/>
      <c r="L93" s="7"/>
      <c r="M93" s="259"/>
      <c r="N93" s="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x14ac:dyDescent="0.2">
      <c r="B94" s="189"/>
      <c r="C94" s="189"/>
      <c r="D94" s="7"/>
      <c r="E94" s="2"/>
      <c r="F94" s="2"/>
      <c r="G94" s="82"/>
      <c r="H94" s="8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" customHeight="1" x14ac:dyDescent="0.2">
      <c r="D95" s="7"/>
      <c r="E95" s="2"/>
      <c r="F95" s="2"/>
      <c r="G95" s="82"/>
      <c r="H95" s="8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x14ac:dyDescent="0.2">
      <c r="E96" s="7"/>
      <c r="F96" s="7"/>
      <c r="G96" s="7"/>
      <c r="H96" s="7"/>
      <c r="I96" s="7"/>
      <c r="J96" s="7"/>
      <c r="K96" s="7"/>
      <c r="L96" s="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 ht="15.75" customHeight="1" x14ac:dyDescent="0.2">
      <c r="B97" s="2"/>
      <c r="C97" s="2"/>
      <c r="D97" s="2"/>
      <c r="E97" s="7"/>
      <c r="F97" s="7"/>
      <c r="G97" s="82"/>
      <c r="H97" s="82"/>
      <c r="I97" s="2"/>
      <c r="J97" s="2"/>
      <c r="K97" s="2"/>
      <c r="L97" s="2"/>
      <c r="M97" s="2"/>
      <c r="N97" s="2"/>
      <c r="O97" s="2"/>
      <c r="P97" s="2"/>
      <c r="Q97" s="2"/>
      <c r="R97" s="7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 ht="15.75" customHeight="1" x14ac:dyDescent="0.2">
      <c r="B98" s="2"/>
      <c r="C98" s="2"/>
      <c r="D98" s="2"/>
      <c r="E98" s="2"/>
      <c r="F98" s="2"/>
      <c r="G98" s="82"/>
      <c r="H98" s="8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 ht="15.75" customHeight="1" x14ac:dyDescent="0.2">
      <c r="B99" s="2"/>
      <c r="C99" s="2"/>
      <c r="D99" s="2"/>
      <c r="E99" s="2"/>
      <c r="F99" s="2"/>
      <c r="G99" s="82"/>
      <c r="H99" s="8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 ht="15.75" customHeight="1" x14ac:dyDescent="0.2">
      <c r="B100" s="2"/>
      <c r="C100" s="2"/>
      <c r="D100" s="2"/>
      <c r="E100" s="2"/>
      <c r="F100" s="2"/>
      <c r="G100" s="82"/>
      <c r="H100" s="8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2:47" ht="15.75" customHeight="1" x14ac:dyDescent="0.2">
      <c r="B101" s="2"/>
      <c r="C101" s="2"/>
      <c r="D101" s="2"/>
      <c r="E101" s="2"/>
      <c r="F101" s="2"/>
      <c r="G101" s="82"/>
      <c r="H101" s="8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2:47" ht="15.75" customHeight="1" x14ac:dyDescent="0.2">
      <c r="B102" s="2"/>
      <c r="C102" s="2"/>
      <c r="D102" s="2"/>
      <c r="E102" s="2"/>
      <c r="F102" s="2"/>
      <c r="G102" s="82"/>
      <c r="H102" s="8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2:47" ht="15.75" customHeight="1" x14ac:dyDescent="0.2">
      <c r="B103" s="2"/>
      <c r="C103" s="2"/>
      <c r="D103" s="2"/>
      <c r="E103" s="2"/>
      <c r="F103" s="2"/>
      <c r="G103" s="82"/>
      <c r="H103" s="8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2:47" ht="15.75" customHeight="1" x14ac:dyDescent="0.2">
      <c r="B104" s="2"/>
      <c r="C104" s="2"/>
      <c r="D104" s="2"/>
      <c r="E104" s="2"/>
      <c r="F104" s="2"/>
      <c r="G104" s="82"/>
      <c r="H104" s="8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2:47" ht="15.75" customHeight="1" x14ac:dyDescent="0.2">
      <c r="B105" s="2"/>
      <c r="C105" s="2"/>
      <c r="D105" s="2"/>
      <c r="E105" s="2"/>
      <c r="F105" s="2"/>
      <c r="G105" s="82"/>
      <c r="H105" s="8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2:47" ht="15.75" customHeight="1" x14ac:dyDescent="0.2">
      <c r="B106" s="2"/>
      <c r="C106" s="2"/>
      <c r="D106" s="2"/>
      <c r="E106" s="2"/>
      <c r="F106" s="2"/>
      <c r="G106" s="82"/>
      <c r="H106" s="8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2:47" ht="15.75" customHeight="1" x14ac:dyDescent="0.2">
      <c r="B107" s="2"/>
      <c r="C107" s="2"/>
      <c r="D107" s="2"/>
      <c r="E107" s="2"/>
      <c r="F107" s="2"/>
      <c r="G107" s="82"/>
      <c r="H107" s="8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2:47" ht="15.75" customHeight="1" x14ac:dyDescent="0.2">
      <c r="B108" s="2"/>
      <c r="C108" s="2"/>
      <c r="D108" s="2"/>
      <c r="E108" s="2"/>
      <c r="F108" s="2"/>
      <c r="G108" s="82"/>
      <c r="H108" s="8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2:47" ht="15.75" customHeight="1" x14ac:dyDescent="0.2">
      <c r="B109" s="2"/>
      <c r="C109" s="2"/>
      <c r="D109" s="2"/>
      <c r="E109" s="2"/>
      <c r="F109" s="2"/>
      <c r="G109" s="82"/>
      <c r="H109" s="8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2:47" ht="15.75" customHeight="1" x14ac:dyDescent="0.2">
      <c r="B110" s="2"/>
      <c r="C110" s="2"/>
      <c r="D110" s="2"/>
      <c r="E110" s="2"/>
      <c r="F110" s="2"/>
      <c r="G110" s="82"/>
      <c r="H110" s="8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2:47" ht="15.75" customHeight="1" x14ac:dyDescent="0.2">
      <c r="B111" s="2"/>
      <c r="C111" s="2"/>
      <c r="D111" s="2"/>
      <c r="E111" s="2"/>
      <c r="F111" s="2"/>
      <c r="G111" s="82"/>
      <c r="H111" s="8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2:47" ht="15.75" customHeight="1" x14ac:dyDescent="0.2">
      <c r="B112" s="2"/>
      <c r="C112" s="2"/>
      <c r="D112" s="2"/>
      <c r="E112" s="2"/>
      <c r="F112" s="2"/>
      <c r="G112" s="82"/>
      <c r="H112" s="8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2:47" ht="15.75" customHeight="1" x14ac:dyDescent="0.2">
      <c r="B113" s="2"/>
      <c r="C113" s="2"/>
      <c r="D113" s="2"/>
      <c r="E113" s="2"/>
      <c r="F113" s="2"/>
      <c r="G113" s="82"/>
      <c r="H113" s="8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2:47" ht="15.75" customHeight="1" x14ac:dyDescent="0.2">
      <c r="B114" s="2"/>
      <c r="C114" s="2"/>
      <c r="D114" s="2"/>
      <c r="E114" s="2"/>
      <c r="F114" s="2"/>
      <c r="G114" s="82"/>
      <c r="H114" s="8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2:47" ht="15.75" customHeight="1" x14ac:dyDescent="0.2">
      <c r="B115" s="2"/>
      <c r="C115" s="2"/>
      <c r="D115" s="2"/>
      <c r="E115" s="2"/>
      <c r="F115" s="2"/>
      <c r="G115" s="82"/>
      <c r="H115" s="8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2:47" ht="15.75" customHeight="1" x14ac:dyDescent="0.2">
      <c r="B116" s="2"/>
      <c r="C116" s="2"/>
      <c r="D116" s="2"/>
      <c r="E116" s="2"/>
      <c r="F116" s="2"/>
      <c r="G116" s="82"/>
      <c r="H116" s="8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2:47" ht="15.75" customHeight="1" x14ac:dyDescent="0.2">
      <c r="B117" s="2"/>
      <c r="C117" s="2"/>
      <c r="D117" s="2"/>
      <c r="E117" s="2"/>
      <c r="F117" s="2"/>
      <c r="G117" s="82"/>
      <c r="H117" s="8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2:47" ht="15.75" customHeight="1" x14ac:dyDescent="0.2">
      <c r="B118" s="2"/>
      <c r="C118" s="2"/>
      <c r="D118" s="2"/>
      <c r="E118" s="2"/>
      <c r="F118" s="2"/>
      <c r="G118" s="82"/>
      <c r="H118" s="8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2:47" ht="15.75" customHeight="1" x14ac:dyDescent="0.2">
      <c r="B119" s="2"/>
      <c r="C119" s="2"/>
      <c r="D119" s="2"/>
      <c r="E119" s="2"/>
      <c r="F119" s="2"/>
      <c r="G119" s="82"/>
      <c r="H119" s="8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2:47" ht="15.75" customHeight="1" x14ac:dyDescent="0.2">
      <c r="B120" s="2"/>
      <c r="C120" s="2"/>
      <c r="D120" s="2"/>
      <c r="E120" s="2"/>
      <c r="F120" s="2"/>
      <c r="G120" s="82"/>
      <c r="H120" s="8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2:47" ht="15.75" customHeight="1" x14ac:dyDescent="0.2">
      <c r="B121" s="2"/>
      <c r="C121" s="2"/>
      <c r="D121" s="2"/>
      <c r="E121" s="2"/>
      <c r="F121" s="2"/>
      <c r="G121" s="82"/>
      <c r="H121" s="8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2:47" ht="15.75" customHeight="1" x14ac:dyDescent="0.2">
      <c r="B122" s="2"/>
      <c r="C122" s="2"/>
      <c r="D122" s="2"/>
      <c r="E122" s="2"/>
      <c r="F122" s="2"/>
      <c r="G122" s="82"/>
      <c r="H122" s="8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2:47" ht="15.75" customHeight="1" x14ac:dyDescent="0.2">
      <c r="B123" s="2"/>
      <c r="C123" s="2"/>
      <c r="D123" s="2"/>
      <c r="E123" s="2"/>
      <c r="F123" s="2"/>
      <c r="G123" s="82"/>
      <c r="H123" s="8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2:47" ht="15.75" customHeight="1" x14ac:dyDescent="0.2">
      <c r="B124" s="2"/>
      <c r="C124" s="2"/>
      <c r="D124" s="2"/>
      <c r="E124" s="2"/>
      <c r="F124" s="2"/>
      <c r="G124" s="82"/>
      <c r="H124" s="8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2:47" ht="15.75" customHeight="1" x14ac:dyDescent="0.2">
      <c r="B125" s="2"/>
      <c r="C125" s="2"/>
      <c r="D125" s="2"/>
      <c r="E125" s="2"/>
      <c r="F125" s="2"/>
      <c r="G125" s="82"/>
      <c r="H125" s="8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 ht="15.75" customHeight="1" x14ac:dyDescent="0.2">
      <c r="B126" s="2"/>
      <c r="C126" s="2"/>
      <c r="D126" s="2"/>
      <c r="E126" s="2"/>
      <c r="F126" s="2"/>
      <c r="G126" s="82"/>
      <c r="H126" s="8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2:47" ht="15.75" customHeight="1" x14ac:dyDescent="0.2">
      <c r="B127" s="2"/>
      <c r="C127" s="2"/>
      <c r="D127" s="2"/>
      <c r="E127" s="2"/>
      <c r="F127" s="2"/>
      <c r="G127" s="82"/>
      <c r="H127" s="8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 ht="15.75" customHeight="1" x14ac:dyDescent="0.2">
      <c r="B128" s="2"/>
      <c r="C128" s="2"/>
      <c r="D128" s="2"/>
      <c r="E128" s="2"/>
      <c r="F128" s="2"/>
      <c r="G128" s="82"/>
      <c r="H128" s="8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2:47" ht="15.75" customHeight="1" x14ac:dyDescent="0.2">
      <c r="B129" s="2"/>
      <c r="C129" s="2"/>
      <c r="D129" s="2"/>
      <c r="E129" s="2"/>
      <c r="F129" s="2"/>
      <c r="G129" s="82"/>
      <c r="H129" s="8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2:47" ht="15.75" customHeight="1" x14ac:dyDescent="0.2">
      <c r="B130" s="2"/>
      <c r="C130" s="2"/>
      <c r="D130" s="2"/>
      <c r="E130" s="2"/>
      <c r="F130" s="2"/>
      <c r="G130" s="82"/>
      <c r="H130" s="8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2:47" ht="15.75" customHeight="1" x14ac:dyDescent="0.2">
      <c r="B131" s="2"/>
      <c r="C131" s="2"/>
      <c r="D131" s="2"/>
      <c r="E131" s="2"/>
      <c r="F131" s="2"/>
      <c r="G131" s="82"/>
      <c r="H131" s="8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2:47" ht="15.75" customHeight="1" x14ac:dyDescent="0.2">
      <c r="B132" s="2"/>
      <c r="C132" s="2"/>
      <c r="D132" s="2"/>
      <c r="E132" s="2"/>
      <c r="F132" s="2"/>
      <c r="G132" s="82"/>
      <c r="H132" s="8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2:47" ht="15.75" customHeight="1" x14ac:dyDescent="0.2">
      <c r="B133" s="2"/>
      <c r="C133" s="2"/>
      <c r="D133" s="2"/>
      <c r="E133" s="2"/>
      <c r="F133" s="2"/>
      <c r="G133" s="82"/>
      <c r="H133" s="8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2:47" ht="15.75" customHeight="1" x14ac:dyDescent="0.2">
      <c r="B134" s="2"/>
      <c r="C134" s="2"/>
      <c r="D134" s="2"/>
      <c r="E134" s="2"/>
      <c r="F134" s="2"/>
      <c r="G134" s="82"/>
      <c r="H134" s="8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2:47" ht="15.75" customHeight="1" x14ac:dyDescent="0.2">
      <c r="B135" s="2"/>
      <c r="C135" s="2"/>
      <c r="D135" s="2"/>
      <c r="E135" s="2"/>
      <c r="F135" s="2"/>
      <c r="G135" s="82"/>
      <c r="H135" s="8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2:47" ht="15.75" customHeight="1" x14ac:dyDescent="0.2">
      <c r="B136" s="2"/>
      <c r="C136" s="2"/>
      <c r="D136" s="2"/>
      <c r="E136" s="2"/>
      <c r="F136" s="2"/>
      <c r="G136" s="82"/>
      <c r="H136" s="8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2:47" ht="15.75" customHeight="1" x14ac:dyDescent="0.2">
      <c r="B137" s="2"/>
      <c r="C137" s="2"/>
      <c r="D137" s="2"/>
      <c r="E137" s="2"/>
      <c r="F137" s="2"/>
      <c r="G137" s="82"/>
      <c r="H137" s="8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2:47" ht="15.75" customHeight="1" x14ac:dyDescent="0.2">
      <c r="B138" s="2"/>
      <c r="C138" s="2"/>
      <c r="D138" s="2"/>
      <c r="E138" s="2"/>
      <c r="F138" s="2"/>
      <c r="G138" s="82"/>
      <c r="H138" s="8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2:47" ht="15.75" customHeight="1" x14ac:dyDescent="0.2">
      <c r="B139" s="2"/>
      <c r="C139" s="2"/>
      <c r="D139" s="2"/>
      <c r="E139" s="2"/>
      <c r="F139" s="2"/>
      <c r="G139" s="82"/>
      <c r="H139" s="8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2:47" ht="15.75" customHeight="1" x14ac:dyDescent="0.2">
      <c r="B140" s="2"/>
      <c r="C140" s="2"/>
      <c r="D140" s="2"/>
      <c r="E140" s="2"/>
      <c r="F140" s="2"/>
      <c r="G140" s="82"/>
      <c r="H140" s="8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2:47" ht="15.75" customHeight="1" x14ac:dyDescent="0.2">
      <c r="B141" s="2"/>
      <c r="C141" s="2"/>
      <c r="D141" s="2"/>
      <c r="E141" s="2"/>
      <c r="F141" s="2"/>
      <c r="G141" s="82"/>
      <c r="H141" s="8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2:47" ht="15.75" customHeight="1" x14ac:dyDescent="0.2">
      <c r="B142" s="2"/>
      <c r="C142" s="2"/>
      <c r="D142" s="2"/>
      <c r="E142" s="2"/>
      <c r="F142" s="2"/>
      <c r="G142" s="82"/>
      <c r="H142" s="8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2:47" ht="15.75" customHeight="1" x14ac:dyDescent="0.2">
      <c r="B143" s="2"/>
      <c r="C143" s="2"/>
      <c r="D143" s="2"/>
      <c r="E143" s="2"/>
      <c r="F143" s="2"/>
      <c r="G143" s="82"/>
      <c r="H143" s="8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2:47" ht="15.75" customHeight="1" x14ac:dyDescent="0.2">
      <c r="B144" s="2"/>
      <c r="C144" s="2"/>
      <c r="D144" s="2"/>
      <c r="E144" s="2"/>
      <c r="F144" s="2"/>
      <c r="G144" s="82"/>
      <c r="H144" s="8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2:47" ht="15.75" customHeight="1" x14ac:dyDescent="0.2">
      <c r="B145" s="2"/>
      <c r="C145" s="2"/>
      <c r="D145" s="2"/>
      <c r="E145" s="2"/>
      <c r="F145" s="2"/>
      <c r="G145" s="82"/>
      <c r="H145" s="8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2:47" ht="15.75" customHeight="1" x14ac:dyDescent="0.2">
      <c r="B146" s="2"/>
      <c r="C146" s="2"/>
      <c r="D146" s="2"/>
      <c r="E146" s="2"/>
      <c r="F146" s="2"/>
      <c r="G146" s="82"/>
      <c r="H146" s="8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2:47" ht="15.75" customHeight="1" x14ac:dyDescent="0.2">
      <c r="B147" s="2"/>
      <c r="C147" s="2"/>
      <c r="D147" s="2"/>
      <c r="E147" s="2"/>
      <c r="F147" s="2"/>
      <c r="G147" s="82"/>
      <c r="H147" s="8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2:47" ht="15.75" customHeight="1" x14ac:dyDescent="0.2">
      <c r="B148" s="2"/>
      <c r="C148" s="2"/>
      <c r="D148" s="2"/>
      <c r="E148" s="2"/>
      <c r="F148" s="2"/>
      <c r="G148" s="82"/>
      <c r="H148" s="8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2:47" ht="15.75" customHeight="1" x14ac:dyDescent="0.2">
      <c r="B149" s="2"/>
      <c r="C149" s="2"/>
      <c r="D149" s="2"/>
      <c r="E149" s="2"/>
      <c r="F149" s="2"/>
      <c r="G149" s="82"/>
      <c r="H149" s="8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2:47" ht="15.75" customHeight="1" x14ac:dyDescent="0.2">
      <c r="B150" s="2"/>
      <c r="C150" s="2"/>
      <c r="D150" s="2"/>
      <c r="E150" s="2"/>
      <c r="F150" s="2"/>
      <c r="G150" s="82"/>
      <c r="H150" s="8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2:47" ht="15.75" customHeight="1" x14ac:dyDescent="0.2">
      <c r="B151" s="2"/>
      <c r="C151" s="2"/>
      <c r="D151" s="2"/>
      <c r="E151" s="2"/>
      <c r="F151" s="2"/>
      <c r="G151" s="82"/>
      <c r="H151" s="8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2:47" ht="15.75" customHeight="1" x14ac:dyDescent="0.2">
      <c r="B152" s="2"/>
      <c r="C152" s="2"/>
      <c r="D152" s="2"/>
      <c r="E152" s="2"/>
      <c r="F152" s="2"/>
      <c r="G152" s="82"/>
      <c r="H152" s="8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2:47" ht="15.75" customHeight="1" x14ac:dyDescent="0.2">
      <c r="B153" s="2"/>
      <c r="C153" s="2"/>
      <c r="D153" s="2"/>
      <c r="E153" s="2"/>
      <c r="F153" s="2"/>
      <c r="G153" s="82"/>
      <c r="H153" s="8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 ht="15.75" customHeight="1" x14ac:dyDescent="0.2">
      <c r="B154" s="2"/>
      <c r="C154" s="2"/>
      <c r="D154" s="2"/>
      <c r="E154" s="2"/>
      <c r="F154" s="2"/>
      <c r="G154" s="82"/>
      <c r="H154" s="8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2:47" ht="15.75" customHeight="1" x14ac:dyDescent="0.2">
      <c r="B155" s="2"/>
      <c r="C155" s="2"/>
      <c r="D155" s="2"/>
      <c r="E155" s="2"/>
      <c r="F155" s="2"/>
      <c r="G155" s="82"/>
      <c r="H155" s="8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2:47" ht="15.75" customHeight="1" x14ac:dyDescent="0.2">
      <c r="B156" s="2"/>
      <c r="C156" s="2"/>
      <c r="D156" s="2"/>
      <c r="E156" s="2"/>
      <c r="F156" s="2"/>
      <c r="G156" s="82"/>
      <c r="H156" s="8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2:47" ht="15.75" customHeight="1" x14ac:dyDescent="0.2">
      <c r="B157" s="2"/>
      <c r="C157" s="2"/>
      <c r="D157" s="2"/>
      <c r="E157" s="2"/>
      <c r="F157" s="2"/>
      <c r="G157" s="82"/>
      <c r="H157" s="8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2:47" ht="15.75" customHeight="1" x14ac:dyDescent="0.2">
      <c r="B158" s="2"/>
      <c r="C158" s="2"/>
      <c r="D158" s="2"/>
      <c r="E158" s="2"/>
      <c r="F158" s="2"/>
      <c r="G158" s="82"/>
      <c r="H158" s="8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2:47" ht="15.75" customHeight="1" x14ac:dyDescent="0.2">
      <c r="B159" s="2"/>
      <c r="C159" s="2"/>
      <c r="D159" s="2"/>
      <c r="E159" s="2"/>
      <c r="F159" s="2"/>
      <c r="G159" s="82"/>
      <c r="H159" s="8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2:47" ht="15.75" customHeight="1" x14ac:dyDescent="0.2">
      <c r="B160" s="2"/>
      <c r="C160" s="2"/>
      <c r="D160" s="2"/>
      <c r="E160" s="2"/>
      <c r="F160" s="2"/>
      <c r="G160" s="82"/>
      <c r="H160" s="8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2:47" ht="15.75" customHeight="1" x14ac:dyDescent="0.2">
      <c r="B161" s="2"/>
      <c r="C161" s="2"/>
      <c r="D161" s="2"/>
      <c r="E161" s="2"/>
      <c r="F161" s="2"/>
      <c r="G161" s="82"/>
      <c r="H161" s="8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2:47" ht="15.75" customHeight="1" x14ac:dyDescent="0.2">
      <c r="B162" s="2"/>
      <c r="C162" s="2"/>
      <c r="D162" s="2"/>
      <c r="E162" s="2"/>
      <c r="F162" s="2"/>
      <c r="G162" s="82"/>
      <c r="H162" s="8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2:47" ht="15.75" customHeight="1" x14ac:dyDescent="0.2">
      <c r="B163" s="2"/>
      <c r="C163" s="2"/>
      <c r="D163" s="2"/>
      <c r="E163" s="2"/>
      <c r="F163" s="2"/>
      <c r="G163" s="82"/>
      <c r="H163" s="8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2:47" ht="15.75" customHeight="1" x14ac:dyDescent="0.2">
      <c r="B164" s="2"/>
      <c r="C164" s="2"/>
      <c r="D164" s="2"/>
      <c r="E164" s="2"/>
      <c r="F164" s="2"/>
      <c r="G164" s="82"/>
      <c r="H164" s="8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2:47" ht="15.75" customHeight="1" x14ac:dyDescent="0.2">
      <c r="B165" s="2"/>
      <c r="C165" s="2"/>
      <c r="D165" s="2"/>
      <c r="E165" s="2"/>
      <c r="F165" s="2"/>
      <c r="G165" s="82"/>
      <c r="H165" s="8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2:47" ht="15.75" customHeight="1" x14ac:dyDescent="0.2">
      <c r="B166" s="2"/>
      <c r="C166" s="2"/>
      <c r="D166" s="2"/>
      <c r="E166" s="2"/>
      <c r="F166" s="2"/>
      <c r="G166" s="82"/>
      <c r="H166" s="8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2:47" ht="15.75" customHeight="1" x14ac:dyDescent="0.2">
      <c r="B167" s="2"/>
      <c r="C167" s="2"/>
      <c r="D167" s="2"/>
      <c r="E167" s="2"/>
      <c r="F167" s="2"/>
      <c r="G167" s="82"/>
      <c r="H167" s="8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2:47" ht="15.75" customHeight="1" x14ac:dyDescent="0.2">
      <c r="B168" s="2"/>
      <c r="C168" s="2"/>
      <c r="D168" s="2"/>
      <c r="E168" s="2"/>
      <c r="F168" s="2"/>
      <c r="G168" s="82"/>
      <c r="H168" s="8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2:47" ht="15.75" customHeight="1" x14ac:dyDescent="0.2">
      <c r="B169" s="2"/>
      <c r="C169" s="2"/>
      <c r="D169" s="2"/>
      <c r="E169" s="2"/>
      <c r="F169" s="2"/>
      <c r="G169" s="82"/>
      <c r="H169" s="8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2:47" ht="15.75" customHeight="1" x14ac:dyDescent="0.2">
      <c r="B170" s="2"/>
      <c r="C170" s="2"/>
      <c r="D170" s="2"/>
      <c r="E170" s="2"/>
      <c r="F170" s="2"/>
      <c r="G170" s="82"/>
      <c r="H170" s="8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2:47" ht="15.75" customHeight="1" x14ac:dyDescent="0.2">
      <c r="B171" s="2"/>
      <c r="C171" s="2"/>
      <c r="D171" s="2"/>
      <c r="E171" s="2"/>
      <c r="F171" s="2"/>
      <c r="G171" s="82"/>
      <c r="H171" s="8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2:47" ht="15.75" customHeight="1" x14ac:dyDescent="0.2">
      <c r="B172" s="2"/>
      <c r="C172" s="2"/>
      <c r="D172" s="2"/>
      <c r="E172" s="2"/>
      <c r="F172" s="2"/>
      <c r="G172" s="82"/>
      <c r="H172" s="8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2:47" ht="15.75" customHeight="1" x14ac:dyDescent="0.2">
      <c r="B173" s="2"/>
      <c r="C173" s="2"/>
      <c r="D173" s="2"/>
      <c r="E173" s="2"/>
      <c r="F173" s="2"/>
      <c r="G173" s="82"/>
      <c r="H173" s="8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2:47" ht="15.75" customHeight="1" x14ac:dyDescent="0.2">
      <c r="B174" s="2"/>
      <c r="C174" s="2"/>
      <c r="D174" s="2"/>
      <c r="E174" s="2"/>
      <c r="F174" s="2"/>
      <c r="G174" s="82"/>
      <c r="H174" s="8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2:47" ht="15.75" customHeight="1" x14ac:dyDescent="0.2">
      <c r="B175" s="2"/>
      <c r="C175" s="2"/>
      <c r="D175" s="2"/>
      <c r="E175" s="2"/>
      <c r="F175" s="2"/>
      <c r="G175" s="82"/>
      <c r="H175" s="8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2:47" ht="15.75" customHeight="1" x14ac:dyDescent="0.2">
      <c r="B176" s="2"/>
      <c r="C176" s="2"/>
      <c r="D176" s="27"/>
      <c r="E176" s="27"/>
      <c r="F176" s="27"/>
      <c r="G176" s="215"/>
      <c r="H176" s="215"/>
      <c r="I176" s="27"/>
      <c r="J176" s="27"/>
      <c r="K176" s="27"/>
      <c r="L176" s="27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2:47" ht="15.75" customHeight="1" x14ac:dyDescent="0.2">
      <c r="B177" s="2"/>
      <c r="C177" s="2"/>
      <c r="D177" s="27"/>
      <c r="E177" s="27"/>
      <c r="F177" s="27"/>
      <c r="G177" s="215"/>
      <c r="H177" s="215"/>
      <c r="I177" s="27"/>
      <c r="J177" s="27"/>
      <c r="K177" s="27"/>
      <c r="L177" s="27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2:47" ht="15.75" customHeight="1" x14ac:dyDescent="0.2">
      <c r="B178" s="2"/>
      <c r="C178" s="2"/>
      <c r="D178" s="27"/>
      <c r="E178" s="27"/>
      <c r="F178" s="27"/>
      <c r="G178" s="215"/>
      <c r="H178" s="215"/>
      <c r="I178" s="27"/>
      <c r="J178" s="27"/>
      <c r="K178" s="27"/>
      <c r="L178" s="27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2:47" ht="15.75" customHeight="1" x14ac:dyDescent="0.2">
      <c r="B179" s="2"/>
      <c r="C179" s="2"/>
      <c r="D179" s="27"/>
      <c r="E179" s="27"/>
      <c r="F179" s="27"/>
      <c r="G179" s="215"/>
      <c r="H179" s="215"/>
      <c r="I179" s="27"/>
      <c r="J179" s="27"/>
      <c r="K179" s="27"/>
      <c r="L179" s="2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2:47" ht="15.75" customHeight="1" x14ac:dyDescent="0.2">
      <c r="B180" s="2"/>
      <c r="C180" s="2"/>
      <c r="D180" s="27"/>
      <c r="E180" s="27"/>
      <c r="F180" s="27"/>
      <c r="G180" s="215"/>
      <c r="H180" s="215"/>
      <c r="I180" s="27"/>
      <c r="J180" s="27"/>
      <c r="K180" s="27"/>
      <c r="L180" s="2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2:47" ht="15.75" customHeight="1" x14ac:dyDescent="0.2">
      <c r="B181" s="2"/>
      <c r="C181" s="2"/>
      <c r="D181" s="27"/>
      <c r="E181" s="27"/>
      <c r="F181" s="27"/>
      <c r="G181" s="215"/>
      <c r="H181" s="215"/>
      <c r="I181" s="27"/>
      <c r="J181" s="27"/>
      <c r="K181" s="27"/>
      <c r="L181" s="2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2:47" ht="15.75" customHeight="1" x14ac:dyDescent="0.2">
      <c r="B182" s="2"/>
      <c r="C182" s="2"/>
      <c r="D182" s="27"/>
      <c r="E182" s="27"/>
      <c r="F182" s="27"/>
      <c r="G182" s="215"/>
      <c r="H182" s="215"/>
      <c r="I182" s="27"/>
      <c r="J182" s="27"/>
      <c r="K182" s="27"/>
      <c r="L182" s="27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2:47" ht="15.75" customHeight="1" x14ac:dyDescent="0.2">
      <c r="B183" s="2"/>
      <c r="C183" s="2"/>
      <c r="D183" s="27"/>
      <c r="E183" s="27"/>
      <c r="F183" s="27"/>
      <c r="G183" s="215"/>
      <c r="H183" s="215"/>
      <c r="I183" s="27"/>
      <c r="J183" s="27"/>
      <c r="K183" s="27"/>
      <c r="L183" s="2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2:47" ht="15.75" customHeight="1" x14ac:dyDescent="0.2">
      <c r="B184" s="2"/>
      <c r="C184" s="2"/>
      <c r="D184" s="27"/>
      <c r="E184" s="27"/>
      <c r="F184" s="27"/>
      <c r="G184" s="215"/>
      <c r="H184" s="215"/>
      <c r="I184" s="27"/>
      <c r="J184" s="27"/>
      <c r="K184" s="27"/>
      <c r="L184" s="2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2:47" ht="15.75" customHeight="1" x14ac:dyDescent="0.2">
      <c r="B185" s="2"/>
      <c r="C185" s="2"/>
      <c r="D185" s="27"/>
      <c r="E185" s="27"/>
      <c r="F185" s="27"/>
      <c r="G185" s="215"/>
      <c r="H185" s="215"/>
      <c r="I185" s="27"/>
      <c r="J185" s="27"/>
      <c r="K185" s="27"/>
      <c r="L185" s="2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2:47" ht="15.75" customHeight="1" x14ac:dyDescent="0.2">
      <c r="B186" s="2"/>
      <c r="C186" s="2"/>
      <c r="D186" s="27"/>
      <c r="E186" s="27"/>
      <c r="F186" s="27"/>
      <c r="G186" s="215"/>
      <c r="H186" s="215"/>
      <c r="I186" s="27"/>
      <c r="J186" s="27"/>
      <c r="K186" s="27"/>
      <c r="L186" s="2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2:47" ht="15.75" customHeight="1" x14ac:dyDescent="0.2">
      <c r="B187" s="2"/>
      <c r="C187" s="2"/>
      <c r="D187" s="27"/>
      <c r="E187" s="27"/>
      <c r="F187" s="27"/>
      <c r="G187" s="215"/>
      <c r="H187" s="215"/>
      <c r="I187" s="27"/>
      <c r="J187" s="27"/>
      <c r="K187" s="27"/>
      <c r="L187" s="2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2:47" ht="15.75" customHeight="1" x14ac:dyDescent="0.2">
      <c r="B188" s="2"/>
      <c r="C188" s="2"/>
      <c r="D188" s="27"/>
      <c r="E188" s="27"/>
      <c r="F188" s="27"/>
      <c r="G188" s="215"/>
      <c r="H188" s="215"/>
      <c r="I188" s="27"/>
      <c r="J188" s="27"/>
      <c r="K188" s="27"/>
      <c r="L188" s="2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2:47" ht="15.75" customHeight="1" x14ac:dyDescent="0.2">
      <c r="B189" s="2"/>
      <c r="C189" s="2"/>
      <c r="D189" s="27"/>
      <c r="E189" s="27"/>
      <c r="F189" s="27"/>
      <c r="G189" s="215"/>
      <c r="H189" s="215"/>
      <c r="I189" s="27"/>
      <c r="J189" s="27"/>
      <c r="K189" s="27"/>
      <c r="L189" s="2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2:47" ht="15.75" customHeight="1" x14ac:dyDescent="0.2">
      <c r="B190" s="2"/>
      <c r="C190" s="2"/>
      <c r="D190" s="27"/>
      <c r="E190" s="27"/>
      <c r="F190" s="27"/>
      <c r="G190" s="215"/>
      <c r="H190" s="215"/>
      <c r="I190" s="27"/>
      <c r="J190" s="27"/>
      <c r="K190" s="27"/>
      <c r="L190" s="27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2:47" ht="15.75" customHeight="1" x14ac:dyDescent="0.2">
      <c r="B191" s="2"/>
      <c r="C191" s="2"/>
      <c r="D191" s="27"/>
      <c r="E191" s="27"/>
      <c r="F191" s="27"/>
      <c r="G191" s="215"/>
      <c r="H191" s="215"/>
      <c r="I191" s="27"/>
      <c r="J191" s="27"/>
      <c r="K191" s="27"/>
      <c r="L191" s="27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2:47" ht="15.75" customHeight="1" x14ac:dyDescent="0.2">
      <c r="B192" s="2"/>
      <c r="C192" s="2"/>
      <c r="D192" s="27"/>
      <c r="E192" s="27"/>
      <c r="F192" s="27"/>
      <c r="G192" s="215"/>
      <c r="H192" s="215"/>
      <c r="I192" s="27"/>
      <c r="J192" s="27"/>
      <c r="K192" s="27"/>
      <c r="L192" s="2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2:47" ht="15.75" customHeight="1" x14ac:dyDescent="0.2">
      <c r="B193" s="2"/>
      <c r="C193" s="2"/>
      <c r="D193" s="27"/>
      <c r="E193" s="27"/>
      <c r="F193" s="27"/>
      <c r="G193" s="215"/>
      <c r="H193" s="215"/>
      <c r="I193" s="27"/>
      <c r="J193" s="27"/>
      <c r="K193" s="27"/>
      <c r="L193" s="2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2:47" ht="15.75" customHeight="1" x14ac:dyDescent="0.2">
      <c r="B194" s="2"/>
      <c r="C194" s="2"/>
      <c r="D194" s="27"/>
      <c r="E194" s="27"/>
      <c r="F194" s="27"/>
      <c r="G194" s="215"/>
      <c r="H194" s="215"/>
      <c r="I194" s="27"/>
      <c r="J194" s="27"/>
      <c r="K194" s="27"/>
      <c r="L194" s="27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2:47" ht="15.75" customHeight="1" x14ac:dyDescent="0.2">
      <c r="B195" s="2"/>
      <c r="C195" s="2"/>
      <c r="D195" s="27"/>
      <c r="E195" s="27"/>
      <c r="F195" s="27"/>
      <c r="G195" s="215"/>
      <c r="H195" s="215"/>
      <c r="I195" s="27"/>
      <c r="J195" s="27"/>
      <c r="K195" s="27"/>
      <c r="L195" s="27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2:47" ht="15.75" customHeight="1" x14ac:dyDescent="0.2">
      <c r="B196" s="2"/>
      <c r="C196" s="2"/>
      <c r="D196" s="27"/>
      <c r="E196" s="27"/>
      <c r="F196" s="27"/>
      <c r="G196" s="215"/>
      <c r="H196" s="215"/>
      <c r="I196" s="27"/>
      <c r="J196" s="27"/>
      <c r="K196" s="27"/>
      <c r="L196" s="27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2:47" ht="15.75" customHeight="1" x14ac:dyDescent="0.2">
      <c r="B197" s="2"/>
      <c r="C197" s="2"/>
      <c r="D197" s="27"/>
      <c r="E197" s="27"/>
      <c r="F197" s="27"/>
      <c r="G197" s="215"/>
      <c r="H197" s="215"/>
      <c r="I197" s="27"/>
      <c r="J197" s="27"/>
      <c r="K197" s="27"/>
      <c r="L197" s="27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2:47" ht="15.75" customHeight="1" x14ac:dyDescent="0.2">
      <c r="B198" s="2"/>
      <c r="C198" s="2"/>
      <c r="D198" s="27"/>
      <c r="E198" s="27"/>
      <c r="F198" s="27"/>
      <c r="G198" s="215"/>
      <c r="H198" s="215"/>
      <c r="I198" s="27"/>
      <c r="J198" s="27"/>
      <c r="K198" s="27"/>
      <c r="L198" s="27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2:47" ht="15.75" customHeight="1" x14ac:dyDescent="0.2">
      <c r="B199" s="2"/>
      <c r="C199" s="2"/>
      <c r="D199" s="27"/>
      <c r="E199" s="27"/>
      <c r="F199" s="27"/>
      <c r="G199" s="215"/>
      <c r="H199" s="215"/>
      <c r="I199" s="27"/>
      <c r="J199" s="27"/>
      <c r="K199" s="27"/>
      <c r="L199" s="27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2:47" ht="15.75" customHeight="1" x14ac:dyDescent="0.2">
      <c r="B200" s="2"/>
      <c r="C200" s="2"/>
      <c r="D200" s="27"/>
      <c r="E200" s="27"/>
      <c r="F200" s="27"/>
      <c r="G200" s="215"/>
      <c r="H200" s="215"/>
      <c r="I200" s="27"/>
      <c r="J200" s="27"/>
      <c r="K200" s="27"/>
      <c r="L200" s="27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2:47" ht="15.75" customHeight="1" x14ac:dyDescent="0.2">
      <c r="B201" s="2"/>
      <c r="C201" s="2"/>
      <c r="D201" s="27"/>
      <c r="E201" s="27"/>
      <c r="F201" s="27"/>
      <c r="G201" s="215"/>
      <c r="H201" s="215"/>
      <c r="I201" s="27"/>
      <c r="J201" s="27"/>
      <c r="K201" s="27"/>
      <c r="L201" s="27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2:47" ht="15.75" customHeight="1" x14ac:dyDescent="0.2">
      <c r="B202" s="2"/>
      <c r="C202" s="2"/>
      <c r="D202" s="27"/>
      <c r="E202" s="27"/>
      <c r="F202" s="27"/>
      <c r="G202" s="215"/>
      <c r="H202" s="215"/>
      <c r="I202" s="27"/>
      <c r="J202" s="27"/>
      <c r="K202" s="27"/>
      <c r="L202" s="27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2:47" ht="15.75" customHeight="1" x14ac:dyDescent="0.2">
      <c r="B203" s="2"/>
      <c r="C203" s="2"/>
      <c r="D203" s="27"/>
      <c r="E203" s="27"/>
      <c r="F203" s="27"/>
      <c r="G203" s="215"/>
      <c r="H203" s="215"/>
      <c r="I203" s="27"/>
      <c r="J203" s="27"/>
      <c r="K203" s="27"/>
      <c r="L203" s="27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2:47" ht="15.75" customHeight="1" x14ac:dyDescent="0.2">
      <c r="B204" s="2"/>
      <c r="C204" s="2"/>
      <c r="D204" s="27"/>
      <c r="E204" s="27"/>
      <c r="F204" s="27"/>
      <c r="G204" s="215"/>
      <c r="H204" s="215"/>
      <c r="I204" s="27"/>
      <c r="J204" s="27"/>
      <c r="K204" s="27"/>
      <c r="L204" s="27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2:47" ht="15.75" customHeight="1" x14ac:dyDescent="0.2">
      <c r="B205" s="2"/>
      <c r="C205" s="2"/>
      <c r="D205" s="27"/>
      <c r="E205" s="27"/>
      <c r="F205" s="27"/>
      <c r="G205" s="215"/>
      <c r="H205" s="215"/>
      <c r="I205" s="27"/>
      <c r="J205" s="27"/>
      <c r="K205" s="27"/>
      <c r="L205" s="27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2:47" ht="15.75" customHeight="1" x14ac:dyDescent="0.2">
      <c r="B206" s="2"/>
      <c r="C206" s="2"/>
      <c r="D206" s="27"/>
      <c r="E206" s="27"/>
      <c r="F206" s="27"/>
      <c r="G206" s="215"/>
      <c r="H206" s="215"/>
      <c r="I206" s="27"/>
      <c r="J206" s="27"/>
      <c r="K206" s="27"/>
      <c r="L206" s="27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2:47" ht="15.75" customHeight="1" x14ac:dyDescent="0.2">
      <c r="B207" s="2"/>
      <c r="C207" s="2"/>
      <c r="D207" s="27"/>
      <c r="E207" s="27"/>
      <c r="F207" s="27"/>
      <c r="G207" s="215"/>
      <c r="H207" s="215"/>
      <c r="I207" s="27"/>
      <c r="J207" s="27"/>
      <c r="K207" s="27"/>
      <c r="L207" s="27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2:47" ht="15.75" customHeight="1" x14ac:dyDescent="0.2">
      <c r="B208" s="2"/>
      <c r="C208" s="2"/>
      <c r="D208" s="27"/>
      <c r="E208" s="27"/>
      <c r="F208" s="27"/>
      <c r="G208" s="215"/>
      <c r="H208" s="215"/>
      <c r="I208" s="27"/>
      <c r="J208" s="27"/>
      <c r="K208" s="27"/>
      <c r="L208" s="27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2:47" ht="15.75" customHeight="1" x14ac:dyDescent="0.2">
      <c r="B209" s="2"/>
      <c r="C209" s="2"/>
      <c r="D209" s="27"/>
      <c r="E209" s="27"/>
      <c r="F209" s="27"/>
      <c r="G209" s="215"/>
      <c r="H209" s="215"/>
      <c r="I209" s="27"/>
      <c r="J209" s="27"/>
      <c r="K209" s="27"/>
      <c r="L209" s="27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2:47" ht="15.75" customHeight="1" x14ac:dyDescent="0.2">
      <c r="B210" s="2"/>
      <c r="C210" s="2"/>
      <c r="D210" s="27"/>
      <c r="E210" s="27"/>
      <c r="F210" s="27"/>
      <c r="G210" s="215"/>
      <c r="H210" s="215"/>
      <c r="I210" s="27"/>
      <c r="J210" s="27"/>
      <c r="K210" s="27"/>
      <c r="L210" s="27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2:47" ht="15.75" customHeight="1" x14ac:dyDescent="0.2">
      <c r="B211" s="2"/>
      <c r="C211" s="2"/>
      <c r="D211" s="27"/>
      <c r="E211" s="27"/>
      <c r="F211" s="27"/>
      <c r="G211" s="215"/>
      <c r="H211" s="215"/>
      <c r="I211" s="27"/>
      <c r="J211" s="27"/>
      <c r="K211" s="27"/>
      <c r="L211" s="27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2:47" ht="15.75" customHeight="1" x14ac:dyDescent="0.2">
      <c r="B212" s="2"/>
      <c r="C212" s="2"/>
      <c r="D212" s="27"/>
      <c r="E212" s="27"/>
      <c r="F212" s="27"/>
      <c r="G212" s="215"/>
      <c r="H212" s="215"/>
      <c r="I212" s="27"/>
      <c r="J212" s="27"/>
      <c r="K212" s="27"/>
      <c r="L212" s="27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2:47" ht="15.75" customHeight="1" x14ac:dyDescent="0.2">
      <c r="B213" s="2"/>
      <c r="C213" s="2"/>
      <c r="D213" s="27"/>
      <c r="E213" s="27"/>
      <c r="F213" s="27"/>
      <c r="G213" s="215"/>
      <c r="H213" s="215"/>
      <c r="I213" s="27"/>
      <c r="J213" s="27"/>
      <c r="K213" s="27"/>
      <c r="L213" s="27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2:47" ht="15.75" customHeight="1" x14ac:dyDescent="0.2">
      <c r="B214" s="2"/>
      <c r="C214" s="2"/>
      <c r="D214" s="27"/>
      <c r="E214" s="27"/>
      <c r="F214" s="27"/>
      <c r="G214" s="215"/>
      <c r="H214" s="215"/>
      <c r="I214" s="27"/>
      <c r="J214" s="27"/>
      <c r="K214" s="27"/>
      <c r="L214" s="27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2:47" ht="15.75" customHeight="1" x14ac:dyDescent="0.2">
      <c r="B215" s="2"/>
      <c r="C215" s="2"/>
      <c r="D215" s="27"/>
      <c r="E215" s="27"/>
      <c r="F215" s="27"/>
      <c r="G215" s="215"/>
      <c r="H215" s="215"/>
      <c r="I215" s="27"/>
      <c r="J215" s="27"/>
      <c r="K215" s="27"/>
      <c r="L215" s="27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2:47" ht="15.75" customHeight="1" x14ac:dyDescent="0.2">
      <c r="B216" s="2"/>
      <c r="C216" s="2"/>
      <c r="D216" s="27"/>
      <c r="E216" s="27"/>
      <c r="F216" s="27"/>
      <c r="G216" s="215"/>
      <c r="H216" s="215"/>
      <c r="I216" s="27"/>
      <c r="J216" s="27"/>
      <c r="K216" s="27"/>
      <c r="L216" s="27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2:47" ht="15.75" customHeight="1" x14ac:dyDescent="0.2">
      <c r="B217" s="2"/>
      <c r="C217" s="2"/>
      <c r="D217" s="27"/>
      <c r="E217" s="27"/>
      <c r="F217" s="27"/>
      <c r="G217" s="215"/>
      <c r="H217" s="215"/>
      <c r="I217" s="27"/>
      <c r="J217" s="27"/>
      <c r="K217" s="27"/>
      <c r="L217" s="27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2:47" ht="15.75" customHeight="1" x14ac:dyDescent="0.2">
      <c r="B218" s="2"/>
      <c r="C218" s="2"/>
      <c r="D218" s="27"/>
      <c r="E218" s="27"/>
      <c r="F218" s="27"/>
      <c r="G218" s="215"/>
      <c r="H218" s="215"/>
      <c r="I218" s="27"/>
      <c r="J218" s="27"/>
      <c r="K218" s="27"/>
      <c r="L218" s="2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2:47" ht="15.75" customHeight="1" x14ac:dyDescent="0.2">
      <c r="B219" s="2"/>
      <c r="C219" s="2"/>
      <c r="D219" s="27"/>
      <c r="E219" s="27"/>
      <c r="F219" s="27"/>
      <c r="G219" s="215"/>
      <c r="H219" s="215"/>
      <c r="I219" s="27"/>
      <c r="J219" s="27"/>
      <c r="K219" s="27"/>
      <c r="L219" s="2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2:47" ht="15.75" customHeight="1" x14ac:dyDescent="0.2">
      <c r="B220" s="2"/>
      <c r="C220" s="2"/>
      <c r="D220" s="27"/>
      <c r="E220" s="27"/>
      <c r="F220" s="27"/>
      <c r="G220" s="215"/>
      <c r="H220" s="215"/>
      <c r="I220" s="27"/>
      <c r="J220" s="27"/>
      <c r="K220" s="27"/>
      <c r="L220" s="2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2:47" ht="15.75" customHeight="1" x14ac:dyDescent="0.2">
      <c r="B221" s="2"/>
      <c r="C221" s="2"/>
      <c r="D221" s="27"/>
      <c r="E221" s="27"/>
      <c r="F221" s="27"/>
      <c r="G221" s="215"/>
      <c r="H221" s="215"/>
      <c r="I221" s="27"/>
      <c r="J221" s="27"/>
      <c r="K221" s="27"/>
      <c r="L221" s="2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2:47" ht="15.75" customHeight="1" x14ac:dyDescent="0.2">
      <c r="B222" s="2"/>
      <c r="C222" s="2"/>
      <c r="D222" s="27"/>
      <c r="E222" s="27"/>
      <c r="F222" s="27"/>
      <c r="G222" s="215"/>
      <c r="H222" s="215"/>
      <c r="I222" s="27"/>
      <c r="J222" s="27"/>
      <c r="K222" s="27"/>
      <c r="L222" s="2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2:47" ht="15.75" customHeight="1" x14ac:dyDescent="0.2">
      <c r="B223" s="2"/>
      <c r="C223" s="2"/>
      <c r="D223" s="27"/>
      <c r="E223" s="27"/>
      <c r="F223" s="27"/>
      <c r="G223" s="215"/>
      <c r="H223" s="215"/>
      <c r="I223" s="27"/>
      <c r="J223" s="27"/>
      <c r="K223" s="27"/>
      <c r="L223" s="2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2:47" ht="15.75" customHeight="1" x14ac:dyDescent="0.2">
      <c r="B224" s="2"/>
      <c r="C224" s="2"/>
      <c r="D224" s="27"/>
      <c r="E224" s="27"/>
      <c r="F224" s="27"/>
      <c r="G224" s="215"/>
      <c r="H224" s="215"/>
      <c r="I224" s="27"/>
      <c r="J224" s="27"/>
      <c r="K224" s="27"/>
      <c r="L224" s="2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2:47" ht="15.75" customHeight="1" x14ac:dyDescent="0.2">
      <c r="B225" s="2"/>
      <c r="C225" s="2"/>
      <c r="D225" s="27"/>
      <c r="E225" s="27"/>
      <c r="F225" s="27"/>
      <c r="G225" s="215"/>
      <c r="H225" s="215"/>
      <c r="I225" s="27"/>
      <c r="J225" s="27"/>
      <c r="K225" s="27"/>
      <c r="L225" s="2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2:47" ht="15.75" customHeight="1" x14ac:dyDescent="0.2">
      <c r="B226" s="2"/>
      <c r="C226" s="2"/>
      <c r="D226" s="27"/>
      <c r="E226" s="27"/>
      <c r="F226" s="27"/>
      <c r="G226" s="215"/>
      <c r="H226" s="215"/>
      <c r="I226" s="27"/>
      <c r="J226" s="27"/>
      <c r="K226" s="27"/>
      <c r="L226" s="2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2:47" ht="15.75" customHeight="1" x14ac:dyDescent="0.2">
      <c r="B227" s="2"/>
      <c r="C227" s="2"/>
      <c r="D227" s="27"/>
      <c r="E227" s="27"/>
      <c r="F227" s="27"/>
      <c r="G227" s="215"/>
      <c r="H227" s="215"/>
      <c r="I227" s="27"/>
      <c r="J227" s="27"/>
      <c r="K227" s="27"/>
      <c r="L227" s="2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2:47" ht="15.75" customHeight="1" x14ac:dyDescent="0.2">
      <c r="B228" s="2"/>
      <c r="C228" s="2"/>
      <c r="D228" s="27"/>
      <c r="E228" s="27"/>
      <c r="F228" s="27"/>
      <c r="G228" s="215"/>
      <c r="H228" s="215"/>
      <c r="I228" s="27"/>
      <c r="J228" s="27"/>
      <c r="K228" s="27"/>
      <c r="L228" s="2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2:47" ht="15.75" customHeight="1" x14ac:dyDescent="0.2">
      <c r="B229" s="2"/>
      <c r="C229" s="2"/>
      <c r="D229" s="27"/>
      <c r="E229" s="27"/>
      <c r="F229" s="27"/>
      <c r="G229" s="215"/>
      <c r="H229" s="215"/>
      <c r="I229" s="27"/>
      <c r="J229" s="27"/>
      <c r="K229" s="27"/>
      <c r="L229" s="2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2:47" ht="15.75" customHeight="1" x14ac:dyDescent="0.2">
      <c r="B230" s="2"/>
      <c r="C230" s="2"/>
      <c r="D230" s="27"/>
      <c r="E230" s="27"/>
      <c r="F230" s="27"/>
      <c r="G230" s="215"/>
      <c r="H230" s="215"/>
      <c r="I230" s="27"/>
      <c r="J230" s="27"/>
      <c r="K230" s="27"/>
      <c r="L230" s="27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2:47" ht="15.75" customHeight="1" x14ac:dyDescent="0.2">
      <c r="B231" s="2"/>
      <c r="C231" s="2"/>
      <c r="D231" s="27"/>
      <c r="E231" s="27"/>
      <c r="F231" s="27"/>
      <c r="G231" s="215"/>
      <c r="H231" s="215"/>
      <c r="I231" s="27"/>
      <c r="J231" s="27"/>
      <c r="K231" s="27"/>
      <c r="L231" s="2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2:47" ht="15.75" customHeight="1" x14ac:dyDescent="0.2">
      <c r="B232" s="2"/>
      <c r="C232" s="2"/>
      <c r="D232" s="27"/>
      <c r="E232" s="27"/>
      <c r="F232" s="27"/>
      <c r="G232" s="215"/>
      <c r="H232" s="215"/>
      <c r="I232" s="27"/>
      <c r="J232" s="27"/>
      <c r="K232" s="27"/>
      <c r="L232" s="2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2:47" ht="15.75" customHeight="1" x14ac:dyDescent="0.2">
      <c r="B233" s="2"/>
      <c r="C233" s="2"/>
      <c r="D233" s="27"/>
      <c r="E233" s="27"/>
      <c r="F233" s="27"/>
      <c r="G233" s="215"/>
      <c r="H233" s="215"/>
      <c r="I233" s="27"/>
      <c r="J233" s="27"/>
      <c r="K233" s="27"/>
      <c r="L233" s="2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2:47" ht="15.75" customHeight="1" x14ac:dyDescent="0.2">
      <c r="B234" s="2"/>
      <c r="C234" s="2"/>
      <c r="D234" s="27"/>
      <c r="E234" s="27"/>
      <c r="F234" s="27"/>
      <c r="G234" s="215"/>
      <c r="H234" s="215"/>
      <c r="I234" s="27"/>
      <c r="J234" s="27"/>
      <c r="K234" s="27"/>
      <c r="L234" s="27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2:47" ht="15.75" customHeight="1" x14ac:dyDescent="0.2">
      <c r="B235" s="2"/>
      <c r="C235" s="2"/>
      <c r="D235" s="27"/>
      <c r="E235" s="27"/>
      <c r="F235" s="27"/>
      <c r="G235" s="215"/>
      <c r="H235" s="215"/>
      <c r="I235" s="27"/>
      <c r="J235" s="27"/>
      <c r="K235" s="27"/>
      <c r="L235" s="27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2:47" ht="15.75" customHeight="1" x14ac:dyDescent="0.2">
      <c r="B236" s="2"/>
      <c r="C236" s="2"/>
      <c r="D236" s="27"/>
      <c r="E236" s="27"/>
      <c r="F236" s="27"/>
      <c r="G236" s="215"/>
      <c r="H236" s="215"/>
      <c r="I236" s="27"/>
      <c r="J236" s="27"/>
      <c r="K236" s="27"/>
      <c r="L236" s="27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2:47" ht="15.75" customHeight="1" x14ac:dyDescent="0.2">
      <c r="B237" s="2"/>
      <c r="C237" s="2"/>
      <c r="D237" s="27"/>
      <c r="E237" s="27"/>
      <c r="F237" s="27"/>
      <c r="G237" s="215"/>
      <c r="H237" s="215"/>
      <c r="I237" s="27"/>
      <c r="J237" s="27"/>
      <c r="K237" s="27"/>
      <c r="L237" s="27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2:47" ht="15.75" customHeight="1" x14ac:dyDescent="0.2">
      <c r="B238" s="2"/>
      <c r="C238" s="2"/>
      <c r="D238" s="27"/>
      <c r="E238" s="27"/>
      <c r="F238" s="27"/>
      <c r="G238" s="215"/>
      <c r="H238" s="215"/>
      <c r="I238" s="27"/>
      <c r="J238" s="27"/>
      <c r="K238" s="27"/>
      <c r="L238" s="27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2:47" ht="15.75" customHeight="1" x14ac:dyDescent="0.2">
      <c r="B239" s="2"/>
      <c r="C239" s="2"/>
      <c r="D239" s="27"/>
      <c r="E239" s="27"/>
      <c r="F239" s="27"/>
      <c r="G239" s="215"/>
      <c r="H239" s="215"/>
      <c r="I239" s="27"/>
      <c r="J239" s="27"/>
      <c r="K239" s="27"/>
      <c r="L239" s="27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2:47" ht="15.75" customHeight="1" x14ac:dyDescent="0.2">
      <c r="B240" s="2"/>
      <c r="C240" s="2"/>
      <c r="D240" s="27"/>
      <c r="E240" s="27"/>
      <c r="F240" s="27"/>
      <c r="G240" s="215"/>
      <c r="H240" s="215"/>
      <c r="I240" s="27"/>
      <c r="J240" s="27"/>
      <c r="K240" s="27"/>
      <c r="L240" s="27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2:47" ht="15.75" customHeight="1" x14ac:dyDescent="0.2">
      <c r="B241" s="2"/>
      <c r="C241" s="2"/>
      <c r="D241" s="27"/>
      <c r="E241" s="27"/>
      <c r="F241" s="27"/>
      <c r="G241" s="215"/>
      <c r="H241" s="215"/>
      <c r="I241" s="27"/>
      <c r="J241" s="27"/>
      <c r="K241" s="27"/>
      <c r="L241" s="27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2:47" ht="15.75" customHeight="1" x14ac:dyDescent="0.2">
      <c r="B242" s="2"/>
      <c r="C242" s="2"/>
      <c r="D242" s="27"/>
      <c r="E242" s="27"/>
      <c r="F242" s="27"/>
      <c r="G242" s="215"/>
      <c r="H242" s="215"/>
      <c r="I242" s="27"/>
      <c r="J242" s="27"/>
      <c r="K242" s="27"/>
      <c r="L242" s="27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2:47" ht="15.75" customHeight="1" x14ac:dyDescent="0.2">
      <c r="B243" s="2"/>
      <c r="C243" s="2"/>
      <c r="D243" s="27"/>
      <c r="E243" s="27"/>
      <c r="F243" s="27"/>
      <c r="G243" s="215"/>
      <c r="H243" s="215"/>
      <c r="I243" s="27"/>
      <c r="J243" s="27"/>
      <c r="K243" s="27"/>
      <c r="L243" s="27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2:47" ht="15.75" customHeight="1" x14ac:dyDescent="0.2">
      <c r="B244" s="2"/>
      <c r="C244" s="2"/>
      <c r="D244" s="27"/>
      <c r="E244" s="27"/>
      <c r="F244" s="27"/>
      <c r="G244" s="215"/>
      <c r="H244" s="215"/>
      <c r="I244" s="27"/>
      <c r="J244" s="27"/>
      <c r="K244" s="27"/>
      <c r="L244" s="27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2:47" ht="15.75" customHeight="1" x14ac:dyDescent="0.2">
      <c r="B245" s="2"/>
      <c r="C245" s="2"/>
      <c r="D245" s="27"/>
      <c r="E245" s="27"/>
      <c r="F245" s="27"/>
      <c r="G245" s="215"/>
      <c r="H245" s="215"/>
      <c r="I245" s="27"/>
      <c r="J245" s="27"/>
      <c r="K245" s="27"/>
      <c r="L245" s="27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2:47" ht="15.75" customHeight="1" x14ac:dyDescent="0.2">
      <c r="B246" s="2"/>
      <c r="C246" s="2"/>
      <c r="D246" s="27"/>
      <c r="E246" s="27"/>
      <c r="F246" s="27"/>
      <c r="G246" s="215"/>
      <c r="H246" s="215"/>
      <c r="I246" s="27"/>
      <c r="J246" s="27"/>
      <c r="K246" s="27"/>
      <c r="L246" s="27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2:47" ht="15.75" customHeight="1" x14ac:dyDescent="0.2">
      <c r="B247" s="2"/>
      <c r="C247" s="2"/>
      <c r="D247" s="27"/>
      <c r="E247" s="27"/>
      <c r="F247" s="27"/>
      <c r="G247" s="215"/>
      <c r="H247" s="215"/>
      <c r="I247" s="27"/>
      <c r="J247" s="27"/>
      <c r="K247" s="27"/>
      <c r="L247" s="27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2:47" ht="15.75" customHeight="1" x14ac:dyDescent="0.2">
      <c r="B248" s="2"/>
      <c r="C248" s="2"/>
      <c r="D248" s="27"/>
      <c r="E248" s="27"/>
      <c r="F248" s="27"/>
      <c r="G248" s="215"/>
      <c r="H248" s="215"/>
      <c r="I248" s="27"/>
      <c r="J248" s="27"/>
      <c r="K248" s="27"/>
      <c r="L248" s="27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2:47" ht="15.75" customHeight="1" x14ac:dyDescent="0.2">
      <c r="B249" s="2"/>
      <c r="C249" s="2"/>
      <c r="D249" s="27"/>
      <c r="E249" s="27"/>
      <c r="F249" s="27"/>
      <c r="G249" s="215"/>
      <c r="H249" s="215"/>
      <c r="I249" s="27"/>
      <c r="J249" s="27"/>
      <c r="K249" s="27"/>
      <c r="L249" s="27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2:47" ht="15.75" customHeight="1" x14ac:dyDescent="0.2">
      <c r="B250" s="2"/>
      <c r="C250" s="2"/>
      <c r="D250" s="27"/>
      <c r="E250" s="27"/>
      <c r="F250" s="27"/>
      <c r="G250" s="215"/>
      <c r="H250" s="215"/>
      <c r="I250" s="27"/>
      <c r="J250" s="27"/>
      <c r="K250" s="27"/>
      <c r="L250" s="27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2:47" ht="15.75" customHeight="1" x14ac:dyDescent="0.2">
      <c r="B251" s="2"/>
      <c r="C251" s="2"/>
      <c r="D251" s="27"/>
      <c r="E251" s="27"/>
      <c r="F251" s="27"/>
      <c r="G251" s="215"/>
      <c r="H251" s="215"/>
      <c r="I251" s="27"/>
      <c r="J251" s="27"/>
      <c r="K251" s="27"/>
      <c r="L251" s="27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2:47" ht="15.75" customHeight="1" x14ac:dyDescent="0.2">
      <c r="B252" s="2"/>
      <c r="C252" s="2"/>
      <c r="D252" s="27"/>
      <c r="E252" s="27"/>
      <c r="F252" s="27"/>
      <c r="G252" s="215"/>
      <c r="H252" s="215"/>
      <c r="I252" s="27"/>
      <c r="J252" s="27"/>
      <c r="K252" s="27"/>
      <c r="L252" s="27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2:47" ht="15.75" customHeight="1" x14ac:dyDescent="0.2">
      <c r="B253" s="2"/>
      <c r="C253" s="2"/>
      <c r="D253" s="27"/>
      <c r="E253" s="27"/>
      <c r="F253" s="27"/>
      <c r="G253" s="215"/>
      <c r="H253" s="215"/>
      <c r="I253" s="27"/>
      <c r="J253" s="27"/>
      <c r="K253" s="27"/>
      <c r="L253" s="27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2:47" ht="15.75" customHeight="1" x14ac:dyDescent="0.2">
      <c r="B254" s="2"/>
      <c r="C254" s="2"/>
      <c r="D254" s="27"/>
      <c r="E254" s="27"/>
      <c r="F254" s="27"/>
      <c r="G254" s="215"/>
      <c r="H254" s="215"/>
      <c r="I254" s="27"/>
      <c r="J254" s="27"/>
      <c r="K254" s="27"/>
      <c r="L254" s="27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2:47" ht="15.75" customHeight="1" x14ac:dyDescent="0.2">
      <c r="B255" s="2"/>
      <c r="C255" s="2"/>
      <c r="D255" s="27"/>
      <c r="E255" s="27"/>
      <c r="F255" s="27"/>
      <c r="G255" s="215"/>
      <c r="H255" s="215"/>
      <c r="I255" s="27"/>
      <c r="J255" s="27"/>
      <c r="K255" s="27"/>
      <c r="L255" s="27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2:47" ht="15.75" customHeight="1" x14ac:dyDescent="0.2">
      <c r="B256" s="2"/>
      <c r="C256" s="2"/>
      <c r="D256" s="27"/>
      <c r="E256" s="27"/>
      <c r="F256" s="27"/>
      <c r="G256" s="215"/>
      <c r="H256" s="215"/>
      <c r="I256" s="27"/>
      <c r="J256" s="27"/>
      <c r="K256" s="27"/>
      <c r="L256" s="27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2:47" ht="15.75" customHeight="1" x14ac:dyDescent="0.2">
      <c r="B257" s="2"/>
      <c r="C257" s="2"/>
      <c r="D257" s="27"/>
      <c r="E257" s="27"/>
      <c r="F257" s="27"/>
      <c r="G257" s="215"/>
      <c r="H257" s="215"/>
      <c r="I257" s="27"/>
      <c r="J257" s="27"/>
      <c r="K257" s="27"/>
      <c r="L257" s="27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2:47" ht="15.75" customHeight="1" x14ac:dyDescent="0.2">
      <c r="B258" s="2"/>
      <c r="C258" s="2"/>
      <c r="D258" s="27"/>
      <c r="E258" s="27"/>
      <c r="F258" s="27"/>
      <c r="G258" s="215"/>
      <c r="H258" s="215"/>
      <c r="I258" s="27"/>
      <c r="J258" s="27"/>
      <c r="K258" s="27"/>
      <c r="L258" s="27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2:47" ht="15.75" customHeight="1" x14ac:dyDescent="0.2">
      <c r="B259" s="2"/>
      <c r="C259" s="2"/>
      <c r="D259" s="27"/>
      <c r="E259" s="27"/>
      <c r="F259" s="27"/>
      <c r="G259" s="215"/>
      <c r="H259" s="215"/>
      <c r="I259" s="27"/>
      <c r="J259" s="27"/>
      <c r="K259" s="27"/>
      <c r="L259" s="27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2:47" ht="15.75" customHeight="1" x14ac:dyDescent="0.2">
      <c r="B260" s="2"/>
      <c r="C260" s="2"/>
      <c r="D260" s="27"/>
      <c r="E260" s="27"/>
      <c r="F260" s="27"/>
      <c r="G260" s="215"/>
      <c r="H260" s="215"/>
      <c r="I260" s="27"/>
      <c r="J260" s="27"/>
      <c r="K260" s="27"/>
      <c r="L260" s="27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2:47" ht="15.75" customHeight="1" x14ac:dyDescent="0.2">
      <c r="B261" s="2"/>
      <c r="C261" s="2"/>
      <c r="D261" s="27"/>
      <c r="E261" s="27"/>
      <c r="F261" s="27"/>
      <c r="G261" s="215"/>
      <c r="H261" s="215"/>
      <c r="I261" s="27"/>
      <c r="J261" s="27"/>
      <c r="K261" s="27"/>
      <c r="L261" s="27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2:47" ht="15.75" customHeight="1" x14ac:dyDescent="0.2">
      <c r="B262" s="2"/>
      <c r="C262" s="2"/>
      <c r="D262" s="27"/>
      <c r="E262" s="27"/>
      <c r="F262" s="27"/>
      <c r="G262" s="215"/>
      <c r="H262" s="215"/>
      <c r="I262" s="27"/>
      <c r="J262" s="27"/>
      <c r="K262" s="27"/>
      <c r="L262" s="27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2:47" ht="15.75" customHeight="1" x14ac:dyDescent="0.2">
      <c r="B263" s="2"/>
      <c r="C263" s="2"/>
      <c r="D263" s="27"/>
      <c r="E263" s="27"/>
      <c r="F263" s="27"/>
      <c r="G263" s="215"/>
      <c r="H263" s="215"/>
      <c r="I263" s="27"/>
      <c r="J263" s="27"/>
      <c r="K263" s="27"/>
      <c r="L263" s="27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2:47" ht="15.75" customHeight="1" x14ac:dyDescent="0.2">
      <c r="B264" s="2"/>
      <c r="C264" s="2"/>
      <c r="D264" s="27"/>
      <c r="E264" s="27"/>
      <c r="F264" s="27"/>
      <c r="G264" s="215"/>
      <c r="H264" s="215"/>
      <c r="I264" s="27"/>
      <c r="J264" s="27"/>
      <c r="K264" s="27"/>
      <c r="L264" s="27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2:47" ht="15.75" customHeight="1" x14ac:dyDescent="0.2">
      <c r="B265" s="2"/>
      <c r="C265" s="2"/>
      <c r="D265" s="27"/>
      <c r="E265" s="27"/>
      <c r="F265" s="27"/>
      <c r="G265" s="215"/>
      <c r="H265" s="215"/>
      <c r="I265" s="27"/>
      <c r="J265" s="27"/>
      <c r="K265" s="27"/>
      <c r="L265" s="27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2:47" ht="15.75" customHeight="1" x14ac:dyDescent="0.2">
      <c r="B266" s="2"/>
      <c r="C266" s="2"/>
      <c r="D266" s="27"/>
      <c r="E266" s="27"/>
      <c r="F266" s="27"/>
      <c r="G266" s="215"/>
      <c r="H266" s="215"/>
      <c r="I266" s="27"/>
      <c r="J266" s="27"/>
      <c r="K266" s="27"/>
      <c r="L266" s="27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2:47" ht="15.75" customHeight="1" x14ac:dyDescent="0.2">
      <c r="B267" s="2"/>
      <c r="C267" s="2"/>
      <c r="D267" s="27"/>
      <c r="E267" s="27"/>
      <c r="F267" s="27"/>
      <c r="G267" s="215"/>
      <c r="H267" s="215"/>
      <c r="I267" s="27"/>
      <c r="J267" s="27"/>
      <c r="K267" s="27"/>
      <c r="L267" s="27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2:47" ht="15.75" customHeight="1" x14ac:dyDescent="0.2">
      <c r="B268" s="2"/>
      <c r="C268" s="2"/>
      <c r="D268" s="27"/>
      <c r="E268" s="27"/>
      <c r="F268" s="27"/>
      <c r="G268" s="215"/>
      <c r="H268" s="215"/>
      <c r="I268" s="27"/>
      <c r="J268" s="27"/>
      <c r="K268" s="27"/>
      <c r="L268" s="27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2:47" ht="15.75" customHeight="1" x14ac:dyDescent="0.2">
      <c r="B269" s="2"/>
      <c r="C269" s="2"/>
      <c r="D269" s="27"/>
      <c r="E269" s="27"/>
      <c r="F269" s="27"/>
      <c r="G269" s="215"/>
      <c r="H269" s="215"/>
      <c r="I269" s="27"/>
      <c r="J269" s="27"/>
      <c r="K269" s="27"/>
      <c r="L269" s="27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2:47" ht="15.75" customHeight="1" x14ac:dyDescent="0.2">
      <c r="B270" s="2"/>
      <c r="C270" s="2"/>
      <c r="D270" s="27"/>
      <c r="E270" s="27"/>
      <c r="F270" s="27"/>
      <c r="G270" s="215"/>
      <c r="H270" s="215"/>
      <c r="I270" s="27"/>
      <c r="J270" s="27"/>
      <c r="K270" s="27"/>
      <c r="L270" s="27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2:47" ht="15.75" customHeight="1" x14ac:dyDescent="0.2">
      <c r="B271" s="2"/>
      <c r="C271" s="2"/>
      <c r="D271" s="27"/>
      <c r="E271" s="27"/>
      <c r="F271" s="27"/>
      <c r="G271" s="215"/>
      <c r="H271" s="215"/>
      <c r="I271" s="27"/>
      <c r="J271" s="27"/>
      <c r="K271" s="27"/>
      <c r="L271" s="27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2:47" ht="15.75" customHeight="1" x14ac:dyDescent="0.2">
      <c r="B272" s="2"/>
      <c r="C272" s="2"/>
      <c r="D272" s="27"/>
      <c r="E272" s="27"/>
      <c r="F272" s="27"/>
      <c r="G272" s="215"/>
      <c r="H272" s="215"/>
      <c r="I272" s="27"/>
      <c r="J272" s="27"/>
      <c r="K272" s="27"/>
      <c r="L272" s="27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2:47" ht="15.75" customHeight="1" x14ac:dyDescent="0.2">
      <c r="B273" s="2"/>
      <c r="C273" s="2"/>
      <c r="D273" s="27"/>
      <c r="E273" s="27"/>
      <c r="F273" s="27"/>
      <c r="G273" s="215"/>
      <c r="H273" s="215"/>
      <c r="I273" s="27"/>
      <c r="J273" s="27"/>
      <c r="K273" s="27"/>
      <c r="L273" s="27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2:47" ht="15.75" customHeight="1" x14ac:dyDescent="0.2">
      <c r="B274" s="2"/>
      <c r="C274" s="2"/>
      <c r="D274" s="27"/>
      <c r="E274" s="27"/>
      <c r="F274" s="27"/>
      <c r="G274" s="215"/>
      <c r="H274" s="215"/>
      <c r="I274" s="27"/>
      <c r="J274" s="27"/>
      <c r="K274" s="27"/>
      <c r="L274" s="27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2:47" ht="15.75" customHeight="1" x14ac:dyDescent="0.2">
      <c r="B275" s="2"/>
      <c r="C275" s="2"/>
      <c r="D275" s="27"/>
      <c r="E275" s="27"/>
      <c r="F275" s="27"/>
      <c r="G275" s="215"/>
      <c r="H275" s="215"/>
      <c r="I275" s="27"/>
      <c r="J275" s="27"/>
      <c r="K275" s="27"/>
      <c r="L275" s="27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2:47" ht="15.75" customHeight="1" x14ac:dyDescent="0.2">
      <c r="B276" s="2"/>
      <c r="C276" s="2"/>
      <c r="D276" s="27"/>
      <c r="E276" s="27"/>
      <c r="F276" s="27"/>
      <c r="G276" s="215"/>
      <c r="H276" s="215"/>
      <c r="I276" s="27"/>
      <c r="J276" s="27"/>
      <c r="K276" s="27"/>
      <c r="L276" s="27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2:47" ht="15.75" customHeight="1" x14ac:dyDescent="0.2">
      <c r="B277" s="2"/>
      <c r="C277" s="2"/>
      <c r="D277" s="27"/>
      <c r="E277" s="27"/>
      <c r="F277" s="27"/>
      <c r="G277" s="215"/>
      <c r="H277" s="215"/>
      <c r="I277" s="27"/>
      <c r="J277" s="27"/>
      <c r="K277" s="27"/>
      <c r="L277" s="27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2:47" ht="15.75" customHeight="1" x14ac:dyDescent="0.2">
      <c r="B278" s="2"/>
      <c r="C278" s="2"/>
      <c r="D278" s="27"/>
      <c r="E278" s="27"/>
      <c r="F278" s="27"/>
      <c r="G278" s="215"/>
      <c r="H278" s="215"/>
      <c r="I278" s="27"/>
      <c r="J278" s="27"/>
      <c r="K278" s="27"/>
      <c r="L278" s="27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2:47" ht="15.75" customHeight="1" x14ac:dyDescent="0.2">
      <c r="B279" s="2"/>
      <c r="C279" s="2"/>
      <c r="D279" s="27"/>
      <c r="E279" s="27"/>
      <c r="F279" s="27"/>
      <c r="G279" s="215"/>
      <c r="H279" s="215"/>
      <c r="I279" s="27"/>
      <c r="J279" s="27"/>
      <c r="K279" s="27"/>
      <c r="L279" s="27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2:47" ht="15.75" customHeight="1" x14ac:dyDescent="0.2">
      <c r="B280" s="2"/>
      <c r="C280" s="2"/>
      <c r="D280" s="27"/>
      <c r="E280" s="27"/>
      <c r="F280" s="27"/>
      <c r="G280" s="215"/>
      <c r="H280" s="215"/>
      <c r="I280" s="27"/>
      <c r="J280" s="27"/>
      <c r="K280" s="27"/>
      <c r="L280" s="27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2:47" ht="15.75" customHeight="1" x14ac:dyDescent="0.2">
      <c r="B281" s="2"/>
      <c r="C281" s="2"/>
      <c r="D281" s="27"/>
      <c r="E281" s="27"/>
      <c r="F281" s="27"/>
      <c r="G281" s="215"/>
      <c r="H281" s="215"/>
      <c r="I281" s="27"/>
      <c r="J281" s="27"/>
      <c r="K281" s="27"/>
      <c r="L281" s="27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2:47" ht="15.75" customHeight="1" x14ac:dyDescent="0.2">
      <c r="B282" s="2"/>
      <c r="C282" s="2"/>
      <c r="D282" s="27"/>
      <c r="E282" s="27"/>
      <c r="F282" s="27"/>
      <c r="G282" s="215"/>
      <c r="H282" s="215"/>
      <c r="I282" s="27"/>
      <c r="J282" s="27"/>
      <c r="K282" s="27"/>
      <c r="L282" s="27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2:47" ht="15.75" customHeight="1" x14ac:dyDescent="0.2">
      <c r="B283" s="2"/>
      <c r="C283" s="2"/>
      <c r="D283" s="27"/>
      <c r="E283" s="27"/>
      <c r="F283" s="27"/>
      <c r="G283" s="215"/>
      <c r="H283" s="215"/>
      <c r="I283" s="27"/>
      <c r="J283" s="27"/>
      <c r="K283" s="27"/>
      <c r="L283" s="2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2:47" ht="15.75" customHeight="1" x14ac:dyDescent="0.2">
      <c r="B284" s="2"/>
      <c r="C284" s="2"/>
      <c r="D284" s="27"/>
      <c r="E284" s="27"/>
      <c r="F284" s="27"/>
      <c r="G284" s="215"/>
      <c r="H284" s="215"/>
      <c r="I284" s="27"/>
      <c r="J284" s="27"/>
      <c r="K284" s="27"/>
      <c r="L284" s="2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2:47" ht="15.75" customHeight="1" x14ac:dyDescent="0.2">
      <c r="B285" s="2"/>
      <c r="C285" s="2"/>
      <c r="D285" s="27"/>
      <c r="E285" s="27"/>
      <c r="F285" s="27"/>
      <c r="G285" s="215"/>
      <c r="H285" s="215"/>
      <c r="I285" s="27"/>
      <c r="J285" s="27"/>
      <c r="K285" s="27"/>
      <c r="L285" s="27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2:47" ht="15.75" customHeight="1" x14ac:dyDescent="0.2">
      <c r="B286" s="2"/>
      <c r="C286" s="2"/>
      <c r="D286" s="27"/>
      <c r="E286" s="27"/>
      <c r="F286" s="27"/>
      <c r="G286" s="215"/>
      <c r="H286" s="215"/>
      <c r="I286" s="27"/>
      <c r="J286" s="27"/>
      <c r="K286" s="27"/>
      <c r="L286" s="27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2:47" ht="15.75" customHeight="1" x14ac:dyDescent="0.2">
      <c r="B287" s="2"/>
      <c r="C287" s="2"/>
      <c r="D287" s="27"/>
      <c r="E287" s="27"/>
      <c r="F287" s="27"/>
      <c r="G287" s="215"/>
      <c r="H287" s="215"/>
      <c r="I287" s="27"/>
      <c r="J287" s="27"/>
      <c r="K287" s="27"/>
      <c r="L287" s="2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2:47" ht="15.75" customHeight="1" x14ac:dyDescent="0.2">
      <c r="B288" s="2"/>
      <c r="C288" s="2"/>
      <c r="D288" s="27"/>
      <c r="E288" s="27"/>
      <c r="F288" s="27"/>
      <c r="G288" s="215"/>
      <c r="H288" s="215"/>
      <c r="I288" s="27"/>
      <c r="J288" s="27"/>
      <c r="K288" s="27"/>
      <c r="L288" s="27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2:47" ht="15.75" customHeight="1" x14ac:dyDescent="0.2">
      <c r="B289" s="2"/>
      <c r="C289" s="2"/>
      <c r="D289" s="27"/>
      <c r="E289" s="27"/>
      <c r="F289" s="27"/>
      <c r="G289" s="215"/>
      <c r="H289" s="215"/>
      <c r="I289" s="27"/>
      <c r="J289" s="27"/>
      <c r="K289" s="27"/>
      <c r="L289" s="27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2:47" ht="15.75" customHeight="1" x14ac:dyDescent="0.2">
      <c r="B290" s="2"/>
      <c r="C290" s="2"/>
      <c r="D290" s="27"/>
      <c r="E290" s="27"/>
      <c r="F290" s="27"/>
      <c r="G290" s="215"/>
      <c r="H290" s="215"/>
      <c r="I290" s="27"/>
      <c r="J290" s="27"/>
      <c r="K290" s="27"/>
      <c r="L290" s="27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2:47" ht="15.75" customHeight="1" x14ac:dyDescent="0.2">
      <c r="B291" s="2"/>
      <c r="C291" s="2"/>
      <c r="D291" s="27"/>
      <c r="E291" s="27"/>
      <c r="F291" s="27"/>
      <c r="G291" s="215"/>
      <c r="H291" s="215"/>
      <c r="I291" s="27"/>
      <c r="J291" s="27"/>
      <c r="K291" s="27"/>
      <c r="L291" s="27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2:47" ht="15.75" customHeight="1" x14ac:dyDescent="0.2">
      <c r="B292" s="2"/>
      <c r="C292" s="2"/>
      <c r="D292" s="27"/>
      <c r="E292" s="27"/>
      <c r="F292" s="27"/>
      <c r="G292" s="215"/>
      <c r="H292" s="215"/>
      <c r="I292" s="27"/>
      <c r="J292" s="27"/>
      <c r="K292" s="27"/>
      <c r="L292" s="27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2:47" ht="15.75" customHeight="1" x14ac:dyDescent="0.2">
      <c r="B293" s="2"/>
      <c r="C293" s="2"/>
      <c r="D293" s="27"/>
      <c r="E293" s="27"/>
      <c r="F293" s="27"/>
      <c r="G293" s="215"/>
      <c r="H293" s="215"/>
      <c r="I293" s="27"/>
      <c r="J293" s="27"/>
      <c r="K293" s="27"/>
      <c r="L293" s="27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2:47" ht="15.75" customHeight="1" x14ac:dyDescent="0.2">
      <c r="B294" s="2"/>
      <c r="C294" s="2"/>
      <c r="D294" s="27"/>
      <c r="E294" s="27"/>
      <c r="F294" s="27"/>
      <c r="G294" s="215"/>
      <c r="H294" s="215"/>
      <c r="I294" s="27"/>
      <c r="J294" s="27"/>
      <c r="K294" s="27"/>
      <c r="L294" s="27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2:47" ht="15.75" customHeight="1" x14ac:dyDescent="0.2">
      <c r="B295" s="2"/>
      <c r="C295" s="2"/>
      <c r="D295" s="27"/>
      <c r="E295" s="27"/>
      <c r="F295" s="27"/>
      <c r="G295" s="215"/>
      <c r="H295" s="215"/>
      <c r="I295" s="27"/>
      <c r="J295" s="27"/>
      <c r="K295" s="27"/>
      <c r="L295" s="27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2:47" ht="15.75" customHeight="1" x14ac:dyDescent="0.2">
      <c r="B296" s="2"/>
      <c r="C296" s="2"/>
      <c r="D296" s="27"/>
      <c r="E296" s="27"/>
      <c r="F296" s="27"/>
      <c r="G296" s="215"/>
      <c r="H296" s="215"/>
      <c r="I296" s="27"/>
      <c r="J296" s="27"/>
      <c r="K296" s="27"/>
      <c r="L296" s="27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2:47" ht="15.75" customHeight="1" x14ac:dyDescent="0.2">
      <c r="B297" s="2"/>
      <c r="C297" s="2"/>
      <c r="D297" s="27"/>
      <c r="E297" s="27"/>
      <c r="F297" s="27"/>
      <c r="G297" s="215"/>
      <c r="H297" s="215"/>
      <c r="I297" s="27"/>
      <c r="J297" s="27"/>
      <c r="K297" s="27"/>
      <c r="L297" s="27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2:47" ht="15.75" customHeight="1" x14ac:dyDescent="0.2">
      <c r="B298" s="2"/>
      <c r="C298" s="2"/>
      <c r="D298" s="27"/>
      <c r="E298" s="27"/>
      <c r="F298" s="27"/>
      <c r="G298" s="215"/>
      <c r="H298" s="215"/>
      <c r="I298" s="27"/>
      <c r="J298" s="27"/>
      <c r="K298" s="27"/>
      <c r="L298" s="27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2:47" ht="15.75" customHeight="1" x14ac:dyDescent="0.2">
      <c r="B299" s="2"/>
      <c r="C299" s="2"/>
      <c r="D299" s="27"/>
      <c r="E299" s="27"/>
      <c r="F299" s="27"/>
      <c r="G299" s="215"/>
      <c r="H299" s="215"/>
      <c r="I299" s="27"/>
      <c r="J299" s="27"/>
      <c r="K299" s="27"/>
      <c r="L299" s="27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2:47" ht="15.75" customHeight="1" x14ac:dyDescent="0.2">
      <c r="B300" s="2"/>
      <c r="C300" s="2"/>
      <c r="D300" s="27"/>
      <c r="E300" s="27"/>
      <c r="F300" s="27"/>
      <c r="G300" s="215"/>
      <c r="H300" s="215"/>
      <c r="I300" s="27"/>
      <c r="J300" s="27"/>
      <c r="K300" s="27"/>
      <c r="L300" s="27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2:47" ht="15.75" customHeight="1" x14ac:dyDescent="0.2">
      <c r="B301" s="2"/>
      <c r="C301" s="2"/>
      <c r="D301" s="27"/>
      <c r="E301" s="27"/>
      <c r="F301" s="27"/>
      <c r="G301" s="215"/>
      <c r="H301" s="215"/>
      <c r="I301" s="27"/>
      <c r="J301" s="27"/>
      <c r="K301" s="27"/>
      <c r="L301" s="27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2:47" ht="15.75" customHeight="1" x14ac:dyDescent="0.2">
      <c r="B302" s="2"/>
      <c r="C302" s="2"/>
      <c r="D302" s="27"/>
      <c r="E302" s="27"/>
      <c r="F302" s="27"/>
      <c r="G302" s="215"/>
      <c r="H302" s="215"/>
      <c r="I302" s="27"/>
      <c r="J302" s="27"/>
      <c r="K302" s="27"/>
      <c r="L302" s="27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2:47" ht="15.75" customHeight="1" x14ac:dyDescent="0.2">
      <c r="B303" s="2"/>
      <c r="C303" s="2"/>
      <c r="D303" s="27"/>
      <c r="E303" s="27"/>
      <c r="F303" s="27"/>
      <c r="G303" s="215"/>
      <c r="H303" s="215"/>
      <c r="I303" s="27"/>
      <c r="J303" s="27"/>
      <c r="K303" s="27"/>
      <c r="L303" s="27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2:47" ht="15.75" customHeight="1" x14ac:dyDescent="0.2">
      <c r="B304" s="2"/>
      <c r="C304" s="2"/>
      <c r="D304" s="27"/>
      <c r="E304" s="27"/>
      <c r="F304" s="27"/>
      <c r="G304" s="215"/>
      <c r="H304" s="215"/>
      <c r="I304" s="27"/>
      <c r="J304" s="27"/>
      <c r="K304" s="27"/>
      <c r="L304" s="27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2:47" ht="15.75" customHeight="1" x14ac:dyDescent="0.2">
      <c r="B305" s="2"/>
      <c r="C305" s="2"/>
      <c r="D305" s="27"/>
      <c r="E305" s="27"/>
      <c r="F305" s="27"/>
      <c r="G305" s="215"/>
      <c r="H305" s="215"/>
      <c r="I305" s="27"/>
      <c r="J305" s="27"/>
      <c r="K305" s="27"/>
      <c r="L305" s="27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2:47" ht="15.75" customHeight="1" x14ac:dyDescent="0.2">
      <c r="B306" s="2"/>
      <c r="C306" s="2"/>
      <c r="D306" s="27"/>
      <c r="E306" s="27"/>
      <c r="F306" s="27"/>
      <c r="G306" s="215"/>
      <c r="H306" s="215"/>
      <c r="I306" s="27"/>
      <c r="J306" s="27"/>
      <c r="K306" s="27"/>
      <c r="L306" s="27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2:47" ht="15.75" customHeight="1" x14ac:dyDescent="0.2">
      <c r="B307" s="2"/>
      <c r="C307" s="2"/>
      <c r="D307" s="27"/>
      <c r="E307" s="27"/>
      <c r="F307" s="27"/>
      <c r="G307" s="215"/>
      <c r="H307" s="215"/>
      <c r="I307" s="27"/>
      <c r="J307" s="27"/>
      <c r="K307" s="27"/>
      <c r="L307" s="27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2:47" ht="15.75" customHeight="1" x14ac:dyDescent="0.2">
      <c r="B308" s="2"/>
      <c r="C308" s="2"/>
      <c r="D308" s="27"/>
      <c r="E308" s="27"/>
      <c r="F308" s="27"/>
      <c r="G308" s="215"/>
      <c r="H308" s="215"/>
      <c r="I308" s="27"/>
      <c r="J308" s="27"/>
      <c r="K308" s="27"/>
      <c r="L308" s="27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2:47" ht="15.75" customHeight="1" x14ac:dyDescent="0.2">
      <c r="B309" s="2"/>
      <c r="C309" s="2"/>
      <c r="D309" s="27"/>
      <c r="E309" s="27"/>
      <c r="F309" s="27"/>
      <c r="G309" s="215"/>
      <c r="H309" s="215"/>
      <c r="I309" s="27"/>
      <c r="J309" s="27"/>
      <c r="K309" s="27"/>
      <c r="L309" s="27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2:47" ht="15.75" customHeight="1" x14ac:dyDescent="0.2">
      <c r="B310" s="2"/>
      <c r="C310" s="2"/>
      <c r="D310" s="27"/>
      <c r="E310" s="27"/>
      <c r="F310" s="27"/>
      <c r="G310" s="215"/>
      <c r="H310" s="215"/>
      <c r="I310" s="27"/>
      <c r="J310" s="27"/>
      <c r="K310" s="27"/>
      <c r="L310" s="27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2:47" ht="15.75" customHeight="1" x14ac:dyDescent="0.2">
      <c r="B311" s="2"/>
      <c r="C311" s="2"/>
      <c r="D311" s="27"/>
      <c r="E311" s="27"/>
      <c r="F311" s="27"/>
      <c r="G311" s="215"/>
      <c r="H311" s="215"/>
      <c r="I311" s="27"/>
      <c r="J311" s="27"/>
      <c r="K311" s="27"/>
      <c r="L311" s="27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2:47" ht="15.75" customHeight="1" x14ac:dyDescent="0.2">
      <c r="B312" s="2"/>
      <c r="C312" s="2"/>
      <c r="D312" s="27"/>
      <c r="E312" s="27"/>
      <c r="F312" s="27"/>
      <c r="G312" s="215"/>
      <c r="H312" s="215"/>
      <c r="I312" s="27"/>
      <c r="J312" s="27"/>
      <c r="K312" s="27"/>
      <c r="L312" s="27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2:47" ht="15.75" customHeight="1" x14ac:dyDescent="0.2">
      <c r="B313" s="2"/>
      <c r="C313" s="2"/>
      <c r="D313" s="27"/>
      <c r="E313" s="27"/>
      <c r="F313" s="27"/>
      <c r="G313" s="215"/>
      <c r="H313" s="215"/>
      <c r="I313" s="27"/>
      <c r="J313" s="27"/>
      <c r="K313" s="27"/>
      <c r="L313" s="27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2:47" ht="15.75" customHeight="1" x14ac:dyDescent="0.2">
      <c r="B314" s="2"/>
      <c r="C314" s="2"/>
      <c r="D314" s="27"/>
      <c r="E314" s="27"/>
      <c r="F314" s="27"/>
      <c r="G314" s="215"/>
      <c r="H314" s="215"/>
      <c r="I314" s="27"/>
      <c r="J314" s="27"/>
      <c r="K314" s="27"/>
      <c r="L314" s="27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2:47" ht="15.75" customHeight="1" x14ac:dyDescent="0.2">
      <c r="B315" s="2"/>
      <c r="C315" s="2"/>
      <c r="D315" s="27"/>
      <c r="E315" s="27"/>
      <c r="F315" s="27"/>
      <c r="G315" s="215"/>
      <c r="H315" s="215"/>
      <c r="I315" s="27"/>
      <c r="J315" s="27"/>
      <c r="K315" s="27"/>
      <c r="L315" s="27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2:47" ht="15.75" customHeight="1" x14ac:dyDescent="0.2">
      <c r="B316" s="2"/>
      <c r="C316" s="2"/>
      <c r="D316" s="27"/>
      <c r="E316" s="27"/>
      <c r="F316" s="27"/>
      <c r="G316" s="215"/>
      <c r="H316" s="215"/>
      <c r="I316" s="27"/>
      <c r="J316" s="27"/>
      <c r="K316" s="27"/>
      <c r="L316" s="27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2:47" ht="15.75" customHeight="1" x14ac:dyDescent="0.2">
      <c r="B317" s="2"/>
      <c r="C317" s="2"/>
      <c r="D317" s="27"/>
      <c r="E317" s="27"/>
      <c r="F317" s="27"/>
      <c r="G317" s="215"/>
      <c r="H317" s="215"/>
      <c r="I317" s="27"/>
      <c r="J317" s="27"/>
      <c r="K317" s="27"/>
      <c r="L317" s="27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2:47" ht="15.75" customHeight="1" x14ac:dyDescent="0.2">
      <c r="B318" s="2"/>
      <c r="C318" s="2"/>
      <c r="D318" s="27"/>
      <c r="E318" s="27"/>
      <c r="F318" s="27"/>
      <c r="G318" s="215"/>
      <c r="H318" s="215"/>
      <c r="I318" s="27"/>
      <c r="J318" s="27"/>
      <c r="K318" s="27"/>
      <c r="L318" s="27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2:47" ht="15.75" customHeight="1" x14ac:dyDescent="0.2">
      <c r="B319" s="2"/>
      <c r="C319" s="2"/>
      <c r="D319" s="27"/>
      <c r="E319" s="27"/>
      <c r="F319" s="27"/>
      <c r="G319" s="215"/>
      <c r="H319" s="215"/>
      <c r="I319" s="27"/>
      <c r="J319" s="27"/>
      <c r="K319" s="27"/>
      <c r="L319" s="27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2:47" ht="15.75" customHeight="1" x14ac:dyDescent="0.2">
      <c r="B320" s="2"/>
      <c r="C320" s="2"/>
      <c r="D320" s="27"/>
      <c r="E320" s="27"/>
      <c r="F320" s="27"/>
      <c r="G320" s="215"/>
      <c r="H320" s="215"/>
      <c r="I320" s="27"/>
      <c r="J320" s="27"/>
      <c r="K320" s="27"/>
      <c r="L320" s="27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2:47" ht="15.75" customHeight="1" x14ac:dyDescent="0.2">
      <c r="B321" s="2"/>
      <c r="C321" s="2"/>
      <c r="D321" s="27"/>
      <c r="E321" s="27"/>
      <c r="F321" s="27"/>
      <c r="G321" s="215"/>
      <c r="H321" s="215"/>
      <c r="I321" s="27"/>
      <c r="J321" s="27"/>
      <c r="K321" s="27"/>
      <c r="L321" s="27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2:47" ht="15.75" customHeight="1" x14ac:dyDescent="0.2">
      <c r="B322" s="2"/>
      <c r="C322" s="2"/>
      <c r="D322" s="27"/>
      <c r="E322" s="27"/>
      <c r="F322" s="27"/>
      <c r="G322" s="215"/>
      <c r="H322" s="215"/>
      <c r="I322" s="27"/>
      <c r="J322" s="27"/>
      <c r="K322" s="27"/>
      <c r="L322" s="27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2:47" ht="15.75" customHeight="1" x14ac:dyDescent="0.2">
      <c r="B323" s="2"/>
      <c r="C323" s="2"/>
      <c r="D323" s="27"/>
      <c r="E323" s="27"/>
      <c r="F323" s="27"/>
      <c r="G323" s="215"/>
      <c r="H323" s="215"/>
      <c r="I323" s="27"/>
      <c r="J323" s="27"/>
      <c r="K323" s="27"/>
      <c r="L323" s="27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2:47" ht="15.75" customHeight="1" x14ac:dyDescent="0.2">
      <c r="B324" s="2"/>
      <c r="C324" s="2"/>
      <c r="D324" s="27"/>
      <c r="E324" s="27"/>
      <c r="F324" s="27"/>
      <c r="G324" s="215"/>
      <c r="H324" s="215"/>
      <c r="I324" s="27"/>
      <c r="J324" s="27"/>
      <c r="K324" s="27"/>
      <c r="L324" s="27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2:47" ht="15.75" customHeight="1" x14ac:dyDescent="0.2">
      <c r="B325" s="2"/>
      <c r="C325" s="2"/>
      <c r="D325" s="27"/>
      <c r="E325" s="27"/>
      <c r="F325" s="27"/>
      <c r="G325" s="215"/>
      <c r="H325" s="215"/>
      <c r="I325" s="27"/>
      <c r="J325" s="27"/>
      <c r="K325" s="27"/>
      <c r="L325" s="27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2:47" ht="15.75" customHeight="1" x14ac:dyDescent="0.2">
      <c r="B326" s="2"/>
      <c r="C326" s="2"/>
      <c r="D326" s="27"/>
      <c r="E326" s="27"/>
      <c r="F326" s="27"/>
      <c r="G326" s="215"/>
      <c r="H326" s="215"/>
      <c r="I326" s="27"/>
      <c r="J326" s="27"/>
      <c r="K326" s="27"/>
      <c r="L326" s="27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2:47" ht="15.75" customHeight="1" x14ac:dyDescent="0.2">
      <c r="B327" s="2"/>
      <c r="C327" s="2"/>
      <c r="D327" s="27"/>
      <c r="E327" s="27"/>
      <c r="F327" s="27"/>
      <c r="G327" s="215"/>
      <c r="H327" s="215"/>
      <c r="I327" s="27"/>
      <c r="J327" s="27"/>
      <c r="K327" s="27"/>
      <c r="L327" s="27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2:47" ht="15.75" customHeight="1" x14ac:dyDescent="0.2">
      <c r="B328" s="2"/>
      <c r="C328" s="2"/>
      <c r="D328" s="27"/>
      <c r="E328" s="27"/>
      <c r="F328" s="27"/>
      <c r="G328" s="215"/>
      <c r="H328" s="215"/>
      <c r="I328" s="27"/>
      <c r="J328" s="27"/>
      <c r="K328" s="27"/>
      <c r="L328" s="27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2:47" ht="15.75" customHeight="1" x14ac:dyDescent="0.2">
      <c r="B329" s="2"/>
      <c r="C329" s="2"/>
      <c r="D329" s="27"/>
      <c r="E329" s="27"/>
      <c r="F329" s="27"/>
      <c r="G329" s="215"/>
      <c r="H329" s="215"/>
      <c r="I329" s="27"/>
      <c r="J329" s="27"/>
      <c r="K329" s="27"/>
      <c r="L329" s="27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2:47" ht="15.75" customHeight="1" x14ac:dyDescent="0.2">
      <c r="B330" s="2"/>
      <c r="C330" s="2"/>
      <c r="D330" s="27"/>
      <c r="E330" s="27"/>
      <c r="F330" s="27"/>
      <c r="G330" s="215"/>
      <c r="H330" s="215"/>
      <c r="I330" s="27"/>
      <c r="J330" s="27"/>
      <c r="K330" s="27"/>
      <c r="L330" s="2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2:47" ht="15.75" customHeight="1" x14ac:dyDescent="0.2">
      <c r="B331" s="2"/>
      <c r="C331" s="2"/>
      <c r="D331" s="27"/>
      <c r="E331" s="27"/>
      <c r="F331" s="27"/>
      <c r="G331" s="215"/>
      <c r="H331" s="215"/>
      <c r="I331" s="27"/>
      <c r="J331" s="27"/>
      <c r="K331" s="27"/>
      <c r="L331" s="2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2:47" ht="15.75" customHeight="1" x14ac:dyDescent="0.2">
      <c r="B332" s="2"/>
      <c r="C332" s="2"/>
      <c r="D332" s="27"/>
      <c r="E332" s="27"/>
      <c r="F332" s="27"/>
      <c r="G332" s="215"/>
      <c r="H332" s="215"/>
      <c r="I332" s="27"/>
      <c r="J332" s="27"/>
      <c r="K332" s="27"/>
      <c r="L332" s="2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2:47" ht="15.75" customHeight="1" x14ac:dyDescent="0.2">
      <c r="B333" s="2"/>
      <c r="C333" s="2"/>
      <c r="D333" s="27"/>
      <c r="E333" s="27"/>
      <c r="F333" s="27"/>
      <c r="G333" s="215"/>
      <c r="H333" s="215"/>
      <c r="I333" s="27"/>
      <c r="J333" s="27"/>
      <c r="K333" s="27"/>
      <c r="L333" s="27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2:47" ht="15.75" customHeight="1" x14ac:dyDescent="0.2">
      <c r="B334" s="2"/>
      <c r="C334" s="2"/>
      <c r="D334" s="27"/>
      <c r="E334" s="27"/>
      <c r="F334" s="27"/>
      <c r="G334" s="215"/>
      <c r="H334" s="215"/>
      <c r="I334" s="27"/>
      <c r="J334" s="27"/>
      <c r="K334" s="27"/>
      <c r="L334" s="27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2:47" ht="15.75" customHeight="1" x14ac:dyDescent="0.2">
      <c r="B335" s="2"/>
      <c r="C335" s="2"/>
      <c r="D335" s="27"/>
      <c r="E335" s="27"/>
      <c r="F335" s="27"/>
      <c r="G335" s="215"/>
      <c r="H335" s="215"/>
      <c r="I335" s="27"/>
      <c r="J335" s="27"/>
      <c r="K335" s="27"/>
      <c r="L335" s="27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2:47" ht="15.75" customHeight="1" x14ac:dyDescent="0.2">
      <c r="B336" s="2"/>
      <c r="C336" s="2"/>
      <c r="D336" s="27"/>
      <c r="E336" s="27"/>
      <c r="F336" s="27"/>
      <c r="G336" s="215"/>
      <c r="H336" s="215"/>
      <c r="I336" s="27"/>
      <c r="J336" s="27"/>
      <c r="K336" s="27"/>
      <c r="L336" s="27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2:47" ht="15.75" customHeight="1" x14ac:dyDescent="0.2">
      <c r="B337" s="2"/>
      <c r="C337" s="2"/>
      <c r="D337" s="27"/>
      <c r="E337" s="27"/>
      <c r="F337" s="27"/>
      <c r="G337" s="215"/>
      <c r="H337" s="215"/>
      <c r="I337" s="27"/>
      <c r="J337" s="27"/>
      <c r="K337" s="27"/>
      <c r="L337" s="27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2:47" ht="15.75" customHeight="1" x14ac:dyDescent="0.2">
      <c r="B338" s="2"/>
      <c r="C338" s="2"/>
      <c r="D338" s="27"/>
      <c r="E338" s="27"/>
      <c r="F338" s="27"/>
      <c r="G338" s="215"/>
      <c r="H338" s="215"/>
      <c r="I338" s="27"/>
      <c r="J338" s="27"/>
      <c r="K338" s="27"/>
      <c r="L338" s="27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2:47" ht="15.75" customHeight="1" x14ac:dyDescent="0.2">
      <c r="B339" s="2"/>
      <c r="C339" s="2"/>
      <c r="D339" s="27"/>
      <c r="E339" s="27"/>
      <c r="F339" s="27"/>
      <c r="G339" s="215"/>
      <c r="H339" s="215"/>
      <c r="I339" s="27"/>
      <c r="J339" s="27"/>
      <c r="K339" s="27"/>
      <c r="L339" s="27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2:47" ht="15.75" customHeight="1" x14ac:dyDescent="0.2">
      <c r="B340" s="2"/>
      <c r="C340" s="2"/>
      <c r="D340" s="27"/>
      <c r="E340" s="27"/>
      <c r="F340" s="27"/>
      <c r="G340" s="215"/>
      <c r="H340" s="215"/>
      <c r="I340" s="27"/>
      <c r="J340" s="27"/>
      <c r="K340" s="27"/>
      <c r="L340" s="27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2:47" ht="15.75" customHeight="1" x14ac:dyDescent="0.2">
      <c r="B341" s="2"/>
      <c r="C341" s="2"/>
      <c r="D341" s="27"/>
      <c r="E341" s="27"/>
      <c r="F341" s="27"/>
      <c r="G341" s="215"/>
      <c r="H341" s="215"/>
      <c r="I341" s="27"/>
      <c r="J341" s="27"/>
      <c r="K341" s="27"/>
      <c r="L341" s="27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2:47" ht="15.75" customHeight="1" x14ac:dyDescent="0.2">
      <c r="B342" s="2"/>
      <c r="C342" s="2"/>
      <c r="D342" s="27"/>
      <c r="E342" s="27"/>
      <c r="F342" s="27"/>
      <c r="G342" s="215"/>
      <c r="H342" s="215"/>
      <c r="I342" s="27"/>
      <c r="J342" s="27"/>
      <c r="K342" s="27"/>
      <c r="L342" s="2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2:47" ht="15.75" customHeight="1" x14ac:dyDescent="0.2">
      <c r="B343" s="2"/>
      <c r="C343" s="2"/>
      <c r="D343" s="27"/>
      <c r="E343" s="27"/>
      <c r="F343" s="27"/>
      <c r="G343" s="215"/>
      <c r="H343" s="215"/>
      <c r="I343" s="27"/>
      <c r="J343" s="27"/>
      <c r="K343" s="27"/>
      <c r="L343" s="2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2:47" ht="15.75" customHeight="1" x14ac:dyDescent="0.2">
      <c r="B344" s="2"/>
      <c r="C344" s="2"/>
      <c r="D344" s="27"/>
      <c r="E344" s="27"/>
      <c r="F344" s="27"/>
      <c r="G344" s="215"/>
      <c r="H344" s="215"/>
      <c r="I344" s="27"/>
      <c r="J344" s="27"/>
      <c r="K344" s="27"/>
      <c r="L344" s="27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2:47" ht="15.75" customHeight="1" x14ac:dyDescent="0.2">
      <c r="B345" s="2"/>
      <c r="C345" s="2"/>
      <c r="D345" s="27"/>
      <c r="E345" s="27"/>
      <c r="F345" s="27"/>
      <c r="G345" s="215"/>
      <c r="H345" s="215"/>
      <c r="I345" s="27"/>
      <c r="J345" s="27"/>
      <c r="K345" s="27"/>
      <c r="L345" s="27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2:47" ht="15.75" customHeight="1" x14ac:dyDescent="0.2">
      <c r="B346" s="2"/>
      <c r="C346" s="2"/>
      <c r="D346" s="27"/>
      <c r="E346" s="27"/>
      <c r="F346" s="27"/>
      <c r="G346" s="215"/>
      <c r="H346" s="215"/>
      <c r="I346" s="27"/>
      <c r="J346" s="27"/>
      <c r="K346" s="27"/>
      <c r="L346" s="27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2:47" ht="15.75" customHeight="1" x14ac:dyDescent="0.2">
      <c r="B347" s="2"/>
      <c r="C347" s="2"/>
      <c r="D347" s="27"/>
      <c r="E347" s="27"/>
      <c r="F347" s="27"/>
      <c r="G347" s="215"/>
      <c r="H347" s="215"/>
      <c r="I347" s="27"/>
      <c r="J347" s="27"/>
      <c r="K347" s="27"/>
      <c r="L347" s="27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2:47" ht="15.75" customHeight="1" x14ac:dyDescent="0.2">
      <c r="B348" s="2"/>
      <c r="C348" s="2"/>
      <c r="D348" s="27"/>
      <c r="E348" s="27"/>
      <c r="F348" s="27"/>
      <c r="G348" s="215"/>
      <c r="H348" s="215"/>
      <c r="I348" s="27"/>
      <c r="J348" s="27"/>
      <c r="K348" s="27"/>
      <c r="L348" s="27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2:47" ht="15.75" customHeight="1" x14ac:dyDescent="0.2">
      <c r="B349" s="2"/>
      <c r="C349" s="2"/>
      <c r="D349" s="27"/>
      <c r="E349" s="27"/>
      <c r="F349" s="27"/>
      <c r="G349" s="215"/>
      <c r="H349" s="215"/>
      <c r="I349" s="27"/>
      <c r="J349" s="27"/>
      <c r="K349" s="27"/>
      <c r="L349" s="27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2:47" ht="15.75" customHeight="1" x14ac:dyDescent="0.2">
      <c r="B350" s="2"/>
      <c r="C350" s="2"/>
      <c r="D350" s="27"/>
      <c r="E350" s="27"/>
      <c r="F350" s="27"/>
      <c r="G350" s="215"/>
      <c r="H350" s="215"/>
      <c r="I350" s="27"/>
      <c r="J350" s="27"/>
      <c r="K350" s="27"/>
      <c r="L350" s="27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2:47" ht="15.75" customHeight="1" x14ac:dyDescent="0.2">
      <c r="B351" s="2"/>
      <c r="C351" s="2"/>
      <c r="D351" s="27"/>
      <c r="E351" s="27"/>
      <c r="F351" s="27"/>
      <c r="G351" s="215"/>
      <c r="H351" s="215"/>
      <c r="I351" s="27"/>
      <c r="J351" s="27"/>
      <c r="K351" s="27"/>
      <c r="L351" s="27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2:47" ht="15.75" customHeight="1" x14ac:dyDescent="0.2">
      <c r="B352" s="2"/>
      <c r="C352" s="2"/>
      <c r="D352" s="27"/>
      <c r="E352" s="27"/>
      <c r="F352" s="27"/>
      <c r="G352" s="215"/>
      <c r="H352" s="215"/>
      <c r="I352" s="27"/>
      <c r="J352" s="27"/>
      <c r="K352" s="27"/>
      <c r="L352" s="27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2:47" ht="15.75" customHeight="1" x14ac:dyDescent="0.2">
      <c r="B353" s="2"/>
      <c r="C353" s="2"/>
      <c r="D353" s="27"/>
      <c r="E353" s="27"/>
      <c r="F353" s="27"/>
      <c r="G353" s="215"/>
      <c r="H353" s="215"/>
      <c r="I353" s="27"/>
      <c r="J353" s="27"/>
      <c r="K353" s="27"/>
      <c r="L353" s="27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2:47" ht="15.75" customHeight="1" x14ac:dyDescent="0.2">
      <c r="B354" s="2"/>
      <c r="C354" s="2"/>
      <c r="D354" s="27"/>
      <c r="E354" s="27"/>
      <c r="F354" s="27"/>
      <c r="G354" s="215"/>
      <c r="H354" s="215"/>
      <c r="I354" s="27"/>
      <c r="J354" s="27"/>
      <c r="K354" s="27"/>
      <c r="L354" s="27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2:47" ht="15.75" customHeight="1" x14ac:dyDescent="0.2">
      <c r="B355" s="2"/>
      <c r="C355" s="2"/>
      <c r="D355" s="27"/>
      <c r="E355" s="27"/>
      <c r="F355" s="27"/>
      <c r="G355" s="215"/>
      <c r="H355" s="215"/>
      <c r="I355" s="27"/>
      <c r="J355" s="27"/>
      <c r="K355" s="27"/>
      <c r="L355" s="27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2:47" ht="15.75" customHeight="1" x14ac:dyDescent="0.2">
      <c r="B356" s="2"/>
      <c r="C356" s="2"/>
      <c r="D356" s="27"/>
      <c r="E356" s="27"/>
      <c r="F356" s="27"/>
      <c r="G356" s="215"/>
      <c r="H356" s="215"/>
      <c r="I356" s="27"/>
      <c r="J356" s="27"/>
      <c r="K356" s="27"/>
      <c r="L356" s="27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2:47" ht="15.75" customHeight="1" x14ac:dyDescent="0.2">
      <c r="B357" s="2"/>
      <c r="C357" s="2"/>
      <c r="D357" s="27"/>
      <c r="E357" s="27"/>
      <c r="F357" s="27"/>
      <c r="G357" s="215"/>
      <c r="H357" s="215"/>
      <c r="I357" s="27"/>
      <c r="J357" s="27"/>
      <c r="K357" s="27"/>
      <c r="L357" s="27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2:47" ht="15.75" customHeight="1" x14ac:dyDescent="0.2">
      <c r="B358" s="2"/>
      <c r="C358" s="2"/>
      <c r="D358" s="27"/>
      <c r="E358" s="27"/>
      <c r="F358" s="27"/>
      <c r="G358" s="215"/>
      <c r="H358" s="215"/>
      <c r="I358" s="27"/>
      <c r="J358" s="27"/>
      <c r="K358" s="27"/>
      <c r="L358" s="27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2:47" ht="15.75" customHeight="1" x14ac:dyDescent="0.2">
      <c r="B359" s="2"/>
      <c r="C359" s="2"/>
      <c r="D359" s="27"/>
      <c r="E359" s="27"/>
      <c r="F359" s="27"/>
      <c r="G359" s="215"/>
      <c r="H359" s="215"/>
      <c r="I359" s="27"/>
      <c r="J359" s="27"/>
      <c r="K359" s="27"/>
      <c r="L359" s="27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2:47" ht="15.75" customHeight="1" x14ac:dyDescent="0.2">
      <c r="B360" s="2"/>
      <c r="C360" s="2"/>
      <c r="D360" s="27"/>
      <c r="E360" s="27"/>
      <c r="F360" s="27"/>
      <c r="G360" s="215"/>
      <c r="H360" s="215"/>
      <c r="I360" s="27"/>
      <c r="J360" s="27"/>
      <c r="K360" s="27"/>
      <c r="L360" s="27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2:47" ht="15.75" customHeight="1" x14ac:dyDescent="0.2">
      <c r="B361" s="2"/>
      <c r="C361" s="2"/>
      <c r="D361" s="27"/>
      <c r="E361" s="27"/>
      <c r="F361" s="27"/>
      <c r="G361" s="215"/>
      <c r="H361" s="215"/>
      <c r="I361" s="27"/>
      <c r="J361" s="27"/>
      <c r="K361" s="27"/>
      <c r="L361" s="27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2:47" ht="15.75" customHeight="1" x14ac:dyDescent="0.2">
      <c r="B362" s="2"/>
      <c r="C362" s="2"/>
      <c r="D362" s="27"/>
      <c r="E362" s="27"/>
      <c r="F362" s="27"/>
      <c r="G362" s="215"/>
      <c r="H362" s="215"/>
      <c r="I362" s="27"/>
      <c r="J362" s="27"/>
      <c r="K362" s="27"/>
      <c r="L362" s="2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2:47" ht="15.75" customHeight="1" x14ac:dyDescent="0.2">
      <c r="B363" s="2"/>
      <c r="C363" s="2"/>
      <c r="D363" s="27"/>
      <c r="E363" s="27"/>
      <c r="F363" s="27"/>
      <c r="G363" s="215"/>
      <c r="H363" s="215"/>
      <c r="I363" s="27"/>
      <c r="J363" s="27"/>
      <c r="K363" s="27"/>
      <c r="L363" s="2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2:47" ht="15.75" customHeight="1" x14ac:dyDescent="0.2">
      <c r="B364" s="2"/>
      <c r="C364" s="2"/>
      <c r="D364" s="27"/>
      <c r="E364" s="27"/>
      <c r="F364" s="27"/>
      <c r="G364" s="215"/>
      <c r="H364" s="215"/>
      <c r="I364" s="27"/>
      <c r="J364" s="27"/>
      <c r="K364" s="27"/>
      <c r="L364" s="2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2:47" ht="15.75" customHeight="1" x14ac:dyDescent="0.2">
      <c r="B365" s="2"/>
      <c r="C365" s="2"/>
      <c r="D365" s="27"/>
      <c r="E365" s="27"/>
      <c r="F365" s="27"/>
      <c r="G365" s="215"/>
      <c r="H365" s="215"/>
      <c r="I365" s="27"/>
      <c r="J365" s="27"/>
      <c r="K365" s="27"/>
      <c r="L365" s="2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2:47" ht="15.75" customHeight="1" x14ac:dyDescent="0.2">
      <c r="B366" s="2"/>
      <c r="C366" s="2"/>
      <c r="D366" s="27"/>
      <c r="E366" s="27"/>
      <c r="F366" s="27"/>
      <c r="G366" s="215"/>
      <c r="H366" s="215"/>
      <c r="I366" s="27"/>
      <c r="J366" s="27"/>
      <c r="K366" s="27"/>
      <c r="L366" s="2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2:47" ht="15.75" customHeight="1" x14ac:dyDescent="0.2">
      <c r="B367" s="2"/>
      <c r="C367" s="2"/>
      <c r="D367" s="27"/>
      <c r="E367" s="27"/>
      <c r="F367" s="27"/>
      <c r="G367" s="215"/>
      <c r="H367" s="215"/>
      <c r="I367" s="27"/>
      <c r="J367" s="27"/>
      <c r="K367" s="27"/>
      <c r="L367" s="27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2:47" ht="15.75" customHeight="1" x14ac:dyDescent="0.2">
      <c r="B368" s="2"/>
      <c r="C368" s="2"/>
      <c r="D368" s="27"/>
      <c r="E368" s="27"/>
      <c r="F368" s="27"/>
      <c r="G368" s="215"/>
      <c r="H368" s="215"/>
      <c r="I368" s="27"/>
      <c r="J368" s="27"/>
      <c r="K368" s="27"/>
      <c r="L368" s="27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2:47" ht="15.75" customHeight="1" x14ac:dyDescent="0.2">
      <c r="B369" s="2"/>
      <c r="C369" s="2"/>
      <c r="D369" s="27"/>
      <c r="E369" s="27"/>
      <c r="F369" s="27"/>
      <c r="G369" s="215"/>
      <c r="H369" s="215"/>
      <c r="I369" s="27"/>
      <c r="J369" s="27"/>
      <c r="K369" s="27"/>
      <c r="L369" s="27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2:47" ht="15.75" customHeight="1" x14ac:dyDescent="0.2">
      <c r="B370" s="2"/>
      <c r="C370" s="2"/>
      <c r="D370" s="27"/>
      <c r="E370" s="27"/>
      <c r="F370" s="27"/>
      <c r="G370" s="215"/>
      <c r="H370" s="215"/>
      <c r="I370" s="27"/>
      <c r="J370" s="27"/>
      <c r="K370" s="27"/>
      <c r="L370" s="2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2:47" ht="15.75" customHeight="1" x14ac:dyDescent="0.2">
      <c r="B371" s="2"/>
      <c r="C371" s="2"/>
      <c r="D371" s="27"/>
      <c r="E371" s="27"/>
      <c r="F371" s="27"/>
      <c r="G371" s="215"/>
      <c r="H371" s="215"/>
      <c r="I371" s="27"/>
      <c r="J371" s="27"/>
      <c r="K371" s="27"/>
      <c r="L371" s="2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2:47" ht="15.75" customHeight="1" x14ac:dyDescent="0.2">
      <c r="B372" s="2"/>
      <c r="C372" s="2"/>
      <c r="D372" s="27"/>
      <c r="E372" s="27"/>
      <c r="F372" s="27"/>
      <c r="G372" s="215"/>
      <c r="H372" s="215"/>
      <c r="I372" s="27"/>
      <c r="J372" s="27"/>
      <c r="K372" s="27"/>
      <c r="L372" s="2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2:47" ht="15.75" customHeight="1" x14ac:dyDescent="0.2">
      <c r="B373" s="2"/>
      <c r="C373" s="2"/>
      <c r="D373" s="27"/>
      <c r="E373" s="27"/>
      <c r="F373" s="27"/>
      <c r="G373" s="215"/>
      <c r="H373" s="215"/>
      <c r="I373" s="27"/>
      <c r="J373" s="27"/>
      <c r="K373" s="27"/>
      <c r="L373" s="27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2:47" ht="15.75" customHeight="1" x14ac:dyDescent="0.2">
      <c r="B374" s="2"/>
      <c r="C374" s="2"/>
      <c r="D374" s="27"/>
      <c r="E374" s="27"/>
      <c r="F374" s="27"/>
      <c r="G374" s="215"/>
      <c r="H374" s="215"/>
      <c r="I374" s="27"/>
      <c r="J374" s="27"/>
      <c r="K374" s="27"/>
      <c r="L374" s="27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2:47" ht="15.75" customHeight="1" x14ac:dyDescent="0.2">
      <c r="B375" s="2"/>
      <c r="C375" s="2"/>
      <c r="D375" s="27"/>
      <c r="E375" s="27"/>
      <c r="F375" s="27"/>
      <c r="G375" s="215"/>
      <c r="H375" s="215"/>
      <c r="I375" s="27"/>
      <c r="J375" s="27"/>
      <c r="K375" s="27"/>
      <c r="L375" s="27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2:47" ht="15.75" customHeight="1" x14ac:dyDescent="0.2">
      <c r="B376" s="2"/>
      <c r="C376" s="2"/>
      <c r="D376" s="27"/>
      <c r="E376" s="27"/>
      <c r="F376" s="27"/>
      <c r="G376" s="215"/>
      <c r="H376" s="215"/>
      <c r="I376" s="27"/>
      <c r="J376" s="27"/>
      <c r="K376" s="27"/>
      <c r="L376" s="27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2:47" ht="15.75" customHeight="1" x14ac:dyDescent="0.2">
      <c r="B377" s="2"/>
      <c r="C377" s="2"/>
      <c r="D377" s="27"/>
      <c r="E377" s="27"/>
      <c r="F377" s="27"/>
      <c r="G377" s="215"/>
      <c r="H377" s="215"/>
      <c r="I377" s="27"/>
      <c r="J377" s="27"/>
      <c r="K377" s="27"/>
      <c r="L377" s="27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2:47" ht="15.75" customHeight="1" x14ac:dyDescent="0.2">
      <c r="B378" s="2"/>
      <c r="C378" s="2"/>
      <c r="D378" s="27"/>
      <c r="E378" s="27"/>
      <c r="F378" s="27"/>
      <c r="G378" s="215"/>
      <c r="H378" s="215"/>
      <c r="I378" s="27"/>
      <c r="J378" s="27"/>
      <c r="K378" s="27"/>
      <c r="L378" s="27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2:47" ht="15.75" customHeight="1" x14ac:dyDescent="0.2">
      <c r="B379" s="2"/>
      <c r="C379" s="2"/>
      <c r="D379" s="27"/>
      <c r="E379" s="27"/>
      <c r="F379" s="27"/>
      <c r="G379" s="215"/>
      <c r="H379" s="215"/>
      <c r="I379" s="27"/>
      <c r="J379" s="27"/>
      <c r="K379" s="27"/>
      <c r="L379" s="27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2:47" ht="15.75" customHeight="1" x14ac:dyDescent="0.2">
      <c r="B380" s="2"/>
      <c r="C380" s="2"/>
      <c r="D380" s="27"/>
      <c r="E380" s="27"/>
      <c r="F380" s="27"/>
      <c r="G380" s="215"/>
      <c r="H380" s="215"/>
      <c r="I380" s="27"/>
      <c r="J380" s="27"/>
      <c r="K380" s="27"/>
      <c r="L380" s="27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2:47" ht="15.75" customHeight="1" x14ac:dyDescent="0.2">
      <c r="B381" s="2"/>
      <c r="C381" s="2"/>
      <c r="D381" s="27"/>
      <c r="E381" s="27"/>
      <c r="F381" s="27"/>
      <c r="G381" s="215"/>
      <c r="H381" s="215"/>
      <c r="I381" s="27"/>
      <c r="J381" s="27"/>
      <c r="K381" s="27"/>
      <c r="L381" s="27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2:47" ht="15.75" customHeight="1" x14ac:dyDescent="0.2">
      <c r="B382" s="2"/>
      <c r="C382" s="2"/>
      <c r="D382" s="27"/>
      <c r="E382" s="27"/>
      <c r="F382" s="27"/>
      <c r="G382" s="215"/>
      <c r="H382" s="215"/>
      <c r="I382" s="27"/>
      <c r="J382" s="27"/>
      <c r="K382" s="27"/>
      <c r="L382" s="27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2:47" ht="15.75" customHeight="1" x14ac:dyDescent="0.2">
      <c r="B383" s="2"/>
      <c r="C383" s="2"/>
      <c r="D383" s="27"/>
      <c r="E383" s="27"/>
      <c r="F383" s="27"/>
      <c r="G383" s="215"/>
      <c r="H383" s="215"/>
      <c r="I383" s="27"/>
      <c r="J383" s="27"/>
      <c r="K383" s="27"/>
      <c r="L383" s="27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2:47" ht="15.75" customHeight="1" x14ac:dyDescent="0.2">
      <c r="B384" s="2"/>
      <c r="C384" s="2"/>
      <c r="D384" s="27"/>
      <c r="E384" s="27"/>
      <c r="F384" s="27"/>
      <c r="G384" s="215"/>
      <c r="H384" s="215"/>
      <c r="I384" s="27"/>
      <c r="J384" s="27"/>
      <c r="K384" s="27"/>
      <c r="L384" s="27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2:47" ht="15.75" customHeight="1" x14ac:dyDescent="0.2">
      <c r="B385" s="2"/>
      <c r="C385" s="2"/>
      <c r="D385" s="27"/>
      <c r="E385" s="27"/>
      <c r="F385" s="27"/>
      <c r="G385" s="215"/>
      <c r="H385" s="215"/>
      <c r="I385" s="27"/>
      <c r="J385" s="27"/>
      <c r="K385" s="27"/>
      <c r="L385" s="27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2:47" ht="15.75" customHeight="1" x14ac:dyDescent="0.2">
      <c r="B386" s="2"/>
      <c r="C386" s="2"/>
      <c r="D386" s="27"/>
      <c r="E386" s="27"/>
      <c r="F386" s="27"/>
      <c r="G386" s="215"/>
      <c r="H386" s="215"/>
      <c r="I386" s="27"/>
      <c r="J386" s="27"/>
      <c r="K386" s="27"/>
      <c r="L386" s="27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2:47" ht="15.75" customHeight="1" x14ac:dyDescent="0.2">
      <c r="B387" s="2"/>
      <c r="C387" s="2"/>
      <c r="D387" s="27"/>
      <c r="E387" s="27"/>
      <c r="F387" s="27"/>
      <c r="G387" s="215"/>
      <c r="H387" s="215"/>
      <c r="I387" s="27"/>
      <c r="J387" s="27"/>
      <c r="K387" s="27"/>
      <c r="L387" s="27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2:47" ht="15.75" customHeight="1" x14ac:dyDescent="0.2">
      <c r="B388" s="2"/>
      <c r="C388" s="2"/>
      <c r="D388" s="27"/>
      <c r="E388" s="27"/>
      <c r="F388" s="27"/>
      <c r="G388" s="215"/>
      <c r="H388" s="215"/>
      <c r="I388" s="27"/>
      <c r="J388" s="27"/>
      <c r="K388" s="27"/>
      <c r="L388" s="27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2:47" ht="15.75" customHeight="1" x14ac:dyDescent="0.2">
      <c r="B389" s="2"/>
      <c r="C389" s="2"/>
      <c r="D389" s="27"/>
      <c r="E389" s="27"/>
      <c r="F389" s="27"/>
      <c r="G389" s="215"/>
      <c r="H389" s="215"/>
      <c r="I389" s="27"/>
      <c r="J389" s="27"/>
      <c r="K389" s="27"/>
      <c r="L389" s="27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2:47" ht="15.75" customHeight="1" x14ac:dyDescent="0.2">
      <c r="B390" s="2"/>
      <c r="C390" s="2"/>
      <c r="D390" s="27"/>
      <c r="E390" s="27"/>
      <c r="F390" s="27"/>
      <c r="G390" s="215"/>
      <c r="H390" s="215"/>
      <c r="I390" s="27"/>
      <c r="J390" s="27"/>
      <c r="K390" s="27"/>
      <c r="L390" s="27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2:47" ht="15.75" customHeight="1" x14ac:dyDescent="0.2">
      <c r="B391" s="2"/>
      <c r="C391" s="2"/>
      <c r="D391" s="27"/>
      <c r="E391" s="27"/>
      <c r="F391" s="27"/>
      <c r="G391" s="215"/>
      <c r="H391" s="215"/>
      <c r="I391" s="27"/>
      <c r="J391" s="27"/>
      <c r="K391" s="27"/>
      <c r="L391" s="27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2:47" ht="15.75" customHeight="1" x14ac:dyDescent="0.2">
      <c r="B392" s="2"/>
      <c r="C392" s="2"/>
      <c r="D392" s="27"/>
      <c r="E392" s="27"/>
      <c r="F392" s="27"/>
      <c r="G392" s="215"/>
      <c r="H392" s="215"/>
      <c r="I392" s="27"/>
      <c r="J392" s="27"/>
      <c r="K392" s="27"/>
      <c r="L392" s="27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2:47" ht="15.75" customHeight="1" x14ac:dyDescent="0.2">
      <c r="B393" s="2"/>
      <c r="C393" s="2"/>
      <c r="D393" s="27"/>
      <c r="E393" s="27"/>
      <c r="F393" s="27"/>
      <c r="G393" s="215"/>
      <c r="H393" s="215"/>
      <c r="I393" s="27"/>
      <c r="J393" s="27"/>
      <c r="K393" s="27"/>
      <c r="L393" s="27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2:47" ht="15.75" customHeight="1" x14ac:dyDescent="0.2">
      <c r="B394" s="2"/>
      <c r="C394" s="2"/>
      <c r="D394" s="27"/>
      <c r="E394" s="27"/>
      <c r="F394" s="27"/>
      <c r="G394" s="215"/>
      <c r="H394" s="215"/>
      <c r="I394" s="27"/>
      <c r="J394" s="27"/>
      <c r="K394" s="27"/>
      <c r="L394" s="27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2:47" ht="15.75" customHeight="1" x14ac:dyDescent="0.2">
      <c r="B395" s="2"/>
      <c r="C395" s="2"/>
      <c r="D395" s="27"/>
      <c r="E395" s="27"/>
      <c r="F395" s="27"/>
      <c r="G395" s="215"/>
      <c r="H395" s="215"/>
      <c r="I395" s="27"/>
      <c r="J395" s="27"/>
      <c r="K395" s="27"/>
      <c r="L395" s="27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2:47" ht="15.75" customHeight="1" x14ac:dyDescent="0.2">
      <c r="B396" s="2"/>
      <c r="C396" s="2"/>
      <c r="D396" s="27"/>
      <c r="E396" s="27"/>
      <c r="F396" s="27"/>
      <c r="G396" s="215"/>
      <c r="H396" s="215"/>
      <c r="I396" s="27"/>
      <c r="J396" s="27"/>
      <c r="K396" s="27"/>
      <c r="L396" s="27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2:47" ht="15.75" customHeight="1" x14ac:dyDescent="0.2">
      <c r="B397" s="2"/>
      <c r="C397" s="2"/>
      <c r="D397" s="27"/>
      <c r="E397" s="27"/>
      <c r="F397" s="27"/>
      <c r="G397" s="215"/>
      <c r="H397" s="215"/>
      <c r="I397" s="27"/>
      <c r="J397" s="27"/>
      <c r="K397" s="27"/>
      <c r="L397" s="27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2:47" ht="15.75" customHeight="1" x14ac:dyDescent="0.2">
      <c r="B398" s="2"/>
      <c r="C398" s="2"/>
      <c r="D398" s="27"/>
      <c r="E398" s="27"/>
      <c r="F398" s="27"/>
      <c r="G398" s="215"/>
      <c r="H398" s="215"/>
      <c r="I398" s="27"/>
      <c r="J398" s="27"/>
      <c r="K398" s="27"/>
      <c r="L398" s="27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2:47" ht="15.75" customHeight="1" x14ac:dyDescent="0.2">
      <c r="B399" s="2"/>
      <c r="C399" s="2"/>
      <c r="D399" s="27"/>
      <c r="E399" s="27"/>
      <c r="F399" s="27"/>
      <c r="G399" s="215"/>
      <c r="H399" s="215"/>
      <c r="I399" s="27"/>
      <c r="J399" s="27"/>
      <c r="K399" s="27"/>
      <c r="L399" s="27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2:47" ht="15.75" customHeight="1" x14ac:dyDescent="0.2">
      <c r="B400" s="2"/>
      <c r="C400" s="2"/>
      <c r="D400" s="27"/>
      <c r="E400" s="27"/>
      <c r="F400" s="27"/>
      <c r="G400" s="215"/>
      <c r="H400" s="215"/>
      <c r="I400" s="27"/>
      <c r="J400" s="27"/>
      <c r="K400" s="27"/>
      <c r="L400" s="27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2:47" ht="15.75" customHeight="1" x14ac:dyDescent="0.2">
      <c r="B401" s="2"/>
      <c r="C401" s="2"/>
      <c r="D401" s="27"/>
      <c r="E401" s="27"/>
      <c r="F401" s="27"/>
      <c r="G401" s="215"/>
      <c r="H401" s="215"/>
      <c r="I401" s="27"/>
      <c r="J401" s="27"/>
      <c r="K401" s="27"/>
      <c r="L401" s="27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2:47" ht="15.75" customHeight="1" x14ac:dyDescent="0.2">
      <c r="B402" s="2"/>
      <c r="C402" s="2"/>
      <c r="D402" s="27"/>
      <c r="E402" s="27"/>
      <c r="F402" s="27"/>
      <c r="G402" s="215"/>
      <c r="H402" s="215"/>
      <c r="I402" s="27"/>
      <c r="J402" s="27"/>
      <c r="K402" s="27"/>
      <c r="L402" s="27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2:47" ht="15.75" customHeight="1" x14ac:dyDescent="0.2">
      <c r="B403" s="2"/>
      <c r="C403" s="2"/>
      <c r="D403" s="27"/>
      <c r="E403" s="27"/>
      <c r="F403" s="27"/>
      <c r="G403" s="215"/>
      <c r="H403" s="215"/>
      <c r="I403" s="27"/>
      <c r="J403" s="27"/>
      <c r="K403" s="27"/>
      <c r="L403" s="27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2:47" ht="15.75" customHeight="1" x14ac:dyDescent="0.2">
      <c r="B404" s="2"/>
      <c r="C404" s="2"/>
      <c r="D404" s="27"/>
      <c r="E404" s="27"/>
      <c r="F404" s="27"/>
      <c r="G404" s="215"/>
      <c r="H404" s="215"/>
      <c r="I404" s="27"/>
      <c r="J404" s="27"/>
      <c r="K404" s="27"/>
      <c r="L404" s="27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2:47" ht="15.75" customHeight="1" x14ac:dyDescent="0.2">
      <c r="B405" s="2"/>
      <c r="C405" s="2"/>
      <c r="D405" s="27"/>
      <c r="E405" s="27"/>
      <c r="F405" s="27"/>
      <c r="G405" s="215"/>
      <c r="H405" s="215"/>
      <c r="I405" s="27"/>
      <c r="J405" s="27"/>
      <c r="K405" s="27"/>
      <c r="L405" s="27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2:47" ht="15.75" customHeight="1" x14ac:dyDescent="0.2">
      <c r="B406" s="2"/>
      <c r="C406" s="2"/>
      <c r="D406" s="27"/>
      <c r="E406" s="27"/>
      <c r="F406" s="27"/>
      <c r="G406" s="215"/>
      <c r="H406" s="215"/>
      <c r="I406" s="27"/>
      <c r="J406" s="27"/>
      <c r="K406" s="27"/>
      <c r="L406" s="27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2:47" ht="15.75" customHeight="1" x14ac:dyDescent="0.2">
      <c r="B407" s="2"/>
      <c r="C407" s="2"/>
      <c r="D407" s="27"/>
      <c r="E407" s="27"/>
      <c r="F407" s="27"/>
      <c r="G407" s="215"/>
      <c r="H407" s="215"/>
      <c r="I407" s="27"/>
      <c r="J407" s="27"/>
      <c r="K407" s="27"/>
      <c r="L407" s="27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2:47" ht="15.75" customHeight="1" x14ac:dyDescent="0.2">
      <c r="B408" s="2"/>
      <c r="C408" s="2"/>
      <c r="D408" s="27"/>
      <c r="E408" s="27"/>
      <c r="F408" s="27"/>
      <c r="G408" s="215"/>
      <c r="H408" s="215"/>
      <c r="I408" s="27"/>
      <c r="J408" s="27"/>
      <c r="K408" s="27"/>
      <c r="L408" s="27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2:47" ht="15.75" customHeight="1" x14ac:dyDescent="0.2">
      <c r="B409" s="2"/>
      <c r="C409" s="2"/>
      <c r="D409" s="27"/>
      <c r="E409" s="27"/>
      <c r="F409" s="27"/>
      <c r="G409" s="215"/>
      <c r="H409" s="215"/>
      <c r="I409" s="27"/>
      <c r="J409" s="27"/>
      <c r="K409" s="27"/>
      <c r="L409" s="27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2:47" ht="15.75" customHeight="1" x14ac:dyDescent="0.2">
      <c r="B410" s="2"/>
      <c r="C410" s="2"/>
      <c r="D410" s="27"/>
      <c r="E410" s="27"/>
      <c r="F410" s="27"/>
      <c r="G410" s="215"/>
      <c r="H410" s="215"/>
      <c r="I410" s="27"/>
      <c r="J410" s="27"/>
      <c r="K410" s="27"/>
      <c r="L410" s="27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2:47" ht="15.75" customHeight="1" x14ac:dyDescent="0.2">
      <c r="B411" s="2"/>
      <c r="C411" s="2"/>
      <c r="D411" s="27"/>
      <c r="E411" s="27"/>
      <c r="F411" s="27"/>
      <c r="G411" s="215"/>
      <c r="H411" s="215"/>
      <c r="I411" s="27"/>
      <c r="J411" s="27"/>
      <c r="K411" s="27"/>
      <c r="L411" s="27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2:47" ht="15.75" customHeight="1" x14ac:dyDescent="0.2">
      <c r="B412" s="2"/>
      <c r="C412" s="2"/>
      <c r="D412" s="27"/>
      <c r="E412" s="27"/>
      <c r="F412" s="27"/>
      <c r="G412" s="215"/>
      <c r="H412" s="215"/>
      <c r="I412" s="27"/>
      <c r="J412" s="27"/>
      <c r="K412" s="27"/>
      <c r="L412" s="2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2:47" ht="15.75" customHeight="1" x14ac:dyDescent="0.2">
      <c r="B413" s="2"/>
      <c r="C413" s="2"/>
      <c r="D413" s="27"/>
      <c r="E413" s="27"/>
      <c r="F413" s="27"/>
      <c r="G413" s="215"/>
      <c r="H413" s="215"/>
      <c r="I413" s="27"/>
      <c r="J413" s="27"/>
      <c r="K413" s="27"/>
      <c r="L413" s="2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2:47" ht="15.75" customHeight="1" x14ac:dyDescent="0.2">
      <c r="B414" s="2"/>
      <c r="C414" s="2"/>
      <c r="D414" s="27"/>
      <c r="E414" s="27"/>
      <c r="F414" s="27"/>
      <c r="G414" s="215"/>
      <c r="H414" s="215"/>
      <c r="I414" s="27"/>
      <c r="J414" s="27"/>
      <c r="K414" s="27"/>
      <c r="L414" s="2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2:47" ht="15.75" customHeight="1" x14ac:dyDescent="0.2">
      <c r="B415" s="2"/>
      <c r="C415" s="2"/>
      <c r="D415" s="27"/>
      <c r="E415" s="27"/>
      <c r="F415" s="27"/>
      <c r="G415" s="215"/>
      <c r="H415" s="215"/>
      <c r="I415" s="27"/>
      <c r="J415" s="27"/>
      <c r="K415" s="27"/>
      <c r="L415" s="2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2:47" ht="15.75" customHeight="1" x14ac:dyDescent="0.2">
      <c r="B416" s="2"/>
      <c r="C416" s="2"/>
      <c r="D416" s="27"/>
      <c r="E416" s="27"/>
      <c r="F416" s="27"/>
      <c r="G416" s="215"/>
      <c r="H416" s="215"/>
      <c r="I416" s="27"/>
      <c r="J416" s="27"/>
      <c r="K416" s="27"/>
      <c r="L416" s="2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2:47" ht="15.75" customHeight="1" x14ac:dyDescent="0.2">
      <c r="B417" s="2"/>
      <c r="C417" s="2"/>
      <c r="D417" s="27"/>
      <c r="E417" s="27"/>
      <c r="F417" s="27"/>
      <c r="G417" s="215"/>
      <c r="H417" s="215"/>
      <c r="I417" s="27"/>
      <c r="J417" s="27"/>
      <c r="K417" s="27"/>
      <c r="L417" s="2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2:47" ht="15.75" customHeight="1" x14ac:dyDescent="0.2">
      <c r="B418" s="2"/>
      <c r="C418" s="2"/>
      <c r="D418" s="27"/>
      <c r="E418" s="27"/>
      <c r="F418" s="27"/>
      <c r="G418" s="215"/>
      <c r="H418" s="215"/>
      <c r="I418" s="27"/>
      <c r="J418" s="27"/>
      <c r="K418" s="27"/>
      <c r="L418" s="2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2:47" ht="15.75" customHeight="1" x14ac:dyDescent="0.2">
      <c r="B419" s="2"/>
      <c r="C419" s="2"/>
      <c r="D419" s="27"/>
      <c r="E419" s="27"/>
      <c r="F419" s="27"/>
      <c r="G419" s="215"/>
      <c r="H419" s="215"/>
      <c r="I419" s="27"/>
      <c r="J419" s="27"/>
      <c r="K419" s="27"/>
      <c r="L419" s="2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2:47" ht="15.75" customHeight="1" x14ac:dyDescent="0.2">
      <c r="B420" s="2"/>
      <c r="C420" s="2"/>
      <c r="D420" s="27"/>
      <c r="E420" s="27"/>
      <c r="F420" s="27"/>
      <c r="G420" s="215"/>
      <c r="H420" s="215"/>
      <c r="I420" s="27"/>
      <c r="J420" s="27"/>
      <c r="K420" s="27"/>
      <c r="L420" s="2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2:47" ht="15.75" customHeight="1" x14ac:dyDescent="0.2">
      <c r="B421" s="2"/>
      <c r="C421" s="2"/>
      <c r="D421" s="27"/>
      <c r="E421" s="27"/>
      <c r="F421" s="27"/>
      <c r="G421" s="215"/>
      <c r="H421" s="215"/>
      <c r="I421" s="27"/>
      <c r="J421" s="27"/>
      <c r="K421" s="27"/>
      <c r="L421" s="27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2:47" ht="15.75" customHeight="1" x14ac:dyDescent="0.2">
      <c r="B422" s="2"/>
      <c r="C422" s="2"/>
      <c r="D422" s="27"/>
      <c r="E422" s="27"/>
      <c r="F422" s="27"/>
      <c r="G422" s="215"/>
      <c r="H422" s="215"/>
      <c r="I422" s="27"/>
      <c r="J422" s="27"/>
      <c r="K422" s="27"/>
      <c r="L422" s="2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2:47" ht="15.75" customHeight="1" x14ac:dyDescent="0.2">
      <c r="B423" s="2"/>
      <c r="C423" s="2"/>
      <c r="D423" s="27"/>
      <c r="E423" s="27"/>
      <c r="F423" s="27"/>
      <c r="G423" s="215"/>
      <c r="H423" s="215"/>
      <c r="I423" s="27"/>
      <c r="J423" s="27"/>
      <c r="K423" s="27"/>
      <c r="L423" s="2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2:47" ht="15.75" customHeight="1" x14ac:dyDescent="0.2">
      <c r="B424" s="2"/>
      <c r="C424" s="2"/>
      <c r="D424" s="27"/>
      <c r="E424" s="27"/>
      <c r="F424" s="27"/>
      <c r="G424" s="215"/>
      <c r="H424" s="215"/>
      <c r="I424" s="27"/>
      <c r="J424" s="27"/>
      <c r="K424" s="27"/>
      <c r="L424" s="2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2:47" ht="15.75" customHeight="1" x14ac:dyDescent="0.2">
      <c r="B425" s="2"/>
      <c r="C425" s="2"/>
      <c r="D425" s="27"/>
      <c r="E425" s="27"/>
      <c r="F425" s="27"/>
      <c r="G425" s="215"/>
      <c r="H425" s="215"/>
      <c r="I425" s="27"/>
      <c r="J425" s="27"/>
      <c r="K425" s="27"/>
      <c r="L425" s="2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2:47" ht="15.75" customHeight="1" x14ac:dyDescent="0.2">
      <c r="B426" s="2"/>
      <c r="C426" s="2"/>
      <c r="D426" s="27"/>
      <c r="E426" s="27"/>
      <c r="F426" s="27"/>
      <c r="G426" s="215"/>
      <c r="H426" s="215"/>
      <c r="I426" s="27"/>
      <c r="J426" s="27"/>
      <c r="K426" s="27"/>
      <c r="L426" s="2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2:47" ht="15.75" customHeight="1" x14ac:dyDescent="0.2">
      <c r="B427" s="2"/>
      <c r="C427" s="2"/>
      <c r="D427" s="27"/>
      <c r="E427" s="27"/>
      <c r="F427" s="27"/>
      <c r="G427" s="215"/>
      <c r="H427" s="215"/>
      <c r="I427" s="27"/>
      <c r="J427" s="27"/>
      <c r="K427" s="27"/>
      <c r="L427" s="2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2:47" ht="15.75" customHeight="1" x14ac:dyDescent="0.2">
      <c r="B428" s="2"/>
      <c r="C428" s="2"/>
      <c r="D428" s="27"/>
      <c r="E428" s="27"/>
      <c r="F428" s="27"/>
      <c r="G428" s="215"/>
      <c r="H428" s="215"/>
      <c r="I428" s="27"/>
      <c r="J428" s="27"/>
      <c r="K428" s="27"/>
      <c r="L428" s="27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2:47" ht="15.75" customHeight="1" x14ac:dyDescent="0.2">
      <c r="B429" s="2"/>
      <c r="C429" s="2"/>
      <c r="D429" s="27"/>
      <c r="E429" s="27"/>
      <c r="F429" s="27"/>
      <c r="G429" s="215"/>
      <c r="H429" s="215"/>
      <c r="I429" s="27"/>
      <c r="J429" s="27"/>
      <c r="K429" s="27"/>
      <c r="L429" s="27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2:47" ht="15.75" customHeight="1" x14ac:dyDescent="0.2">
      <c r="B430" s="2"/>
      <c r="C430" s="2"/>
      <c r="D430" s="27"/>
      <c r="E430" s="27"/>
      <c r="F430" s="27"/>
      <c r="G430" s="215"/>
      <c r="H430" s="215"/>
      <c r="I430" s="27"/>
      <c r="J430" s="27"/>
      <c r="K430" s="27"/>
      <c r="L430" s="27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2:47" ht="15.75" customHeight="1" x14ac:dyDescent="0.2">
      <c r="B431" s="2"/>
      <c r="C431" s="2"/>
      <c r="D431" s="27"/>
      <c r="E431" s="27"/>
      <c r="F431" s="27"/>
      <c r="G431" s="215"/>
      <c r="H431" s="215"/>
      <c r="I431" s="27"/>
      <c r="J431" s="27"/>
      <c r="K431" s="27"/>
      <c r="L431" s="27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2:47" ht="15.75" customHeight="1" x14ac:dyDescent="0.2">
      <c r="B432" s="2"/>
      <c r="C432" s="2"/>
      <c r="D432" s="27"/>
      <c r="E432" s="27"/>
      <c r="F432" s="27"/>
      <c r="G432" s="215"/>
      <c r="H432" s="215"/>
      <c r="I432" s="27"/>
      <c r="J432" s="27"/>
      <c r="K432" s="27"/>
      <c r="L432" s="27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2:47" ht="15.75" customHeight="1" x14ac:dyDescent="0.2">
      <c r="B433" s="2"/>
      <c r="C433" s="2"/>
      <c r="D433" s="27"/>
      <c r="E433" s="27"/>
      <c r="F433" s="27"/>
      <c r="G433" s="215"/>
      <c r="H433" s="215"/>
      <c r="I433" s="27"/>
      <c r="J433" s="27"/>
      <c r="K433" s="27"/>
      <c r="L433" s="27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2:47" ht="15.75" customHeight="1" x14ac:dyDescent="0.2">
      <c r="B434" s="2"/>
      <c r="C434" s="2"/>
      <c r="D434" s="27"/>
      <c r="E434" s="27"/>
      <c r="F434" s="27"/>
      <c r="G434" s="215"/>
      <c r="H434" s="215"/>
      <c r="I434" s="27"/>
      <c r="J434" s="27"/>
      <c r="K434" s="27"/>
      <c r="L434" s="27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2:47" ht="15.75" customHeight="1" x14ac:dyDescent="0.2">
      <c r="B435" s="2"/>
      <c r="C435" s="2"/>
      <c r="D435" s="27"/>
      <c r="E435" s="27"/>
      <c r="F435" s="27"/>
      <c r="G435" s="215"/>
      <c r="H435" s="215"/>
      <c r="I435" s="27"/>
      <c r="J435" s="27"/>
      <c r="K435" s="27"/>
      <c r="L435" s="27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2:47" ht="15.75" customHeight="1" x14ac:dyDescent="0.2">
      <c r="B436" s="2"/>
      <c r="C436" s="2"/>
      <c r="D436" s="27"/>
      <c r="E436" s="27"/>
      <c r="F436" s="27"/>
      <c r="G436" s="215"/>
      <c r="H436" s="215"/>
      <c r="I436" s="27"/>
      <c r="J436" s="27"/>
      <c r="K436" s="27"/>
      <c r="L436" s="27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2:47" ht="15.75" customHeight="1" x14ac:dyDescent="0.2">
      <c r="B437" s="2"/>
      <c r="C437" s="2"/>
      <c r="D437" s="27"/>
      <c r="E437" s="27"/>
      <c r="F437" s="27"/>
      <c r="G437" s="215"/>
      <c r="H437" s="215"/>
      <c r="I437" s="27"/>
      <c r="J437" s="27"/>
      <c r="K437" s="27"/>
      <c r="L437" s="27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2:47" ht="15.75" customHeight="1" x14ac:dyDescent="0.2">
      <c r="B438" s="2"/>
      <c r="C438" s="2"/>
      <c r="D438" s="27"/>
      <c r="E438" s="27"/>
      <c r="F438" s="27"/>
      <c r="G438" s="215"/>
      <c r="H438" s="215"/>
      <c r="I438" s="27"/>
      <c r="J438" s="27"/>
      <c r="K438" s="27"/>
      <c r="L438" s="27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2:47" ht="15.75" customHeight="1" x14ac:dyDescent="0.2">
      <c r="B439" s="2"/>
      <c r="C439" s="2"/>
      <c r="D439" s="27"/>
      <c r="E439" s="27"/>
      <c r="F439" s="27"/>
      <c r="G439" s="215"/>
      <c r="H439" s="215"/>
      <c r="I439" s="27"/>
      <c r="J439" s="27"/>
      <c r="K439" s="27"/>
      <c r="L439" s="27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2:47" ht="15.75" customHeight="1" x14ac:dyDescent="0.2">
      <c r="B440" s="2"/>
      <c r="C440" s="2"/>
      <c r="D440" s="27"/>
      <c r="E440" s="27"/>
      <c r="F440" s="27"/>
      <c r="G440" s="215"/>
      <c r="H440" s="215"/>
      <c r="I440" s="27"/>
      <c r="J440" s="27"/>
      <c r="K440" s="27"/>
      <c r="L440" s="27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2:47" ht="15.75" customHeight="1" x14ac:dyDescent="0.2">
      <c r="B441" s="2"/>
      <c r="C441" s="2"/>
      <c r="D441" s="27"/>
      <c r="E441" s="27"/>
      <c r="F441" s="27"/>
      <c r="G441" s="215"/>
      <c r="H441" s="215"/>
      <c r="I441" s="27"/>
      <c r="J441" s="27"/>
      <c r="K441" s="27"/>
      <c r="L441" s="27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2:47" ht="15.75" customHeight="1" x14ac:dyDescent="0.2">
      <c r="B442" s="2"/>
      <c r="C442" s="2"/>
      <c r="D442" s="27"/>
      <c r="E442" s="27"/>
      <c r="F442" s="27"/>
      <c r="G442" s="215"/>
      <c r="H442" s="215"/>
      <c r="I442" s="27"/>
      <c r="J442" s="27"/>
      <c r="K442" s="27"/>
      <c r="L442" s="27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2:47" ht="15.75" customHeight="1" x14ac:dyDescent="0.2">
      <c r="B443" s="2"/>
      <c r="C443" s="2"/>
      <c r="D443" s="27"/>
      <c r="E443" s="27"/>
      <c r="F443" s="27"/>
      <c r="G443" s="215"/>
      <c r="H443" s="215"/>
      <c r="I443" s="27"/>
      <c r="J443" s="27"/>
      <c r="K443" s="27"/>
      <c r="L443" s="27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2:47" ht="15.75" customHeight="1" x14ac:dyDescent="0.2">
      <c r="B444" s="2"/>
      <c r="C444" s="2"/>
      <c r="D444" s="27"/>
      <c r="E444" s="27"/>
      <c r="F444" s="27"/>
      <c r="G444" s="215"/>
      <c r="H444" s="215"/>
      <c r="I444" s="27"/>
      <c r="J444" s="27"/>
      <c r="K444" s="27"/>
      <c r="L444" s="27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2:47" ht="15.75" customHeight="1" x14ac:dyDescent="0.2">
      <c r="B445" s="2"/>
      <c r="C445" s="2"/>
      <c r="D445" s="27"/>
      <c r="E445" s="27"/>
      <c r="F445" s="27"/>
      <c r="G445" s="215"/>
      <c r="H445" s="215"/>
      <c r="I445" s="27"/>
      <c r="J445" s="27"/>
      <c r="K445" s="27"/>
      <c r="L445" s="27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2:47" ht="15.75" customHeight="1" x14ac:dyDescent="0.2">
      <c r="B446" s="2"/>
      <c r="C446" s="2"/>
      <c r="D446" s="27"/>
      <c r="E446" s="27"/>
      <c r="F446" s="27"/>
      <c r="G446" s="215"/>
      <c r="H446" s="215"/>
      <c r="I446" s="27"/>
      <c r="J446" s="27"/>
      <c r="K446" s="27"/>
      <c r="L446" s="27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2:47" ht="15.75" customHeight="1" x14ac:dyDescent="0.2">
      <c r="B447" s="2"/>
      <c r="C447" s="2"/>
      <c r="D447" s="27"/>
      <c r="E447" s="27"/>
      <c r="F447" s="27"/>
      <c r="G447" s="215"/>
      <c r="H447" s="215"/>
      <c r="I447" s="27"/>
      <c r="J447" s="27"/>
      <c r="K447" s="27"/>
      <c r="L447" s="27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2:47" ht="15.75" customHeight="1" x14ac:dyDescent="0.2">
      <c r="B448" s="2"/>
      <c r="C448" s="2"/>
      <c r="D448" s="27"/>
      <c r="E448" s="27"/>
      <c r="F448" s="27"/>
      <c r="G448" s="215"/>
      <c r="H448" s="215"/>
      <c r="I448" s="27"/>
      <c r="J448" s="27"/>
      <c r="K448" s="27"/>
      <c r="L448" s="27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2:47" ht="15.75" customHeight="1" x14ac:dyDescent="0.2">
      <c r="B449" s="2"/>
      <c r="C449" s="2"/>
      <c r="D449" s="27"/>
      <c r="E449" s="27"/>
      <c r="F449" s="27"/>
      <c r="G449" s="215"/>
      <c r="H449" s="215"/>
      <c r="I449" s="27"/>
      <c r="J449" s="27"/>
      <c r="K449" s="27"/>
      <c r="L449" s="27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2:47" ht="15.75" customHeight="1" x14ac:dyDescent="0.2">
      <c r="B450" s="2"/>
      <c r="C450" s="2"/>
      <c r="D450" s="27"/>
      <c r="E450" s="27"/>
      <c r="F450" s="27"/>
      <c r="G450" s="215"/>
      <c r="H450" s="215"/>
      <c r="I450" s="27"/>
      <c r="J450" s="27"/>
      <c r="K450" s="27"/>
      <c r="L450" s="27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2:47" ht="15.75" customHeight="1" x14ac:dyDescent="0.2">
      <c r="B451" s="2"/>
      <c r="C451" s="2"/>
      <c r="D451" s="27"/>
      <c r="E451" s="27"/>
      <c r="F451" s="27"/>
      <c r="G451" s="215"/>
      <c r="H451" s="215"/>
      <c r="I451" s="27"/>
      <c r="J451" s="27"/>
      <c r="K451" s="27"/>
      <c r="L451" s="27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2:47" ht="15.75" customHeight="1" x14ac:dyDescent="0.2">
      <c r="B452" s="2"/>
      <c r="C452" s="2"/>
      <c r="D452" s="27"/>
      <c r="E452" s="27"/>
      <c r="F452" s="27"/>
      <c r="G452" s="215"/>
      <c r="H452" s="215"/>
      <c r="I452" s="27"/>
      <c r="J452" s="27"/>
      <c r="K452" s="27"/>
      <c r="L452" s="27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2:47" ht="15.75" customHeight="1" x14ac:dyDescent="0.2">
      <c r="B453" s="2"/>
      <c r="C453" s="2"/>
      <c r="D453" s="27"/>
      <c r="E453" s="27"/>
      <c r="F453" s="27"/>
      <c r="G453" s="215"/>
      <c r="H453" s="215"/>
      <c r="I453" s="27"/>
      <c r="J453" s="27"/>
      <c r="K453" s="27"/>
      <c r="L453" s="27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2:47" ht="15.75" customHeight="1" x14ac:dyDescent="0.2">
      <c r="B454" s="2"/>
      <c r="C454" s="2"/>
      <c r="D454" s="27"/>
      <c r="E454" s="27"/>
      <c r="F454" s="27"/>
      <c r="G454" s="215"/>
      <c r="H454" s="215"/>
      <c r="I454" s="27"/>
      <c r="J454" s="27"/>
      <c r="K454" s="27"/>
      <c r="L454" s="27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2:47" ht="15.75" customHeight="1" x14ac:dyDescent="0.2">
      <c r="B455" s="2"/>
      <c r="C455" s="2"/>
      <c r="D455" s="27"/>
      <c r="E455" s="27"/>
      <c r="F455" s="27"/>
      <c r="G455" s="215"/>
      <c r="H455" s="215"/>
      <c r="I455" s="27"/>
      <c r="J455" s="27"/>
      <c r="K455" s="27"/>
      <c r="L455" s="27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2:47" ht="15.75" customHeight="1" x14ac:dyDescent="0.2">
      <c r="B456" s="2"/>
      <c r="C456" s="2"/>
      <c r="D456" s="27"/>
      <c r="E456" s="27"/>
      <c r="F456" s="27"/>
      <c r="G456" s="215"/>
      <c r="H456" s="215"/>
      <c r="I456" s="27"/>
      <c r="J456" s="27"/>
      <c r="K456" s="27"/>
      <c r="L456" s="27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2:47" ht="15.75" customHeight="1" x14ac:dyDescent="0.2">
      <c r="B457" s="2"/>
      <c r="C457" s="2"/>
      <c r="D457" s="27"/>
      <c r="E457" s="27"/>
      <c r="F457" s="27"/>
      <c r="G457" s="215"/>
      <c r="H457" s="215"/>
      <c r="I457" s="27"/>
      <c r="J457" s="27"/>
      <c r="K457" s="27"/>
      <c r="L457" s="27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2:47" ht="15.75" customHeight="1" x14ac:dyDescent="0.2">
      <c r="B458" s="2"/>
      <c r="C458" s="2"/>
      <c r="D458" s="27"/>
      <c r="E458" s="27"/>
      <c r="F458" s="27"/>
      <c r="G458" s="215"/>
      <c r="H458" s="215"/>
      <c r="I458" s="27"/>
      <c r="J458" s="27"/>
      <c r="K458" s="27"/>
      <c r="L458" s="27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2:47" ht="15.75" customHeight="1" x14ac:dyDescent="0.2">
      <c r="B459" s="2"/>
      <c r="C459" s="2"/>
      <c r="D459" s="27"/>
      <c r="E459" s="27"/>
      <c r="F459" s="27"/>
      <c r="G459" s="215"/>
      <c r="H459" s="215"/>
      <c r="I459" s="27"/>
      <c r="J459" s="27"/>
      <c r="K459" s="27"/>
      <c r="L459" s="27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2:47" ht="15.75" customHeight="1" x14ac:dyDescent="0.2">
      <c r="B460" s="2"/>
      <c r="C460" s="2"/>
      <c r="D460" s="27"/>
      <c r="E460" s="27"/>
      <c r="F460" s="27"/>
      <c r="G460" s="215"/>
      <c r="H460" s="215"/>
      <c r="I460" s="27"/>
      <c r="J460" s="27"/>
      <c r="K460" s="27"/>
      <c r="L460" s="27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2:47" ht="15.75" customHeight="1" x14ac:dyDescent="0.2">
      <c r="B461" s="2"/>
      <c r="C461" s="2"/>
      <c r="D461" s="27"/>
      <c r="E461" s="27"/>
      <c r="F461" s="27"/>
      <c r="G461" s="215"/>
      <c r="H461" s="215"/>
      <c r="I461" s="27"/>
      <c r="J461" s="27"/>
      <c r="K461" s="27"/>
      <c r="L461" s="27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2:47" ht="15.75" customHeight="1" x14ac:dyDescent="0.2">
      <c r="B462" s="2"/>
      <c r="C462" s="2"/>
      <c r="D462" s="27"/>
      <c r="E462" s="27"/>
      <c r="F462" s="27"/>
      <c r="G462" s="215"/>
      <c r="H462" s="215"/>
      <c r="I462" s="27"/>
      <c r="J462" s="27"/>
      <c r="K462" s="27"/>
      <c r="L462" s="27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2:47" ht="15.75" customHeight="1" x14ac:dyDescent="0.2">
      <c r="B463" s="2"/>
      <c r="C463" s="2"/>
      <c r="D463" s="27"/>
      <c r="E463" s="27"/>
      <c r="F463" s="27"/>
      <c r="G463" s="215"/>
      <c r="H463" s="215"/>
      <c r="I463" s="27"/>
      <c r="J463" s="27"/>
      <c r="K463" s="27"/>
      <c r="L463" s="27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2:47" ht="15.75" customHeight="1" x14ac:dyDescent="0.2">
      <c r="B464" s="2"/>
      <c r="C464" s="2"/>
      <c r="D464" s="27"/>
      <c r="E464" s="27"/>
      <c r="F464" s="27"/>
      <c r="G464" s="215"/>
      <c r="H464" s="215"/>
      <c r="I464" s="27"/>
      <c r="J464" s="27"/>
      <c r="K464" s="27"/>
      <c r="L464" s="27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2:47" ht="15.75" customHeight="1" x14ac:dyDescent="0.2">
      <c r="B465" s="2"/>
      <c r="C465" s="2"/>
      <c r="D465" s="27"/>
      <c r="E465" s="27"/>
      <c r="F465" s="27"/>
      <c r="G465" s="215"/>
      <c r="H465" s="215"/>
      <c r="I465" s="27"/>
      <c r="J465" s="27"/>
      <c r="K465" s="27"/>
      <c r="L465" s="27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2:47" ht="15.75" customHeight="1" x14ac:dyDescent="0.2">
      <c r="B466" s="2"/>
      <c r="C466" s="2"/>
      <c r="D466" s="27"/>
      <c r="E466" s="27"/>
      <c r="F466" s="27"/>
      <c r="G466" s="215"/>
      <c r="H466" s="215"/>
      <c r="I466" s="27"/>
      <c r="J466" s="27"/>
      <c r="K466" s="27"/>
      <c r="L466" s="27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2:47" ht="15.75" customHeight="1" x14ac:dyDescent="0.2">
      <c r="B467" s="2"/>
      <c r="C467" s="2"/>
      <c r="D467" s="27"/>
      <c r="E467" s="27"/>
      <c r="F467" s="27"/>
      <c r="G467" s="215"/>
      <c r="H467" s="215"/>
      <c r="I467" s="27"/>
      <c r="J467" s="27"/>
      <c r="K467" s="27"/>
      <c r="L467" s="27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2:47" ht="15.75" customHeight="1" x14ac:dyDescent="0.2">
      <c r="B468" s="2"/>
      <c r="C468" s="2"/>
      <c r="D468" s="27"/>
      <c r="E468" s="27"/>
      <c r="F468" s="27"/>
      <c r="G468" s="215"/>
      <c r="H468" s="215"/>
      <c r="I468" s="27"/>
      <c r="J468" s="27"/>
      <c r="K468" s="27"/>
      <c r="L468" s="27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2:47" ht="15.75" customHeight="1" x14ac:dyDescent="0.2">
      <c r="B469" s="2"/>
      <c r="C469" s="2"/>
      <c r="D469" s="27"/>
      <c r="E469" s="27"/>
      <c r="F469" s="27"/>
      <c r="G469" s="215"/>
      <c r="H469" s="215"/>
      <c r="I469" s="27"/>
      <c r="J469" s="27"/>
      <c r="K469" s="27"/>
      <c r="L469" s="27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2:47" ht="15.75" customHeight="1" x14ac:dyDescent="0.2">
      <c r="B470" s="2"/>
      <c r="C470" s="2"/>
      <c r="D470" s="27"/>
      <c r="E470" s="27"/>
      <c r="F470" s="27"/>
      <c r="G470" s="215"/>
      <c r="H470" s="215"/>
      <c r="I470" s="27"/>
      <c r="J470" s="27"/>
      <c r="K470" s="27"/>
      <c r="L470" s="27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2:47" ht="15.75" customHeight="1" x14ac:dyDescent="0.2">
      <c r="B471" s="2"/>
      <c r="C471" s="2"/>
      <c r="D471" s="27"/>
      <c r="E471" s="27"/>
      <c r="F471" s="27"/>
      <c r="G471" s="215"/>
      <c r="H471" s="215"/>
      <c r="I471" s="27"/>
      <c r="J471" s="27"/>
      <c r="K471" s="27"/>
      <c r="L471" s="27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2:47" ht="15.75" customHeight="1" x14ac:dyDescent="0.2">
      <c r="B472" s="2"/>
      <c r="C472" s="2"/>
      <c r="D472" s="27"/>
      <c r="E472" s="27"/>
      <c r="F472" s="27"/>
      <c r="G472" s="215"/>
      <c r="H472" s="215"/>
      <c r="I472" s="27"/>
      <c r="J472" s="27"/>
      <c r="K472" s="27"/>
      <c r="L472" s="27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2:47" ht="15.75" customHeight="1" x14ac:dyDescent="0.2">
      <c r="B473" s="2"/>
      <c r="C473" s="2"/>
      <c r="D473" s="27"/>
      <c r="E473" s="27"/>
      <c r="F473" s="27"/>
      <c r="G473" s="215"/>
      <c r="H473" s="215"/>
      <c r="I473" s="27"/>
      <c r="J473" s="27"/>
      <c r="K473" s="27"/>
      <c r="L473" s="27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2:47" ht="15.75" customHeight="1" x14ac:dyDescent="0.2">
      <c r="B474" s="2"/>
      <c r="C474" s="2"/>
      <c r="D474" s="27"/>
      <c r="E474" s="27"/>
      <c r="F474" s="27"/>
      <c r="G474" s="215"/>
      <c r="H474" s="215"/>
      <c r="I474" s="27"/>
      <c r="J474" s="27"/>
      <c r="K474" s="27"/>
      <c r="L474" s="27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2:47" ht="15.75" customHeight="1" x14ac:dyDescent="0.2">
      <c r="B475" s="2"/>
      <c r="C475" s="2"/>
      <c r="D475" s="27"/>
      <c r="E475" s="27"/>
      <c r="F475" s="27"/>
      <c r="G475" s="215"/>
      <c r="H475" s="215"/>
      <c r="I475" s="27"/>
      <c r="J475" s="27"/>
      <c r="K475" s="27"/>
      <c r="L475" s="27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2:47" ht="15.75" customHeight="1" x14ac:dyDescent="0.2">
      <c r="B476" s="2"/>
      <c r="C476" s="2"/>
      <c r="D476" s="27"/>
      <c r="E476" s="27"/>
      <c r="F476" s="27"/>
      <c r="G476" s="215"/>
      <c r="H476" s="215"/>
      <c r="I476" s="27"/>
      <c r="J476" s="27"/>
      <c r="K476" s="27"/>
      <c r="L476" s="27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2:47" ht="15.75" customHeight="1" x14ac:dyDescent="0.2">
      <c r="B477" s="2"/>
      <c r="C477" s="2"/>
      <c r="D477" s="27"/>
      <c r="E477" s="27"/>
      <c r="F477" s="27"/>
      <c r="G477" s="215"/>
      <c r="H477" s="215"/>
      <c r="I477" s="27"/>
      <c r="J477" s="27"/>
      <c r="K477" s="27"/>
      <c r="L477" s="27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2:47" ht="15.75" customHeight="1" x14ac:dyDescent="0.2">
      <c r="B478" s="2"/>
      <c r="C478" s="2"/>
      <c r="D478" s="27"/>
      <c r="E478" s="27"/>
      <c r="F478" s="27"/>
      <c r="G478" s="215"/>
      <c r="H478" s="215"/>
      <c r="I478" s="27"/>
      <c r="J478" s="27"/>
      <c r="K478" s="27"/>
      <c r="L478" s="27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2:47" ht="15.75" customHeight="1" x14ac:dyDescent="0.2">
      <c r="B479" s="2"/>
      <c r="C479" s="2"/>
      <c r="D479" s="27"/>
      <c r="E479" s="27"/>
      <c r="F479" s="27"/>
      <c r="G479" s="215"/>
      <c r="H479" s="215"/>
      <c r="I479" s="27"/>
      <c r="J479" s="27"/>
      <c r="K479" s="27"/>
      <c r="L479" s="27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2:47" ht="15.75" customHeight="1" x14ac:dyDescent="0.2">
      <c r="B480" s="2"/>
      <c r="C480" s="2"/>
      <c r="D480" s="27"/>
      <c r="E480" s="27"/>
      <c r="F480" s="27"/>
      <c r="G480" s="215"/>
      <c r="H480" s="215"/>
      <c r="I480" s="27"/>
      <c r="J480" s="27"/>
      <c r="K480" s="27"/>
      <c r="L480" s="27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2:47" ht="15.75" customHeight="1" x14ac:dyDescent="0.2">
      <c r="B481" s="2"/>
      <c r="C481" s="2"/>
      <c r="D481" s="27"/>
      <c r="E481" s="27"/>
      <c r="F481" s="27"/>
      <c r="G481" s="215"/>
      <c r="H481" s="215"/>
      <c r="I481" s="27"/>
      <c r="J481" s="27"/>
      <c r="K481" s="27"/>
      <c r="L481" s="27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2:47" ht="15.75" customHeight="1" x14ac:dyDescent="0.2">
      <c r="B482" s="2"/>
      <c r="C482" s="2"/>
      <c r="D482" s="27"/>
      <c r="E482" s="27"/>
      <c r="F482" s="27"/>
      <c r="G482" s="215"/>
      <c r="H482" s="215"/>
      <c r="I482" s="27"/>
      <c r="J482" s="27"/>
      <c r="K482" s="27"/>
      <c r="L482" s="27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2:47" ht="15.75" customHeight="1" x14ac:dyDescent="0.2">
      <c r="B483" s="2"/>
      <c r="C483" s="2"/>
      <c r="D483" s="27"/>
      <c r="E483" s="27"/>
      <c r="F483" s="27"/>
      <c r="G483" s="215"/>
      <c r="H483" s="215"/>
      <c r="I483" s="27"/>
      <c r="J483" s="27"/>
      <c r="K483" s="27"/>
      <c r="L483" s="27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2:47" ht="15.75" customHeight="1" x14ac:dyDescent="0.2">
      <c r="B484" s="2"/>
      <c r="C484" s="2"/>
      <c r="D484" s="27"/>
      <c r="E484" s="27"/>
      <c r="F484" s="27"/>
      <c r="G484" s="215"/>
      <c r="H484" s="215"/>
      <c r="I484" s="27"/>
      <c r="J484" s="27"/>
      <c r="K484" s="27"/>
      <c r="L484" s="27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2:47" ht="15.75" customHeight="1" x14ac:dyDescent="0.2">
      <c r="B485" s="2"/>
      <c r="C485" s="2"/>
      <c r="D485" s="27"/>
      <c r="E485" s="27"/>
      <c r="F485" s="27"/>
      <c r="G485" s="215"/>
      <c r="H485" s="215"/>
      <c r="I485" s="27"/>
      <c r="J485" s="27"/>
      <c r="K485" s="27"/>
      <c r="L485" s="27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2:47" ht="15.75" customHeight="1" x14ac:dyDescent="0.2">
      <c r="B486" s="2"/>
      <c r="C486" s="2"/>
      <c r="D486" s="27"/>
      <c r="E486" s="27"/>
      <c r="F486" s="27"/>
      <c r="G486" s="215"/>
      <c r="H486" s="215"/>
      <c r="I486" s="27"/>
      <c r="J486" s="27"/>
      <c r="K486" s="27"/>
      <c r="L486" s="27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2:47" ht="15.75" customHeight="1" x14ac:dyDescent="0.2">
      <c r="B487" s="2"/>
      <c r="C487" s="2"/>
      <c r="D487" s="27"/>
      <c r="E487" s="27"/>
      <c r="F487" s="27"/>
      <c r="G487" s="215"/>
      <c r="H487" s="215"/>
      <c r="I487" s="27"/>
      <c r="J487" s="27"/>
      <c r="K487" s="27"/>
      <c r="L487" s="27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2:47" ht="15.75" customHeight="1" x14ac:dyDescent="0.2">
      <c r="B488" s="2"/>
      <c r="C488" s="2"/>
      <c r="D488" s="27"/>
      <c r="E488" s="27"/>
      <c r="F488" s="27"/>
      <c r="G488" s="215"/>
      <c r="H488" s="215"/>
      <c r="I488" s="27"/>
      <c r="J488" s="27"/>
      <c r="K488" s="27"/>
      <c r="L488" s="27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2:47" ht="15.75" customHeight="1" x14ac:dyDescent="0.2">
      <c r="B489" s="2"/>
      <c r="C489" s="2"/>
      <c r="D489" s="27"/>
      <c r="E489" s="27"/>
      <c r="F489" s="27"/>
      <c r="G489" s="215"/>
      <c r="H489" s="215"/>
      <c r="I489" s="27"/>
      <c r="J489" s="27"/>
      <c r="K489" s="27"/>
      <c r="L489" s="27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2:47" ht="15.75" customHeight="1" x14ac:dyDescent="0.2">
      <c r="B490" s="2"/>
      <c r="C490" s="2"/>
      <c r="D490" s="27"/>
      <c r="E490" s="27"/>
      <c r="F490" s="27"/>
      <c r="G490" s="215"/>
      <c r="H490" s="215"/>
      <c r="I490" s="27"/>
      <c r="J490" s="27"/>
      <c r="K490" s="27"/>
      <c r="L490" s="27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2:47" ht="15.75" customHeight="1" x14ac:dyDescent="0.2">
      <c r="B491" s="2"/>
      <c r="C491" s="2"/>
      <c r="D491" s="27"/>
      <c r="E491" s="27"/>
      <c r="F491" s="27"/>
      <c r="G491" s="215"/>
      <c r="H491" s="215"/>
      <c r="I491" s="27"/>
      <c r="J491" s="27"/>
      <c r="K491" s="27"/>
      <c r="L491" s="27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2:47" ht="15.75" customHeight="1" x14ac:dyDescent="0.2">
      <c r="B492" s="2"/>
      <c r="C492" s="2"/>
      <c r="D492" s="27"/>
      <c r="E492" s="27"/>
      <c r="F492" s="27"/>
      <c r="G492" s="215"/>
      <c r="H492" s="215"/>
      <c r="I492" s="27"/>
      <c r="J492" s="27"/>
      <c r="K492" s="27"/>
      <c r="L492" s="27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2:47" ht="15.75" customHeight="1" x14ac:dyDescent="0.2">
      <c r="B493" s="2"/>
      <c r="C493" s="2"/>
      <c r="D493" s="27"/>
      <c r="E493" s="27"/>
      <c r="F493" s="27"/>
      <c r="G493" s="215"/>
      <c r="H493" s="215"/>
      <c r="I493" s="27"/>
      <c r="J493" s="27"/>
      <c r="K493" s="27"/>
      <c r="L493" s="27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2:47" ht="15.75" customHeight="1" x14ac:dyDescent="0.2">
      <c r="B494" s="2"/>
      <c r="C494" s="2"/>
      <c r="D494" s="27"/>
      <c r="E494" s="27"/>
      <c r="F494" s="27"/>
      <c r="G494" s="215"/>
      <c r="H494" s="215"/>
      <c r="I494" s="27"/>
      <c r="J494" s="27"/>
      <c r="K494" s="27"/>
      <c r="L494" s="27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2:47" ht="15.75" customHeight="1" x14ac:dyDescent="0.2">
      <c r="B495" s="2"/>
      <c r="C495" s="2"/>
      <c r="D495" s="27"/>
      <c r="E495" s="27"/>
      <c r="F495" s="27"/>
      <c r="G495" s="215"/>
      <c r="H495" s="215"/>
      <c r="I495" s="27"/>
      <c r="J495" s="27"/>
      <c r="K495" s="27"/>
      <c r="L495" s="27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2:47" ht="15.75" customHeight="1" x14ac:dyDescent="0.2">
      <c r="B496" s="2"/>
      <c r="C496" s="2"/>
      <c r="D496" s="27"/>
      <c r="E496" s="27"/>
      <c r="F496" s="27"/>
      <c r="G496" s="215"/>
      <c r="H496" s="215"/>
      <c r="I496" s="27"/>
      <c r="J496" s="27"/>
      <c r="K496" s="27"/>
      <c r="L496" s="27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2:47" ht="15.75" customHeight="1" x14ac:dyDescent="0.2">
      <c r="B497" s="2"/>
      <c r="C497" s="2"/>
      <c r="D497" s="27"/>
      <c r="E497" s="27"/>
      <c r="F497" s="27"/>
      <c r="G497" s="215"/>
      <c r="H497" s="215"/>
      <c r="I497" s="27"/>
      <c r="J497" s="27"/>
      <c r="K497" s="27"/>
      <c r="L497" s="27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2:47" ht="15.75" customHeight="1" x14ac:dyDescent="0.2">
      <c r="B498" s="2"/>
      <c r="C498" s="2"/>
      <c r="D498" s="27"/>
      <c r="E498" s="27"/>
      <c r="F498" s="27"/>
      <c r="G498" s="215"/>
      <c r="H498" s="215"/>
      <c r="I498" s="27"/>
      <c r="J498" s="27"/>
      <c r="K498" s="27"/>
      <c r="L498" s="27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2:47" ht="15.75" customHeight="1" x14ac:dyDescent="0.2">
      <c r="B499" s="2"/>
      <c r="C499" s="2"/>
      <c r="D499" s="27"/>
      <c r="E499" s="27"/>
      <c r="F499" s="27"/>
      <c r="G499" s="215"/>
      <c r="H499" s="215"/>
      <c r="I499" s="27"/>
      <c r="J499" s="27"/>
      <c r="K499" s="27"/>
      <c r="L499" s="27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2:47" ht="15.75" customHeight="1" x14ac:dyDescent="0.2">
      <c r="B500" s="2"/>
      <c r="C500" s="2"/>
      <c r="D500" s="27"/>
      <c r="E500" s="27"/>
      <c r="F500" s="27"/>
      <c r="G500" s="215"/>
      <c r="H500" s="215"/>
      <c r="I500" s="27"/>
      <c r="J500" s="27"/>
      <c r="K500" s="27"/>
      <c r="L500" s="27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2:47" ht="15.75" customHeight="1" x14ac:dyDescent="0.2">
      <c r="B501" s="2"/>
      <c r="C501" s="2"/>
      <c r="D501" s="27"/>
      <c r="E501" s="27"/>
      <c r="F501" s="27"/>
      <c r="G501" s="215"/>
      <c r="H501" s="215"/>
      <c r="I501" s="27"/>
      <c r="J501" s="27"/>
      <c r="K501" s="27"/>
      <c r="L501" s="27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2:47" ht="15.75" customHeight="1" x14ac:dyDescent="0.2">
      <c r="B502" s="2"/>
      <c r="C502" s="2"/>
      <c r="D502" s="27"/>
      <c r="E502" s="27"/>
      <c r="F502" s="27"/>
      <c r="G502" s="215"/>
      <c r="H502" s="215"/>
      <c r="I502" s="27"/>
      <c r="J502" s="27"/>
      <c r="K502" s="27"/>
      <c r="L502" s="27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2:47" ht="15.75" customHeight="1" x14ac:dyDescent="0.2">
      <c r="B503" s="2"/>
      <c r="C503" s="2"/>
      <c r="D503" s="27"/>
      <c r="E503" s="27"/>
      <c r="F503" s="27"/>
      <c r="G503" s="215"/>
      <c r="H503" s="215"/>
      <c r="I503" s="27"/>
      <c r="J503" s="27"/>
      <c r="K503" s="27"/>
      <c r="L503" s="27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2:47" ht="15.75" customHeight="1" x14ac:dyDescent="0.2">
      <c r="B504" s="2"/>
      <c r="C504" s="2"/>
      <c r="D504" s="27"/>
      <c r="E504" s="27"/>
      <c r="F504" s="27"/>
      <c r="G504" s="215"/>
      <c r="H504" s="215"/>
      <c r="I504" s="27"/>
      <c r="J504" s="27"/>
      <c r="K504" s="27"/>
      <c r="L504" s="27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2:47" ht="15.75" customHeight="1" x14ac:dyDescent="0.2">
      <c r="B505" s="2"/>
      <c r="C505" s="2"/>
      <c r="D505" s="27"/>
      <c r="E505" s="27"/>
      <c r="F505" s="27"/>
      <c r="G505" s="215"/>
      <c r="H505" s="215"/>
      <c r="I505" s="27"/>
      <c r="J505" s="27"/>
      <c r="K505" s="27"/>
      <c r="L505" s="27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2:47" ht="15.75" customHeight="1" x14ac:dyDescent="0.2">
      <c r="B506" s="2"/>
      <c r="C506" s="2"/>
      <c r="D506" s="27"/>
      <c r="E506" s="27"/>
      <c r="F506" s="27"/>
      <c r="G506" s="215"/>
      <c r="H506" s="215"/>
      <c r="I506" s="27"/>
      <c r="J506" s="27"/>
      <c r="K506" s="27"/>
      <c r="L506" s="27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2:47" ht="15.75" customHeight="1" x14ac:dyDescent="0.2">
      <c r="B507" s="2"/>
      <c r="C507" s="2"/>
      <c r="D507" s="27"/>
      <c r="E507" s="27"/>
      <c r="F507" s="27"/>
      <c r="G507" s="215"/>
      <c r="H507" s="215"/>
      <c r="I507" s="27"/>
      <c r="J507" s="27"/>
      <c r="K507" s="27"/>
      <c r="L507" s="27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2:47" ht="15.75" customHeight="1" x14ac:dyDescent="0.2">
      <c r="B508" s="2"/>
      <c r="C508" s="2"/>
      <c r="D508" s="27"/>
      <c r="E508" s="27"/>
      <c r="F508" s="27"/>
      <c r="G508" s="215"/>
      <c r="H508" s="215"/>
      <c r="I508" s="27"/>
      <c r="J508" s="27"/>
      <c r="K508" s="27"/>
      <c r="L508" s="27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2:47" ht="15.75" customHeight="1" x14ac:dyDescent="0.2">
      <c r="B509" s="2"/>
      <c r="C509" s="2"/>
      <c r="D509" s="27"/>
      <c r="E509" s="27"/>
      <c r="F509" s="27"/>
      <c r="G509" s="215"/>
      <c r="H509" s="215"/>
      <c r="I509" s="27"/>
      <c r="J509" s="27"/>
      <c r="K509" s="27"/>
      <c r="L509" s="27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2:47" ht="15.75" customHeight="1" x14ac:dyDescent="0.2">
      <c r="B510" s="2"/>
      <c r="C510" s="2"/>
      <c r="D510" s="27"/>
      <c r="E510" s="27"/>
      <c r="F510" s="27"/>
      <c r="G510" s="215"/>
      <c r="H510" s="215"/>
      <c r="I510" s="27"/>
      <c r="J510" s="27"/>
      <c r="K510" s="27"/>
      <c r="L510" s="27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2:47" ht="15.75" customHeight="1" x14ac:dyDescent="0.2">
      <c r="B511" s="2"/>
      <c r="C511" s="2"/>
      <c r="D511" s="27"/>
      <c r="E511" s="27"/>
      <c r="F511" s="27"/>
      <c r="G511" s="215"/>
      <c r="H511" s="215"/>
      <c r="I511" s="27"/>
      <c r="J511" s="27"/>
      <c r="K511" s="27"/>
      <c r="L511" s="27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2:47" ht="15.75" customHeight="1" x14ac:dyDescent="0.2">
      <c r="B512" s="2"/>
      <c r="C512" s="2"/>
      <c r="D512" s="27"/>
      <c r="E512" s="27"/>
      <c r="F512" s="27"/>
      <c r="G512" s="215"/>
      <c r="H512" s="215"/>
      <c r="I512" s="27"/>
      <c r="J512" s="27"/>
      <c r="K512" s="27"/>
      <c r="L512" s="27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2:47" ht="15.75" customHeight="1" x14ac:dyDescent="0.2">
      <c r="B513" s="2"/>
      <c r="C513" s="2"/>
      <c r="D513" s="27"/>
      <c r="E513" s="27"/>
      <c r="F513" s="27"/>
      <c r="G513" s="215"/>
      <c r="H513" s="215"/>
      <c r="I513" s="27"/>
      <c r="J513" s="27"/>
      <c r="K513" s="27"/>
      <c r="L513" s="27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2:47" ht="15.75" customHeight="1" x14ac:dyDescent="0.2">
      <c r="B514" s="2"/>
      <c r="C514" s="2"/>
      <c r="D514" s="27"/>
      <c r="E514" s="27"/>
      <c r="F514" s="27"/>
      <c r="G514" s="215"/>
      <c r="H514" s="215"/>
      <c r="I514" s="27"/>
      <c r="J514" s="27"/>
      <c r="K514" s="27"/>
      <c r="L514" s="27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2:47" ht="15.75" customHeight="1" x14ac:dyDescent="0.2">
      <c r="B515" s="2"/>
      <c r="C515" s="2"/>
      <c r="D515" s="27"/>
      <c r="E515" s="27"/>
      <c r="F515" s="27"/>
      <c r="G515" s="215"/>
      <c r="H515" s="215"/>
      <c r="I515" s="27"/>
      <c r="J515" s="27"/>
      <c r="K515" s="27"/>
      <c r="L515" s="27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2:47" ht="15.75" customHeight="1" x14ac:dyDescent="0.2">
      <c r="B516" s="2"/>
      <c r="C516" s="2"/>
      <c r="D516" s="27"/>
      <c r="E516" s="27"/>
      <c r="F516" s="27"/>
      <c r="G516" s="215"/>
      <c r="H516" s="215"/>
      <c r="I516" s="27"/>
      <c r="J516" s="27"/>
      <c r="K516" s="27"/>
      <c r="L516" s="27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2:47" ht="15.75" customHeight="1" x14ac:dyDescent="0.2">
      <c r="B517" s="2"/>
      <c r="C517" s="2"/>
      <c r="D517" s="27"/>
      <c r="E517" s="27"/>
      <c r="F517" s="27"/>
      <c r="G517" s="215"/>
      <c r="H517" s="215"/>
      <c r="I517" s="27"/>
      <c r="J517" s="27"/>
      <c r="K517" s="27"/>
      <c r="L517" s="27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2:47" ht="15.75" customHeight="1" x14ac:dyDescent="0.2">
      <c r="B518" s="2"/>
      <c r="C518" s="2"/>
      <c r="D518" s="27"/>
      <c r="E518" s="27"/>
      <c r="F518" s="27"/>
      <c r="G518" s="215"/>
      <c r="H518" s="215"/>
      <c r="I518" s="27"/>
      <c r="J518" s="27"/>
      <c r="K518" s="27"/>
      <c r="L518" s="27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2:47" ht="15.75" customHeight="1" x14ac:dyDescent="0.2">
      <c r="B519" s="2"/>
      <c r="C519" s="2"/>
      <c r="D519" s="27"/>
      <c r="E519" s="27"/>
      <c r="F519" s="27"/>
      <c r="G519" s="215"/>
      <c r="H519" s="215"/>
      <c r="I519" s="27"/>
      <c r="J519" s="27"/>
      <c r="K519" s="27"/>
      <c r="L519" s="27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2:47" ht="15.75" customHeight="1" x14ac:dyDescent="0.2">
      <c r="B520" s="2"/>
      <c r="C520" s="2"/>
      <c r="D520" s="27"/>
      <c r="E520" s="27"/>
      <c r="F520" s="27"/>
      <c r="G520" s="215"/>
      <c r="H520" s="215"/>
      <c r="I520" s="27"/>
      <c r="J520" s="27"/>
      <c r="K520" s="27"/>
      <c r="L520" s="27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2:47" ht="15.75" customHeight="1" x14ac:dyDescent="0.2">
      <c r="B521" s="2"/>
      <c r="C521" s="2"/>
      <c r="D521" s="27"/>
      <c r="E521" s="27"/>
      <c r="F521" s="27"/>
      <c r="G521" s="215"/>
      <c r="H521" s="215"/>
      <c r="I521" s="27"/>
      <c r="J521" s="27"/>
      <c r="K521" s="27"/>
      <c r="L521" s="27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2:47" ht="15.75" customHeight="1" x14ac:dyDescent="0.2">
      <c r="B522" s="2"/>
      <c r="C522" s="2"/>
      <c r="D522" s="27"/>
      <c r="E522" s="27"/>
      <c r="F522" s="27"/>
      <c r="G522" s="215"/>
      <c r="H522" s="215"/>
      <c r="I522" s="27"/>
      <c r="J522" s="27"/>
      <c r="K522" s="27"/>
      <c r="L522" s="27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2:47" ht="15.75" customHeight="1" x14ac:dyDescent="0.2">
      <c r="B523" s="2"/>
      <c r="C523" s="2"/>
      <c r="D523" s="27"/>
      <c r="E523" s="27"/>
      <c r="F523" s="27"/>
      <c r="G523" s="215"/>
      <c r="H523" s="215"/>
      <c r="I523" s="27"/>
      <c r="J523" s="27"/>
      <c r="K523" s="27"/>
      <c r="L523" s="27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2:47" ht="15.75" customHeight="1" x14ac:dyDescent="0.2">
      <c r="B524" s="2"/>
      <c r="C524" s="2"/>
      <c r="D524" s="27"/>
      <c r="E524" s="27"/>
      <c r="F524" s="27"/>
      <c r="G524" s="215"/>
      <c r="H524" s="215"/>
      <c r="I524" s="27"/>
      <c r="J524" s="27"/>
      <c r="K524" s="27"/>
      <c r="L524" s="27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2:47" ht="15.75" customHeight="1" x14ac:dyDescent="0.2">
      <c r="B525" s="2"/>
      <c r="C525" s="2"/>
      <c r="D525" s="27"/>
      <c r="E525" s="27"/>
      <c r="F525" s="27"/>
      <c r="G525" s="215"/>
      <c r="H525" s="215"/>
      <c r="I525" s="27"/>
      <c r="J525" s="27"/>
      <c r="K525" s="27"/>
      <c r="L525" s="27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2:47" ht="15.75" customHeight="1" x14ac:dyDescent="0.2">
      <c r="B526" s="2"/>
      <c r="C526" s="2"/>
      <c r="D526" s="27"/>
      <c r="E526" s="27"/>
      <c r="F526" s="27"/>
      <c r="G526" s="215"/>
      <c r="H526" s="215"/>
      <c r="I526" s="27"/>
      <c r="J526" s="27"/>
      <c r="K526" s="27"/>
      <c r="L526" s="27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2:47" ht="15.75" customHeight="1" x14ac:dyDescent="0.2">
      <c r="B527" s="2"/>
      <c r="C527" s="2"/>
      <c r="D527" s="27"/>
      <c r="E527" s="27"/>
      <c r="F527" s="27"/>
      <c r="G527" s="215"/>
      <c r="H527" s="215"/>
      <c r="I527" s="27"/>
      <c r="J527" s="27"/>
      <c r="K527" s="27"/>
      <c r="L527" s="27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2:47" ht="15.75" customHeight="1" x14ac:dyDescent="0.2">
      <c r="B528" s="2"/>
      <c r="C528" s="2"/>
      <c r="D528" s="27"/>
      <c r="E528" s="27"/>
      <c r="F528" s="27"/>
      <c r="G528" s="215"/>
      <c r="H528" s="215"/>
      <c r="I528" s="27"/>
      <c r="J528" s="27"/>
      <c r="K528" s="27"/>
      <c r="L528" s="27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2:47" ht="15.75" customHeight="1" x14ac:dyDescent="0.2">
      <c r="B529" s="2"/>
      <c r="C529" s="2"/>
      <c r="D529" s="27"/>
      <c r="E529" s="27"/>
      <c r="F529" s="27"/>
      <c r="G529" s="215"/>
      <c r="H529" s="215"/>
      <c r="I529" s="27"/>
      <c r="J529" s="27"/>
      <c r="K529" s="27"/>
      <c r="L529" s="27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2:47" ht="15.75" customHeight="1" x14ac:dyDescent="0.2">
      <c r="B530" s="2"/>
      <c r="C530" s="2"/>
      <c r="D530" s="27"/>
      <c r="E530" s="27"/>
      <c r="F530" s="27"/>
      <c r="G530" s="215"/>
      <c r="H530" s="215"/>
      <c r="I530" s="27"/>
      <c r="J530" s="27"/>
      <c r="K530" s="27"/>
      <c r="L530" s="27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2:47" ht="15.75" customHeight="1" x14ac:dyDescent="0.2">
      <c r="B531" s="2"/>
      <c r="C531" s="2"/>
      <c r="D531" s="27"/>
      <c r="E531" s="27"/>
      <c r="F531" s="27"/>
      <c r="G531" s="215"/>
      <c r="H531" s="215"/>
      <c r="I531" s="27"/>
      <c r="J531" s="27"/>
      <c r="K531" s="27"/>
      <c r="L531" s="27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2:47" ht="15.75" customHeight="1" x14ac:dyDescent="0.2">
      <c r="B532" s="2"/>
      <c r="C532" s="2"/>
      <c r="D532" s="27"/>
      <c r="E532" s="27"/>
      <c r="F532" s="27"/>
      <c r="G532" s="215"/>
      <c r="H532" s="215"/>
      <c r="I532" s="27"/>
      <c r="J532" s="27"/>
      <c r="K532" s="27"/>
      <c r="L532" s="27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2:47" ht="15.75" customHeight="1" x14ac:dyDescent="0.2">
      <c r="B533" s="2"/>
      <c r="C533" s="2"/>
      <c r="D533" s="27"/>
      <c r="E533" s="27"/>
      <c r="F533" s="27"/>
      <c r="G533" s="215"/>
      <c r="H533" s="215"/>
      <c r="I533" s="27"/>
      <c r="J533" s="27"/>
      <c r="K533" s="27"/>
      <c r="L533" s="27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2:47" ht="15.75" customHeight="1" x14ac:dyDescent="0.2">
      <c r="B534" s="2"/>
      <c r="C534" s="2"/>
      <c r="D534" s="27"/>
      <c r="E534" s="27"/>
      <c r="F534" s="27"/>
      <c r="G534" s="215"/>
      <c r="H534" s="215"/>
      <c r="I534" s="27"/>
      <c r="J534" s="27"/>
      <c r="K534" s="27"/>
      <c r="L534" s="27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2:47" ht="15.75" customHeight="1" x14ac:dyDescent="0.2">
      <c r="B535" s="2"/>
      <c r="C535" s="2"/>
      <c r="D535" s="27"/>
      <c r="E535" s="27"/>
      <c r="F535" s="27"/>
      <c r="G535" s="215"/>
      <c r="H535" s="215"/>
      <c r="I535" s="27"/>
      <c r="J535" s="27"/>
      <c r="K535" s="27"/>
      <c r="L535" s="27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2:47" ht="15.75" customHeight="1" x14ac:dyDescent="0.2">
      <c r="B536" s="2"/>
      <c r="C536" s="2"/>
      <c r="D536" s="27"/>
      <c r="E536" s="27"/>
      <c r="F536" s="27"/>
      <c r="G536" s="215"/>
      <c r="H536" s="215"/>
      <c r="I536" s="27"/>
      <c r="J536" s="27"/>
      <c r="K536" s="27"/>
      <c r="L536" s="27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2:47" ht="15.75" customHeight="1" x14ac:dyDescent="0.2">
      <c r="B537" s="2"/>
      <c r="C537" s="2"/>
      <c r="D537" s="27"/>
      <c r="E537" s="27"/>
      <c r="F537" s="27"/>
      <c r="G537" s="215"/>
      <c r="H537" s="215"/>
      <c r="I537" s="27"/>
      <c r="J537" s="27"/>
      <c r="K537" s="27"/>
      <c r="L537" s="27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2:47" ht="15.75" customHeight="1" x14ac:dyDescent="0.2">
      <c r="B538" s="2"/>
      <c r="C538" s="2"/>
      <c r="D538" s="27"/>
      <c r="E538" s="27"/>
      <c r="F538" s="27"/>
      <c r="G538" s="215"/>
      <c r="H538" s="215"/>
      <c r="I538" s="27"/>
      <c r="J538" s="27"/>
      <c r="K538" s="27"/>
      <c r="L538" s="27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2:47" ht="15.75" customHeight="1" x14ac:dyDescent="0.2">
      <c r="B539" s="2"/>
      <c r="C539" s="2"/>
      <c r="D539" s="27"/>
      <c r="E539" s="27"/>
      <c r="F539" s="27"/>
      <c r="G539" s="215"/>
      <c r="H539" s="215"/>
      <c r="I539" s="27"/>
      <c r="J539" s="27"/>
      <c r="K539" s="27"/>
      <c r="L539" s="27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2:47" ht="15.75" customHeight="1" x14ac:dyDescent="0.2">
      <c r="B540" s="2"/>
      <c r="C540" s="2"/>
      <c r="D540" s="27"/>
      <c r="E540" s="27"/>
      <c r="F540" s="27"/>
      <c r="G540" s="215"/>
      <c r="H540" s="215"/>
      <c r="I540" s="27"/>
      <c r="J540" s="27"/>
      <c r="K540" s="27"/>
      <c r="L540" s="27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2:47" ht="15.75" customHeight="1" x14ac:dyDescent="0.2">
      <c r="B541" s="2"/>
      <c r="C541" s="2"/>
      <c r="D541" s="27"/>
      <c r="E541" s="27"/>
      <c r="F541" s="27"/>
      <c r="G541" s="215"/>
      <c r="H541" s="215"/>
      <c r="I541" s="27"/>
      <c r="J541" s="27"/>
      <c r="K541" s="27"/>
      <c r="L541" s="27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2:47" ht="15.75" customHeight="1" x14ac:dyDescent="0.2">
      <c r="B542" s="2"/>
      <c r="C542" s="2"/>
      <c r="D542" s="27"/>
      <c r="E542" s="27"/>
      <c r="F542" s="27"/>
      <c r="G542" s="215"/>
      <c r="H542" s="215"/>
      <c r="I542" s="27"/>
      <c r="J542" s="27"/>
      <c r="K542" s="27"/>
      <c r="L542" s="27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2:47" ht="15.75" customHeight="1" x14ac:dyDescent="0.2">
      <c r="B543" s="2"/>
      <c r="C543" s="2"/>
      <c r="D543" s="27"/>
      <c r="E543" s="27"/>
      <c r="F543" s="27"/>
      <c r="G543" s="215"/>
      <c r="H543" s="215"/>
      <c r="I543" s="27"/>
      <c r="J543" s="27"/>
      <c r="K543" s="27"/>
      <c r="L543" s="27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2:47" ht="15.75" customHeight="1" x14ac:dyDescent="0.2">
      <c r="B544" s="2"/>
      <c r="C544" s="2"/>
      <c r="D544" s="27"/>
      <c r="E544" s="27"/>
      <c r="F544" s="27"/>
      <c r="G544" s="215"/>
      <c r="H544" s="215"/>
      <c r="I544" s="27"/>
      <c r="J544" s="27"/>
      <c r="K544" s="27"/>
      <c r="L544" s="27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2:47" ht="15.75" customHeight="1" x14ac:dyDescent="0.2">
      <c r="B545" s="2"/>
      <c r="C545" s="2"/>
      <c r="D545" s="27"/>
      <c r="E545" s="27"/>
      <c r="F545" s="27"/>
      <c r="G545" s="215"/>
      <c r="H545" s="215"/>
      <c r="I545" s="27"/>
      <c r="J545" s="27"/>
      <c r="K545" s="27"/>
      <c r="L545" s="27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2:47" ht="15.75" customHeight="1" x14ac:dyDescent="0.2">
      <c r="B546" s="2"/>
      <c r="C546" s="2"/>
      <c r="D546" s="27"/>
      <c r="E546" s="27"/>
      <c r="F546" s="27"/>
      <c r="G546" s="215"/>
      <c r="H546" s="215"/>
      <c r="I546" s="27"/>
      <c r="J546" s="27"/>
      <c r="K546" s="27"/>
      <c r="L546" s="27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2:47" ht="15.75" customHeight="1" x14ac:dyDescent="0.2">
      <c r="B547" s="2"/>
      <c r="C547" s="2"/>
      <c r="D547" s="27"/>
      <c r="E547" s="27"/>
      <c r="F547" s="27"/>
      <c r="G547" s="215"/>
      <c r="H547" s="215"/>
      <c r="I547" s="27"/>
      <c r="J547" s="27"/>
      <c r="K547" s="27"/>
      <c r="L547" s="27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2:47" ht="15.75" customHeight="1" x14ac:dyDescent="0.2">
      <c r="B548" s="2"/>
      <c r="C548" s="2"/>
      <c r="D548" s="27"/>
      <c r="E548" s="27"/>
      <c r="F548" s="27"/>
      <c r="G548" s="215"/>
      <c r="H548" s="215"/>
      <c r="I548" s="27"/>
      <c r="J548" s="27"/>
      <c r="K548" s="27"/>
      <c r="L548" s="27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2:47" ht="15.75" customHeight="1" x14ac:dyDescent="0.2">
      <c r="B549" s="2"/>
      <c r="C549" s="2"/>
      <c r="D549" s="27"/>
      <c r="E549" s="27"/>
      <c r="F549" s="27"/>
      <c r="G549" s="215"/>
      <c r="H549" s="215"/>
      <c r="I549" s="27"/>
      <c r="J549" s="27"/>
      <c r="K549" s="27"/>
      <c r="L549" s="27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2:47" ht="15.75" customHeight="1" x14ac:dyDescent="0.2">
      <c r="B550" s="2"/>
      <c r="C550" s="2"/>
      <c r="D550" s="27"/>
      <c r="E550" s="27"/>
      <c r="F550" s="27"/>
      <c r="G550" s="215"/>
      <c r="H550" s="215"/>
      <c r="I550" s="27"/>
      <c r="J550" s="27"/>
      <c r="K550" s="27"/>
      <c r="L550" s="27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2:47" ht="15.75" customHeight="1" x14ac:dyDescent="0.2">
      <c r="B551" s="2"/>
      <c r="C551" s="2"/>
      <c r="D551" s="27"/>
      <c r="E551" s="27"/>
      <c r="F551" s="27"/>
      <c r="G551" s="215"/>
      <c r="H551" s="215"/>
      <c r="I551" s="27"/>
      <c r="J551" s="27"/>
      <c r="K551" s="27"/>
      <c r="L551" s="27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2:47" ht="15.75" customHeight="1" x14ac:dyDescent="0.2">
      <c r="B552" s="2"/>
      <c r="C552" s="2"/>
      <c r="D552" s="27"/>
      <c r="E552" s="27"/>
      <c r="F552" s="27"/>
      <c r="G552" s="215"/>
      <c r="H552" s="215"/>
      <c r="I552" s="27"/>
      <c r="J552" s="27"/>
      <c r="K552" s="27"/>
      <c r="L552" s="27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2:47" ht="15.75" customHeight="1" x14ac:dyDescent="0.2">
      <c r="B553" s="2"/>
      <c r="C553" s="2"/>
      <c r="D553" s="27"/>
      <c r="E553" s="27"/>
      <c r="F553" s="27"/>
      <c r="G553" s="215"/>
      <c r="H553" s="215"/>
      <c r="I553" s="27"/>
      <c r="J553" s="27"/>
      <c r="K553" s="27"/>
      <c r="L553" s="27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2:47" ht="15.75" customHeight="1" x14ac:dyDescent="0.2">
      <c r="B554" s="2"/>
      <c r="C554" s="2"/>
      <c r="D554" s="27"/>
      <c r="E554" s="27"/>
      <c r="F554" s="27"/>
      <c r="G554" s="215"/>
      <c r="H554" s="215"/>
      <c r="I554" s="27"/>
      <c r="J554" s="27"/>
      <c r="K554" s="27"/>
      <c r="L554" s="27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2:47" ht="15.75" customHeight="1" x14ac:dyDescent="0.2">
      <c r="B555" s="2"/>
      <c r="C555" s="2"/>
      <c r="D555" s="27"/>
      <c r="E555" s="27"/>
      <c r="F555" s="27"/>
      <c r="G555" s="215"/>
      <c r="H555" s="215"/>
      <c r="I555" s="27"/>
      <c r="J555" s="27"/>
      <c r="K555" s="27"/>
      <c r="L555" s="27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2:47" ht="15.75" customHeight="1" x14ac:dyDescent="0.2">
      <c r="B556" s="2"/>
      <c r="C556" s="2"/>
      <c r="D556" s="27"/>
      <c r="E556" s="27"/>
      <c r="F556" s="27"/>
      <c r="G556" s="215"/>
      <c r="H556" s="215"/>
      <c r="I556" s="27"/>
      <c r="J556" s="27"/>
      <c r="K556" s="27"/>
      <c r="L556" s="27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2:47" ht="15.75" customHeight="1" x14ac:dyDescent="0.2">
      <c r="B557" s="2"/>
      <c r="C557" s="2"/>
      <c r="D557" s="27"/>
      <c r="E557" s="27"/>
      <c r="F557" s="27"/>
      <c r="G557" s="215"/>
      <c r="H557" s="215"/>
      <c r="I557" s="27"/>
      <c r="J557" s="27"/>
      <c r="K557" s="27"/>
      <c r="L557" s="27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2:47" ht="15.75" customHeight="1" x14ac:dyDescent="0.2">
      <c r="B558" s="2"/>
      <c r="C558" s="2"/>
      <c r="D558" s="27"/>
      <c r="E558" s="27"/>
      <c r="F558" s="27"/>
      <c r="G558" s="215"/>
      <c r="H558" s="215"/>
      <c r="I558" s="27"/>
      <c r="J558" s="27"/>
      <c r="K558" s="27"/>
      <c r="L558" s="27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2:47" ht="15.75" customHeight="1" x14ac:dyDescent="0.2">
      <c r="B559" s="2"/>
      <c r="C559" s="2"/>
      <c r="D559" s="27"/>
      <c r="E559" s="27"/>
      <c r="F559" s="27"/>
      <c r="G559" s="215"/>
      <c r="H559" s="215"/>
      <c r="I559" s="27"/>
      <c r="J559" s="27"/>
      <c r="K559" s="27"/>
      <c r="L559" s="27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2:47" ht="15.75" customHeight="1" x14ac:dyDescent="0.2">
      <c r="B560" s="2"/>
      <c r="C560" s="2"/>
      <c r="D560" s="27"/>
      <c r="E560" s="27"/>
      <c r="F560" s="27"/>
      <c r="G560" s="215"/>
      <c r="H560" s="215"/>
      <c r="I560" s="27"/>
      <c r="J560" s="27"/>
      <c r="K560" s="27"/>
      <c r="L560" s="27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2:47" ht="15.75" customHeight="1" x14ac:dyDescent="0.2">
      <c r="B561" s="2"/>
      <c r="C561" s="2"/>
      <c r="D561" s="27"/>
      <c r="E561" s="27"/>
      <c r="F561" s="27"/>
      <c r="G561" s="215"/>
      <c r="H561" s="215"/>
      <c r="I561" s="27"/>
      <c r="J561" s="27"/>
      <c r="K561" s="27"/>
      <c r="L561" s="27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2:47" ht="15.75" customHeight="1" x14ac:dyDescent="0.2">
      <c r="B562" s="2"/>
      <c r="C562" s="2"/>
      <c r="D562" s="27"/>
      <c r="E562" s="27"/>
      <c r="F562" s="27"/>
      <c r="G562" s="215"/>
      <c r="H562" s="215"/>
      <c r="I562" s="27"/>
      <c r="J562" s="27"/>
      <c r="K562" s="27"/>
      <c r="L562" s="27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2:47" ht="15.75" customHeight="1" x14ac:dyDescent="0.2">
      <c r="B563" s="2"/>
      <c r="C563" s="2"/>
      <c r="D563" s="27"/>
      <c r="E563" s="27"/>
      <c r="F563" s="27"/>
      <c r="G563" s="215"/>
      <c r="H563" s="215"/>
      <c r="I563" s="27"/>
      <c r="J563" s="27"/>
      <c r="K563" s="27"/>
      <c r="L563" s="27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2:47" ht="15.75" customHeight="1" x14ac:dyDescent="0.2">
      <c r="B564" s="2"/>
      <c r="C564" s="2"/>
      <c r="D564" s="27"/>
      <c r="E564" s="27"/>
      <c r="F564" s="27"/>
      <c r="G564" s="215"/>
      <c r="H564" s="215"/>
      <c r="I564" s="27"/>
      <c r="J564" s="27"/>
      <c r="K564" s="27"/>
      <c r="L564" s="27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2:47" ht="15.75" customHeight="1" x14ac:dyDescent="0.2">
      <c r="B565" s="2"/>
      <c r="C565" s="2"/>
      <c r="D565" s="27"/>
      <c r="E565" s="27"/>
      <c r="F565" s="27"/>
      <c r="G565" s="215"/>
      <c r="H565" s="215"/>
      <c r="I565" s="27"/>
      <c r="J565" s="27"/>
      <c r="K565" s="27"/>
      <c r="L565" s="27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2:47" ht="15.75" customHeight="1" x14ac:dyDescent="0.2">
      <c r="B566" s="2"/>
      <c r="C566" s="2"/>
      <c r="D566" s="27"/>
      <c r="E566" s="27"/>
      <c r="F566" s="27"/>
      <c r="G566" s="215"/>
      <c r="H566" s="215"/>
      <c r="I566" s="27"/>
      <c r="J566" s="27"/>
      <c r="K566" s="27"/>
      <c r="L566" s="27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2:47" ht="15.75" customHeight="1" x14ac:dyDescent="0.2">
      <c r="B567" s="2"/>
      <c r="C567" s="2"/>
      <c r="D567" s="27"/>
      <c r="E567" s="27"/>
      <c r="F567" s="27"/>
      <c r="G567" s="215"/>
      <c r="H567" s="215"/>
      <c r="I567" s="27"/>
      <c r="J567" s="27"/>
      <c r="K567" s="27"/>
      <c r="L567" s="27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2:47" ht="15.75" customHeight="1" x14ac:dyDescent="0.2">
      <c r="B568" s="2"/>
      <c r="C568" s="2"/>
      <c r="D568" s="27"/>
      <c r="E568" s="27"/>
      <c r="F568" s="27"/>
      <c r="G568" s="215"/>
      <c r="H568" s="215"/>
      <c r="I568" s="27"/>
      <c r="J568" s="27"/>
      <c r="K568" s="27"/>
      <c r="L568" s="27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2:47" ht="15.75" customHeight="1" x14ac:dyDescent="0.2">
      <c r="B569" s="2"/>
      <c r="C569" s="2"/>
      <c r="D569" s="27"/>
      <c r="E569" s="27"/>
      <c r="F569" s="27"/>
      <c r="G569" s="215"/>
      <c r="H569" s="215"/>
      <c r="I569" s="27"/>
      <c r="J569" s="27"/>
      <c r="K569" s="27"/>
      <c r="L569" s="27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2:47" ht="15.75" customHeight="1" x14ac:dyDescent="0.2">
      <c r="B570" s="2"/>
      <c r="C570" s="2"/>
      <c r="D570" s="27"/>
      <c r="E570" s="27"/>
      <c r="F570" s="27"/>
      <c r="G570" s="215"/>
      <c r="H570" s="215"/>
      <c r="I570" s="27"/>
      <c r="J570" s="27"/>
      <c r="K570" s="27"/>
      <c r="L570" s="27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2:47" ht="15.75" customHeight="1" x14ac:dyDescent="0.2">
      <c r="B571" s="2"/>
      <c r="C571" s="2"/>
      <c r="D571" s="27"/>
      <c r="E571" s="27"/>
      <c r="F571" s="27"/>
      <c r="G571" s="215"/>
      <c r="H571" s="215"/>
      <c r="I571" s="27"/>
      <c r="J571" s="27"/>
      <c r="K571" s="27"/>
      <c r="L571" s="27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2:47" ht="15.75" customHeight="1" x14ac:dyDescent="0.2">
      <c r="B572" s="2"/>
      <c r="C572" s="2"/>
      <c r="D572" s="27"/>
      <c r="E572" s="27"/>
      <c r="F572" s="27"/>
      <c r="G572" s="215"/>
      <c r="H572" s="215"/>
      <c r="I572" s="27"/>
      <c r="J572" s="27"/>
      <c r="K572" s="27"/>
      <c r="L572" s="27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2:47" ht="15.75" customHeight="1" x14ac:dyDescent="0.2">
      <c r="B573" s="2"/>
      <c r="C573" s="2"/>
      <c r="D573" s="27"/>
      <c r="E573" s="27"/>
      <c r="F573" s="27"/>
      <c r="G573" s="215"/>
      <c r="H573" s="215"/>
      <c r="I573" s="27"/>
      <c r="J573" s="27"/>
      <c r="K573" s="27"/>
      <c r="L573" s="27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2:47" ht="15.75" customHeight="1" x14ac:dyDescent="0.2">
      <c r="B574" s="2"/>
      <c r="C574" s="2"/>
      <c r="D574" s="27"/>
      <c r="E574" s="27"/>
      <c r="F574" s="27"/>
      <c r="G574" s="215"/>
      <c r="H574" s="215"/>
      <c r="I574" s="27"/>
      <c r="J574" s="27"/>
      <c r="K574" s="27"/>
      <c r="L574" s="27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2:47" ht="15.75" customHeight="1" x14ac:dyDescent="0.2">
      <c r="B575" s="2"/>
      <c r="C575" s="2"/>
      <c r="D575" s="27"/>
      <c r="E575" s="27"/>
      <c r="F575" s="27"/>
      <c r="G575" s="215"/>
      <c r="H575" s="215"/>
      <c r="I575" s="27"/>
      <c r="J575" s="27"/>
      <c r="K575" s="27"/>
      <c r="L575" s="27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2:47" ht="15.75" customHeight="1" x14ac:dyDescent="0.2">
      <c r="B576" s="2"/>
      <c r="C576" s="2"/>
      <c r="D576" s="27"/>
      <c r="E576" s="27"/>
      <c r="F576" s="27"/>
      <c r="G576" s="215"/>
      <c r="H576" s="215"/>
      <c r="I576" s="27"/>
      <c r="J576" s="27"/>
      <c r="K576" s="27"/>
      <c r="L576" s="27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2:47" ht="15.75" customHeight="1" x14ac:dyDescent="0.2">
      <c r="B577" s="2"/>
      <c r="C577" s="2"/>
      <c r="D577" s="27"/>
      <c r="E577" s="27"/>
      <c r="F577" s="27"/>
      <c r="G577" s="215"/>
      <c r="H577" s="215"/>
      <c r="I577" s="27"/>
      <c r="J577" s="27"/>
      <c r="K577" s="27"/>
      <c r="L577" s="27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2:47" ht="15.75" customHeight="1" x14ac:dyDescent="0.2">
      <c r="B578" s="2"/>
      <c r="C578" s="2"/>
      <c r="D578" s="27"/>
      <c r="E578" s="27"/>
      <c r="F578" s="27"/>
      <c r="G578" s="215"/>
      <c r="H578" s="215"/>
      <c r="I578" s="27"/>
      <c r="J578" s="27"/>
      <c r="K578" s="27"/>
      <c r="L578" s="27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2:47" ht="15.75" customHeight="1" x14ac:dyDescent="0.2">
      <c r="B579" s="2"/>
      <c r="C579" s="2"/>
      <c r="D579" s="27"/>
      <c r="E579" s="27"/>
      <c r="F579" s="27"/>
      <c r="G579" s="215"/>
      <c r="H579" s="215"/>
      <c r="I579" s="27"/>
      <c r="J579" s="27"/>
      <c r="K579" s="27"/>
      <c r="L579" s="27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2:47" ht="15.75" customHeight="1" x14ac:dyDescent="0.2">
      <c r="B580" s="2"/>
      <c r="C580" s="2"/>
      <c r="D580" s="27"/>
      <c r="E580" s="27"/>
      <c r="F580" s="27"/>
      <c r="G580" s="215"/>
      <c r="H580" s="215"/>
      <c r="I580" s="27"/>
      <c r="J580" s="27"/>
      <c r="K580" s="27"/>
      <c r="L580" s="27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2:47" ht="15.75" customHeight="1" x14ac:dyDescent="0.2">
      <c r="B581" s="2"/>
      <c r="C581" s="2"/>
      <c r="D581" s="27"/>
      <c r="E581" s="27"/>
      <c r="F581" s="27"/>
      <c r="G581" s="215"/>
      <c r="H581" s="215"/>
      <c r="I581" s="27"/>
      <c r="J581" s="27"/>
      <c r="K581" s="27"/>
      <c r="L581" s="27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2:47" ht="15.75" customHeight="1" x14ac:dyDescent="0.2">
      <c r="B582" s="2"/>
      <c r="C582" s="2"/>
      <c r="D582" s="27"/>
      <c r="E582" s="27"/>
      <c r="F582" s="27"/>
      <c r="G582" s="215"/>
      <c r="H582" s="215"/>
      <c r="I582" s="27"/>
      <c r="J582" s="27"/>
      <c r="K582" s="27"/>
      <c r="L582" s="27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2:47" ht="15.75" customHeight="1" x14ac:dyDescent="0.2">
      <c r="B583" s="2"/>
      <c r="C583" s="2"/>
      <c r="D583" s="27"/>
      <c r="E583" s="27"/>
      <c r="F583" s="27"/>
      <c r="G583" s="215"/>
      <c r="H583" s="215"/>
      <c r="I583" s="27"/>
      <c r="J583" s="27"/>
      <c r="K583" s="27"/>
      <c r="L583" s="27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2:47" ht="15.75" customHeight="1" x14ac:dyDescent="0.2">
      <c r="B584" s="2"/>
      <c r="C584" s="2"/>
      <c r="D584" s="27"/>
      <c r="E584" s="27"/>
      <c r="F584" s="27"/>
      <c r="G584" s="215"/>
      <c r="H584" s="215"/>
      <c r="I584" s="27"/>
      <c r="J584" s="27"/>
      <c r="K584" s="27"/>
      <c r="L584" s="27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2:47" ht="15.75" customHeight="1" x14ac:dyDescent="0.2">
      <c r="B585" s="2"/>
      <c r="C585" s="2"/>
      <c r="D585" s="27"/>
      <c r="E585" s="27"/>
      <c r="F585" s="27"/>
      <c r="G585" s="215"/>
      <c r="H585" s="215"/>
      <c r="I585" s="27"/>
      <c r="J585" s="27"/>
      <c r="K585" s="27"/>
      <c r="L585" s="27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2:47" ht="15.75" customHeight="1" x14ac:dyDescent="0.2">
      <c r="B586" s="2"/>
      <c r="C586" s="2"/>
      <c r="D586" s="27"/>
      <c r="E586" s="27"/>
      <c r="F586" s="27"/>
      <c r="G586" s="215"/>
      <c r="H586" s="215"/>
      <c r="I586" s="27"/>
      <c r="J586" s="27"/>
      <c r="K586" s="27"/>
      <c r="L586" s="27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2:47" ht="15.75" customHeight="1" x14ac:dyDescent="0.2">
      <c r="B587" s="2"/>
      <c r="C587" s="2"/>
      <c r="D587" s="27"/>
      <c r="E587" s="27"/>
      <c r="F587" s="27"/>
      <c r="G587" s="215"/>
      <c r="H587" s="215"/>
      <c r="I587" s="27"/>
      <c r="J587" s="27"/>
      <c r="K587" s="27"/>
      <c r="L587" s="27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2:47" ht="15.75" customHeight="1" x14ac:dyDescent="0.2">
      <c r="B588" s="2"/>
      <c r="C588" s="2"/>
      <c r="D588" s="27"/>
      <c r="E588" s="27"/>
      <c r="F588" s="27"/>
      <c r="G588" s="215"/>
      <c r="H588" s="215"/>
      <c r="I588" s="27"/>
      <c r="J588" s="27"/>
      <c r="K588" s="27"/>
      <c r="L588" s="27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2:47" ht="15.75" customHeight="1" x14ac:dyDescent="0.2">
      <c r="B589" s="2"/>
      <c r="C589" s="2"/>
      <c r="D589" s="27"/>
      <c r="E589" s="27"/>
      <c r="F589" s="27"/>
      <c r="G589" s="215"/>
      <c r="H589" s="215"/>
      <c r="I589" s="27"/>
      <c r="J589" s="27"/>
      <c r="K589" s="27"/>
      <c r="L589" s="27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2:47" ht="15.75" customHeight="1" x14ac:dyDescent="0.2">
      <c r="B590" s="2"/>
      <c r="C590" s="2"/>
      <c r="D590" s="27"/>
      <c r="E590" s="27"/>
      <c r="F590" s="27"/>
      <c r="G590" s="215"/>
      <c r="H590" s="215"/>
      <c r="I590" s="27"/>
      <c r="J590" s="27"/>
      <c r="K590" s="27"/>
      <c r="L590" s="27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2:47" ht="15.75" customHeight="1" x14ac:dyDescent="0.2">
      <c r="B591" s="2"/>
      <c r="C591" s="2"/>
      <c r="D591" s="27"/>
      <c r="E591" s="27"/>
      <c r="F591" s="27"/>
      <c r="G591" s="215"/>
      <c r="H591" s="215"/>
      <c r="I591" s="27"/>
      <c r="J591" s="27"/>
      <c r="K591" s="27"/>
      <c r="L591" s="27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2:47" ht="15.75" customHeight="1" x14ac:dyDescent="0.2">
      <c r="B592" s="2"/>
      <c r="C592" s="2"/>
      <c r="D592" s="27"/>
      <c r="E592" s="27"/>
      <c r="F592" s="27"/>
      <c r="G592" s="215"/>
      <c r="H592" s="215"/>
      <c r="I592" s="27"/>
      <c r="J592" s="27"/>
      <c r="K592" s="27"/>
      <c r="L592" s="27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2:47" ht="15.75" customHeight="1" x14ac:dyDescent="0.2">
      <c r="B593" s="2"/>
      <c r="C593" s="2"/>
      <c r="D593" s="27"/>
      <c r="E593" s="27"/>
      <c r="F593" s="27"/>
      <c r="G593" s="215"/>
      <c r="H593" s="215"/>
      <c r="I593" s="27"/>
      <c r="J593" s="27"/>
      <c r="K593" s="27"/>
      <c r="L593" s="27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2:47" ht="15.75" customHeight="1" x14ac:dyDescent="0.2">
      <c r="B594" s="2"/>
      <c r="C594" s="2"/>
      <c r="D594" s="27"/>
      <c r="E594" s="27"/>
      <c r="F594" s="27"/>
      <c r="G594" s="215"/>
      <c r="H594" s="215"/>
      <c r="I594" s="27"/>
      <c r="J594" s="27"/>
      <c r="K594" s="27"/>
      <c r="L594" s="27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2:47" ht="15.75" customHeight="1" x14ac:dyDescent="0.2">
      <c r="B595" s="2"/>
      <c r="C595" s="2"/>
      <c r="D595" s="27"/>
      <c r="E595" s="27"/>
      <c r="F595" s="27"/>
      <c r="G595" s="215"/>
      <c r="H595" s="215"/>
      <c r="I595" s="27"/>
      <c r="J595" s="27"/>
      <c r="K595" s="27"/>
      <c r="L595" s="27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2:47" ht="15.75" customHeight="1" x14ac:dyDescent="0.2">
      <c r="B596" s="2"/>
      <c r="C596" s="2"/>
      <c r="D596" s="27"/>
      <c r="E596" s="27"/>
      <c r="F596" s="27"/>
      <c r="G596" s="215"/>
      <c r="H596" s="215"/>
      <c r="I596" s="27"/>
      <c r="J596" s="27"/>
      <c r="K596" s="27"/>
      <c r="L596" s="27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2:47" ht="15.75" customHeight="1" x14ac:dyDescent="0.2">
      <c r="B597" s="2"/>
      <c r="C597" s="2"/>
      <c r="D597" s="27"/>
      <c r="E597" s="27"/>
      <c r="F597" s="27"/>
      <c r="G597" s="215"/>
      <c r="H597" s="215"/>
      <c r="I597" s="27"/>
      <c r="J597" s="27"/>
      <c r="K597" s="27"/>
      <c r="L597" s="27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2:47" ht="15.75" customHeight="1" x14ac:dyDescent="0.2">
      <c r="B598" s="2"/>
      <c r="C598" s="2"/>
      <c r="D598" s="27"/>
      <c r="E598" s="27"/>
      <c r="F598" s="27"/>
      <c r="G598" s="215"/>
      <c r="H598" s="215"/>
      <c r="I598" s="27"/>
      <c r="J598" s="27"/>
      <c r="K598" s="27"/>
      <c r="L598" s="27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2:47" ht="15.75" customHeight="1" x14ac:dyDescent="0.2">
      <c r="B599" s="2"/>
      <c r="C599" s="2"/>
      <c r="D599" s="27"/>
      <c r="E599" s="27"/>
      <c r="F599" s="27"/>
      <c r="G599" s="215"/>
      <c r="H599" s="215"/>
      <c r="I599" s="27"/>
      <c r="J599" s="27"/>
      <c r="K599" s="27"/>
      <c r="L599" s="27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2:47" ht="15.75" customHeight="1" x14ac:dyDescent="0.2">
      <c r="B600" s="2"/>
      <c r="C600" s="2"/>
      <c r="D600" s="27"/>
      <c r="E600" s="27"/>
      <c r="F600" s="27"/>
      <c r="G600" s="215"/>
      <c r="H600" s="215"/>
      <c r="I600" s="27"/>
      <c r="J600" s="27"/>
      <c r="K600" s="27"/>
      <c r="L600" s="27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2:47" ht="15.75" customHeight="1" x14ac:dyDescent="0.2">
      <c r="B601" s="2"/>
      <c r="C601" s="2"/>
      <c r="D601" s="27"/>
      <c r="E601" s="27"/>
      <c r="F601" s="27"/>
      <c r="G601" s="215"/>
      <c r="H601" s="215"/>
      <c r="I601" s="27"/>
      <c r="J601" s="27"/>
      <c r="K601" s="27"/>
      <c r="L601" s="27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2:47" ht="15.75" customHeight="1" x14ac:dyDescent="0.2">
      <c r="B602" s="2"/>
      <c r="C602" s="2"/>
      <c r="D602" s="27"/>
      <c r="E602" s="27"/>
      <c r="F602" s="27"/>
      <c r="G602" s="215"/>
      <c r="H602" s="215"/>
      <c r="I602" s="27"/>
      <c r="J602" s="27"/>
      <c r="K602" s="27"/>
      <c r="L602" s="27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2:47" ht="15.75" customHeight="1" x14ac:dyDescent="0.2">
      <c r="B603" s="2"/>
      <c r="C603" s="2"/>
      <c r="D603" s="27"/>
      <c r="E603" s="27"/>
      <c r="F603" s="27"/>
      <c r="G603" s="215"/>
      <c r="H603" s="215"/>
      <c r="I603" s="27"/>
      <c r="J603" s="27"/>
      <c r="K603" s="27"/>
      <c r="L603" s="27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2:47" ht="15.75" customHeight="1" x14ac:dyDescent="0.2">
      <c r="B604" s="2"/>
      <c r="C604" s="2"/>
      <c r="D604" s="27"/>
      <c r="E604" s="27"/>
      <c r="F604" s="27"/>
      <c r="G604" s="215"/>
      <c r="H604" s="215"/>
      <c r="I604" s="27"/>
      <c r="J604" s="27"/>
      <c r="K604" s="27"/>
      <c r="L604" s="27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2:47" ht="15.75" customHeight="1" x14ac:dyDescent="0.2">
      <c r="B605" s="2"/>
      <c r="C605" s="2"/>
      <c r="D605" s="27"/>
      <c r="E605" s="27"/>
      <c r="F605" s="27"/>
      <c r="G605" s="215"/>
      <c r="H605" s="215"/>
      <c r="I605" s="27"/>
      <c r="J605" s="27"/>
      <c r="K605" s="27"/>
      <c r="L605" s="27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2:47" ht="15.75" customHeight="1" x14ac:dyDescent="0.2">
      <c r="B606" s="2"/>
      <c r="C606" s="2"/>
      <c r="D606" s="27"/>
      <c r="E606" s="27"/>
      <c r="F606" s="27"/>
      <c r="G606" s="215"/>
      <c r="H606" s="215"/>
      <c r="I606" s="27"/>
      <c r="J606" s="27"/>
      <c r="K606" s="27"/>
      <c r="L606" s="27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2:47" ht="15.75" customHeight="1" x14ac:dyDescent="0.2">
      <c r="B607" s="2"/>
      <c r="C607" s="2"/>
      <c r="D607" s="27"/>
      <c r="E607" s="27"/>
      <c r="F607" s="27"/>
      <c r="G607" s="215"/>
      <c r="H607" s="215"/>
      <c r="I607" s="27"/>
      <c r="J607" s="27"/>
      <c r="K607" s="27"/>
      <c r="L607" s="27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2:47" ht="15.75" customHeight="1" x14ac:dyDescent="0.2">
      <c r="B608" s="2"/>
      <c r="C608" s="2"/>
      <c r="D608" s="27"/>
      <c r="E608" s="27"/>
      <c r="F608" s="27"/>
      <c r="G608" s="215"/>
      <c r="H608" s="215"/>
      <c r="I608" s="27"/>
      <c r="J608" s="27"/>
      <c r="K608" s="27"/>
      <c r="L608" s="27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2:47" ht="15.75" customHeight="1" x14ac:dyDescent="0.2">
      <c r="B609" s="2"/>
      <c r="C609" s="2"/>
      <c r="D609" s="27"/>
      <c r="E609" s="27"/>
      <c r="F609" s="27"/>
      <c r="G609" s="215"/>
      <c r="H609" s="215"/>
      <c r="I609" s="27"/>
      <c r="J609" s="27"/>
      <c r="K609" s="27"/>
      <c r="L609" s="27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2:47" ht="15.75" customHeight="1" x14ac:dyDescent="0.2">
      <c r="B610" s="2"/>
      <c r="C610" s="2"/>
      <c r="D610" s="27"/>
      <c r="E610" s="27"/>
      <c r="F610" s="27"/>
      <c r="G610" s="215"/>
      <c r="H610" s="215"/>
      <c r="I610" s="27"/>
      <c r="J610" s="27"/>
      <c r="K610" s="27"/>
      <c r="L610" s="27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2:47" ht="15.75" customHeight="1" x14ac:dyDescent="0.2">
      <c r="B611" s="2"/>
      <c r="C611" s="2"/>
      <c r="D611" s="27"/>
      <c r="E611" s="27"/>
      <c r="F611" s="27"/>
      <c r="G611" s="215"/>
      <c r="H611" s="215"/>
      <c r="I611" s="27"/>
      <c r="J611" s="27"/>
      <c r="K611" s="27"/>
      <c r="L611" s="27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2:47" ht="15.75" customHeight="1" x14ac:dyDescent="0.2">
      <c r="B612" s="2"/>
      <c r="C612" s="2"/>
      <c r="D612" s="27"/>
      <c r="E612" s="27"/>
      <c r="F612" s="27"/>
      <c r="G612" s="215"/>
      <c r="H612" s="215"/>
      <c r="I612" s="27"/>
      <c r="J612" s="27"/>
      <c r="K612" s="27"/>
      <c r="L612" s="27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2:47" ht="15.75" customHeight="1" x14ac:dyDescent="0.2">
      <c r="B613" s="2"/>
      <c r="C613" s="2"/>
      <c r="D613" s="27"/>
      <c r="E613" s="27"/>
      <c r="F613" s="27"/>
      <c r="G613" s="215"/>
      <c r="H613" s="215"/>
      <c r="I613" s="27"/>
      <c r="J613" s="27"/>
      <c r="K613" s="27"/>
      <c r="L613" s="27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2:47" ht="15.75" customHeight="1" x14ac:dyDescent="0.2">
      <c r="B614" s="2"/>
      <c r="C614" s="2"/>
      <c r="D614" s="27"/>
      <c r="E614" s="27"/>
      <c r="F614" s="27"/>
      <c r="G614" s="215"/>
      <c r="H614" s="215"/>
      <c r="I614" s="27"/>
      <c r="J614" s="27"/>
      <c r="K614" s="27"/>
      <c r="L614" s="27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2:47" ht="15.75" customHeight="1" x14ac:dyDescent="0.2">
      <c r="B615" s="2"/>
      <c r="C615" s="2"/>
      <c r="D615" s="27"/>
      <c r="E615" s="27"/>
      <c r="F615" s="27"/>
      <c r="G615" s="215"/>
      <c r="H615" s="215"/>
      <c r="I615" s="27"/>
      <c r="J615" s="27"/>
      <c r="K615" s="27"/>
      <c r="L615" s="27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2:47" ht="15.75" customHeight="1" x14ac:dyDescent="0.2">
      <c r="B616" s="2"/>
      <c r="C616" s="2"/>
      <c r="D616" s="27"/>
      <c r="E616" s="27"/>
      <c r="F616" s="27"/>
      <c r="G616" s="215"/>
      <c r="H616" s="215"/>
      <c r="I616" s="27"/>
      <c r="J616" s="27"/>
      <c r="K616" s="27"/>
      <c r="L616" s="27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2:47" ht="15.75" customHeight="1" x14ac:dyDescent="0.2">
      <c r="B617" s="2"/>
      <c r="C617" s="2"/>
      <c r="D617" s="27"/>
      <c r="E617" s="27"/>
      <c r="F617" s="27"/>
      <c r="G617" s="215"/>
      <c r="H617" s="215"/>
      <c r="I617" s="27"/>
      <c r="J617" s="27"/>
      <c r="K617" s="27"/>
      <c r="L617" s="27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2:47" ht="15.75" customHeight="1" x14ac:dyDescent="0.2">
      <c r="B618" s="2"/>
      <c r="C618" s="2"/>
      <c r="D618" s="27"/>
      <c r="E618" s="27"/>
      <c r="F618" s="27"/>
      <c r="G618" s="215"/>
      <c r="H618" s="215"/>
      <c r="I618" s="27"/>
      <c r="J618" s="27"/>
      <c r="K618" s="27"/>
      <c r="L618" s="27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2:47" ht="15.75" customHeight="1" x14ac:dyDescent="0.2">
      <c r="B619" s="2"/>
      <c r="C619" s="2"/>
      <c r="D619" s="27"/>
      <c r="E619" s="27"/>
      <c r="F619" s="27"/>
      <c r="G619" s="215"/>
      <c r="H619" s="215"/>
      <c r="I619" s="27"/>
      <c r="J619" s="27"/>
      <c r="K619" s="27"/>
      <c r="L619" s="27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2:47" ht="15.75" customHeight="1" x14ac:dyDescent="0.2">
      <c r="B620" s="2"/>
      <c r="C620" s="2"/>
      <c r="D620" s="27"/>
      <c r="E620" s="27"/>
      <c r="F620" s="27"/>
      <c r="G620" s="215"/>
      <c r="H620" s="215"/>
      <c r="I620" s="27"/>
      <c r="J620" s="27"/>
      <c r="K620" s="27"/>
      <c r="L620" s="27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2:47" ht="15.75" customHeight="1" x14ac:dyDescent="0.2">
      <c r="B621" s="2"/>
      <c r="C621" s="2"/>
      <c r="D621" s="27"/>
      <c r="E621" s="27"/>
      <c r="F621" s="27"/>
      <c r="G621" s="215"/>
      <c r="H621" s="215"/>
      <c r="I621" s="27"/>
      <c r="J621" s="27"/>
      <c r="K621" s="27"/>
      <c r="L621" s="27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2:47" ht="15.75" customHeight="1" x14ac:dyDescent="0.2">
      <c r="B622" s="2"/>
      <c r="C622" s="2"/>
      <c r="D622" s="27"/>
      <c r="E622" s="27"/>
      <c r="F622" s="27"/>
      <c r="G622" s="215"/>
      <c r="H622" s="215"/>
      <c r="I622" s="27"/>
      <c r="J622" s="27"/>
      <c r="K622" s="27"/>
      <c r="L622" s="27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2:47" ht="15.75" customHeight="1" x14ac:dyDescent="0.2">
      <c r="B623" s="2"/>
      <c r="C623" s="2"/>
      <c r="D623" s="27"/>
      <c r="E623" s="27"/>
      <c r="F623" s="27"/>
      <c r="G623" s="215"/>
      <c r="H623" s="215"/>
      <c r="I623" s="27"/>
      <c r="J623" s="27"/>
      <c r="K623" s="27"/>
      <c r="L623" s="27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2:47" ht="15.75" customHeight="1" x14ac:dyDescent="0.2">
      <c r="B624" s="2"/>
      <c r="C624" s="2"/>
      <c r="D624" s="27"/>
      <c r="E624" s="27"/>
      <c r="F624" s="27"/>
      <c r="G624" s="215"/>
      <c r="H624" s="215"/>
      <c r="I624" s="27"/>
      <c r="J624" s="27"/>
      <c r="K624" s="27"/>
      <c r="L624" s="27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2:47" ht="15.75" customHeight="1" x14ac:dyDescent="0.2">
      <c r="B625" s="2"/>
      <c r="C625" s="2"/>
      <c r="D625" s="27"/>
      <c r="E625" s="27"/>
      <c r="F625" s="27"/>
      <c r="G625" s="215"/>
      <c r="H625" s="215"/>
      <c r="I625" s="27"/>
      <c r="J625" s="27"/>
      <c r="K625" s="27"/>
      <c r="L625" s="27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2:47" ht="15.75" customHeight="1" x14ac:dyDescent="0.2">
      <c r="B626" s="2"/>
      <c r="C626" s="2"/>
      <c r="D626" s="27"/>
      <c r="E626" s="27"/>
      <c r="F626" s="27"/>
      <c r="G626" s="215"/>
      <c r="H626" s="215"/>
      <c r="I626" s="27"/>
      <c r="J626" s="27"/>
      <c r="K626" s="27"/>
      <c r="L626" s="27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2:47" ht="15.75" customHeight="1" x14ac:dyDescent="0.2">
      <c r="B627" s="2"/>
      <c r="C627" s="2"/>
      <c r="D627" s="27"/>
      <c r="E627" s="27"/>
      <c r="F627" s="27"/>
      <c r="G627" s="215"/>
      <c r="H627" s="215"/>
      <c r="I627" s="27"/>
      <c r="J627" s="27"/>
      <c r="K627" s="27"/>
      <c r="L627" s="27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2:47" ht="15.75" customHeight="1" x14ac:dyDescent="0.2">
      <c r="B628" s="2"/>
      <c r="C628" s="2"/>
      <c r="D628" s="27"/>
      <c r="E628" s="27"/>
      <c r="F628" s="27"/>
      <c r="G628" s="215"/>
      <c r="H628" s="215"/>
      <c r="I628" s="27"/>
      <c r="J628" s="27"/>
      <c r="K628" s="27"/>
      <c r="L628" s="27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2:47" ht="15.75" customHeight="1" x14ac:dyDescent="0.2">
      <c r="B629" s="2"/>
      <c r="C629" s="2"/>
      <c r="D629" s="27"/>
      <c r="E629" s="27"/>
      <c r="F629" s="27"/>
      <c r="G629" s="215"/>
      <c r="H629" s="215"/>
      <c r="I629" s="27"/>
      <c r="J629" s="27"/>
      <c r="K629" s="27"/>
      <c r="L629" s="27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2:47" ht="15.75" customHeight="1" x14ac:dyDescent="0.2">
      <c r="B630" s="2"/>
      <c r="C630" s="2"/>
      <c r="D630" s="27"/>
      <c r="E630" s="27"/>
      <c r="F630" s="27"/>
      <c r="G630" s="215"/>
      <c r="H630" s="215"/>
      <c r="I630" s="27"/>
      <c r="J630" s="27"/>
      <c r="K630" s="27"/>
      <c r="L630" s="27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2:47" ht="15.75" customHeight="1" x14ac:dyDescent="0.2">
      <c r="B631" s="2"/>
      <c r="C631" s="2"/>
      <c r="D631" s="27"/>
      <c r="E631" s="27"/>
      <c r="F631" s="27"/>
      <c r="G631" s="215"/>
      <c r="H631" s="215"/>
      <c r="I631" s="27"/>
      <c r="J631" s="27"/>
      <c r="K631" s="27"/>
      <c r="L631" s="27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2:47" ht="15.75" customHeight="1" x14ac:dyDescent="0.2">
      <c r="B632" s="2"/>
      <c r="C632" s="2"/>
      <c r="D632" s="27"/>
      <c r="E632" s="27"/>
      <c r="F632" s="27"/>
      <c r="G632" s="215"/>
      <c r="H632" s="215"/>
      <c r="I632" s="27"/>
      <c r="J632" s="27"/>
      <c r="K632" s="27"/>
      <c r="L632" s="27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2:47" ht="15.75" customHeight="1" x14ac:dyDescent="0.2">
      <c r="B633" s="2"/>
      <c r="C633" s="2"/>
      <c r="D633" s="27"/>
      <c r="E633" s="27"/>
      <c r="F633" s="27"/>
      <c r="G633" s="215"/>
      <c r="H633" s="215"/>
      <c r="I633" s="27"/>
      <c r="J633" s="27"/>
      <c r="K633" s="27"/>
      <c r="L633" s="27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2:47" ht="15.75" customHeight="1" x14ac:dyDescent="0.2">
      <c r="B634" s="2"/>
      <c r="C634" s="2"/>
      <c r="D634" s="27"/>
      <c r="E634" s="27"/>
      <c r="F634" s="27"/>
      <c r="G634" s="215"/>
      <c r="H634" s="215"/>
      <c r="I634" s="27"/>
      <c r="J634" s="27"/>
      <c r="K634" s="27"/>
      <c r="L634" s="27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2:47" ht="15.75" customHeight="1" x14ac:dyDescent="0.2">
      <c r="B635" s="2"/>
      <c r="C635" s="2"/>
      <c r="D635" s="27"/>
      <c r="E635" s="27"/>
      <c r="F635" s="27"/>
      <c r="G635" s="215"/>
      <c r="H635" s="215"/>
      <c r="I635" s="27"/>
      <c r="J635" s="27"/>
      <c r="K635" s="27"/>
      <c r="L635" s="27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2:47" ht="15.75" customHeight="1" x14ac:dyDescent="0.2">
      <c r="B636" s="2"/>
      <c r="C636" s="2"/>
      <c r="D636" s="27"/>
      <c r="E636" s="27"/>
      <c r="F636" s="27"/>
      <c r="G636" s="215"/>
      <c r="H636" s="215"/>
      <c r="I636" s="27"/>
      <c r="J636" s="27"/>
      <c r="K636" s="27"/>
      <c r="L636" s="27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2:47" ht="15.75" customHeight="1" x14ac:dyDescent="0.2">
      <c r="B637" s="2"/>
      <c r="C637" s="2"/>
      <c r="D637" s="27"/>
      <c r="E637" s="27"/>
      <c r="F637" s="27"/>
      <c r="G637" s="215"/>
      <c r="H637" s="215"/>
      <c r="I637" s="27"/>
      <c r="J637" s="27"/>
      <c r="K637" s="27"/>
      <c r="L637" s="27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2:47" ht="15.75" customHeight="1" x14ac:dyDescent="0.2">
      <c r="B638" s="2"/>
      <c r="C638" s="2"/>
      <c r="D638" s="27"/>
      <c r="E638" s="27"/>
      <c r="F638" s="27"/>
      <c r="G638" s="215"/>
      <c r="H638" s="215"/>
      <c r="I638" s="27"/>
      <c r="J638" s="27"/>
      <c r="K638" s="27"/>
      <c r="L638" s="27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2:47" ht="15.75" customHeight="1" x14ac:dyDescent="0.2">
      <c r="B639" s="2"/>
      <c r="C639" s="2"/>
      <c r="D639" s="27"/>
      <c r="E639" s="27"/>
      <c r="F639" s="27"/>
      <c r="G639" s="215"/>
      <c r="H639" s="215"/>
      <c r="I639" s="27"/>
      <c r="J639" s="27"/>
      <c r="K639" s="27"/>
      <c r="L639" s="27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2:47" ht="15.75" customHeight="1" x14ac:dyDescent="0.2">
      <c r="B640" s="2"/>
      <c r="C640" s="2"/>
      <c r="D640" s="27"/>
      <c r="E640" s="27"/>
      <c r="F640" s="27"/>
      <c r="G640" s="215"/>
      <c r="H640" s="215"/>
      <c r="I640" s="27"/>
      <c r="J640" s="27"/>
      <c r="K640" s="27"/>
      <c r="L640" s="27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2:47" ht="15.75" customHeight="1" x14ac:dyDescent="0.2">
      <c r="B641" s="2"/>
      <c r="C641" s="2"/>
      <c r="D641" s="27"/>
      <c r="E641" s="27"/>
      <c r="F641" s="27"/>
      <c r="G641" s="215"/>
      <c r="H641" s="215"/>
      <c r="I641" s="27"/>
      <c r="J641" s="27"/>
      <c r="K641" s="27"/>
      <c r="L641" s="27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2:47" ht="15.75" customHeight="1" x14ac:dyDescent="0.2">
      <c r="B642" s="2"/>
      <c r="C642" s="2"/>
      <c r="D642" s="27"/>
      <c r="E642" s="27"/>
      <c r="F642" s="27"/>
      <c r="G642" s="215"/>
      <c r="H642" s="215"/>
      <c r="I642" s="27"/>
      <c r="J642" s="27"/>
      <c r="K642" s="27"/>
      <c r="L642" s="27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2:47" ht="15.75" customHeight="1" x14ac:dyDescent="0.2">
      <c r="B643" s="2"/>
      <c r="C643" s="2"/>
      <c r="D643" s="27"/>
      <c r="E643" s="27"/>
      <c r="F643" s="27"/>
      <c r="G643" s="215"/>
      <c r="H643" s="215"/>
      <c r="I643" s="27"/>
      <c r="J643" s="27"/>
      <c r="K643" s="27"/>
      <c r="L643" s="27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2:47" ht="15.75" customHeight="1" x14ac:dyDescent="0.2">
      <c r="B644" s="2"/>
      <c r="C644" s="2"/>
      <c r="D644" s="27"/>
      <c r="E644" s="27"/>
      <c r="F644" s="27"/>
      <c r="G644" s="215"/>
      <c r="H644" s="215"/>
      <c r="I644" s="27"/>
      <c r="J644" s="27"/>
      <c r="K644" s="27"/>
      <c r="L644" s="27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2:47" ht="15.75" customHeight="1" x14ac:dyDescent="0.2">
      <c r="B645" s="2"/>
      <c r="C645" s="2"/>
      <c r="D645" s="27"/>
      <c r="E645" s="27"/>
      <c r="F645" s="27"/>
      <c r="G645" s="215"/>
      <c r="H645" s="215"/>
      <c r="I645" s="27"/>
      <c r="J645" s="27"/>
      <c r="K645" s="27"/>
      <c r="L645" s="27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2:47" ht="15.75" customHeight="1" x14ac:dyDescent="0.2">
      <c r="B646" s="2"/>
      <c r="C646" s="2"/>
      <c r="D646" s="27"/>
      <c r="E646" s="27"/>
      <c r="F646" s="27"/>
      <c r="G646" s="215"/>
      <c r="H646" s="215"/>
      <c r="I646" s="27"/>
      <c r="J646" s="27"/>
      <c r="K646" s="27"/>
      <c r="L646" s="27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2:47" ht="15.75" customHeight="1" x14ac:dyDescent="0.2">
      <c r="B647" s="2"/>
      <c r="C647" s="2"/>
      <c r="D647" s="27"/>
      <c r="E647" s="27"/>
      <c r="F647" s="27"/>
      <c r="G647" s="215"/>
      <c r="H647" s="215"/>
      <c r="I647" s="27"/>
      <c r="J647" s="27"/>
      <c r="K647" s="27"/>
      <c r="L647" s="27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2:47" ht="15.75" customHeight="1" x14ac:dyDescent="0.2">
      <c r="B648" s="2"/>
      <c r="C648" s="2"/>
      <c r="D648" s="27"/>
      <c r="E648" s="27"/>
      <c r="F648" s="27"/>
      <c r="G648" s="215"/>
      <c r="H648" s="215"/>
      <c r="I648" s="27"/>
      <c r="J648" s="27"/>
      <c r="K648" s="27"/>
      <c r="L648" s="27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2:47" ht="15.75" customHeight="1" x14ac:dyDescent="0.2"/>
    <row r="650" spans="2:47" ht="15.75" customHeight="1" x14ac:dyDescent="0.2"/>
    <row r="651" spans="2:47" ht="15.75" customHeight="1" x14ac:dyDescent="0.2"/>
    <row r="652" spans="2:47" ht="15.75" customHeight="1" x14ac:dyDescent="0.2"/>
    <row r="653" spans="2:47" ht="15.75" customHeight="1" x14ac:dyDescent="0.2"/>
    <row r="654" spans="2:47" ht="15.75" customHeight="1" x14ac:dyDescent="0.2"/>
    <row r="655" spans="2:47" ht="15.75" customHeight="1" x14ac:dyDescent="0.2"/>
    <row r="656" spans="2:47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</sheetData>
  <mergeCells count="2">
    <mergeCell ref="A5:L5"/>
    <mergeCell ref="A6:L6"/>
  </mergeCells>
  <phoneticPr fontId="15" type="noConversion"/>
  <pageMargins left="0.31496062992125984" right="0.15748031496062992" top="0.15748031496062992" bottom="0.15748031496062992" header="0.15748031496062992" footer="0.1574803149606299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6"/>
  <sheetViews>
    <sheetView zoomScaleNormal="100" workbookViewId="0">
      <selection activeCell="A7" sqref="A7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86" customWidth="1"/>
    <col min="4" max="8" width="10.140625" customWidth="1"/>
    <col min="9" max="13" width="10.28515625" customWidth="1"/>
    <col min="14" max="14" width="12.7109375" customWidth="1"/>
    <col min="15" max="15" width="6.7109375" customWidth="1"/>
  </cols>
  <sheetData>
    <row r="1" spans="1:17" x14ac:dyDescent="0.2">
      <c r="A1" s="3"/>
      <c r="B1" s="3"/>
      <c r="C1" s="3"/>
      <c r="D1" s="3"/>
      <c r="E1" s="3"/>
      <c r="F1" s="3"/>
      <c r="G1" s="3"/>
      <c r="H1" s="3"/>
      <c r="J1" s="77"/>
      <c r="K1" s="77"/>
      <c r="L1" s="77"/>
      <c r="M1" s="77"/>
      <c r="N1" s="77" t="s">
        <v>439</v>
      </c>
      <c r="O1" s="3"/>
      <c r="P1" s="3"/>
      <c r="Q1" s="3"/>
    </row>
    <row r="2" spans="1:17" x14ac:dyDescent="0.2">
      <c r="A2" s="78"/>
      <c r="B2" s="3"/>
      <c r="C2" s="79"/>
      <c r="D2" s="3"/>
      <c r="E2" s="3"/>
      <c r="F2" s="3"/>
      <c r="G2" s="3"/>
      <c r="H2" s="3"/>
      <c r="I2" s="301"/>
      <c r="J2" s="80"/>
      <c r="K2" s="80"/>
      <c r="L2" s="80"/>
      <c r="M2" s="80"/>
      <c r="N2" s="145" t="str">
        <f>'1.Bev-kiad.'!L2</f>
        <v>a 9/2026.(V.29.) önkormányzati rendelethez</v>
      </c>
      <c r="O2" s="3"/>
      <c r="P2" s="3"/>
      <c r="Q2" s="3"/>
    </row>
    <row r="3" spans="1:17" x14ac:dyDescent="0.2">
      <c r="A3" s="78"/>
      <c r="B3" s="3"/>
      <c r="C3" s="79"/>
      <c r="D3" s="3"/>
      <c r="E3" s="3"/>
      <c r="F3" s="3"/>
      <c r="G3" s="3"/>
      <c r="H3" s="3"/>
      <c r="I3" s="301"/>
      <c r="J3" s="80"/>
      <c r="K3" s="80"/>
      <c r="L3" s="80"/>
      <c r="M3" s="80"/>
      <c r="N3" s="145"/>
      <c r="O3" s="3"/>
      <c r="P3" s="3"/>
      <c r="Q3" s="3"/>
    </row>
    <row r="4" spans="1:17" ht="15" x14ac:dyDescent="0.2">
      <c r="A4" s="797" t="s">
        <v>22</v>
      </c>
      <c r="B4" s="798"/>
      <c r="C4" s="798"/>
      <c r="D4" s="798"/>
      <c r="E4" s="798"/>
      <c r="F4" s="798"/>
      <c r="G4" s="49"/>
      <c r="H4" s="49"/>
      <c r="I4" s="80"/>
      <c r="J4" s="80"/>
      <c r="K4" s="279"/>
      <c r="L4" s="82"/>
      <c r="M4" s="82"/>
      <c r="N4" s="49"/>
      <c r="O4" s="49"/>
      <c r="P4" s="49"/>
      <c r="Q4" s="49"/>
    </row>
    <row r="5" spans="1:17" ht="15" x14ac:dyDescent="0.2">
      <c r="A5" s="797" t="s">
        <v>548</v>
      </c>
      <c r="B5" s="798"/>
      <c r="C5" s="798"/>
      <c r="D5" s="798"/>
      <c r="E5" s="798"/>
      <c r="F5" s="798"/>
      <c r="G5" s="49"/>
      <c r="H5" s="49"/>
      <c r="I5" s="80"/>
      <c r="J5" s="80"/>
      <c r="K5" s="279"/>
      <c r="L5" s="82"/>
      <c r="M5" s="82"/>
      <c r="N5" s="49"/>
      <c r="O5" s="49"/>
      <c r="P5" s="49"/>
    </row>
    <row r="6" spans="1:17" x14ac:dyDescent="0.2">
      <c r="A6" s="3"/>
      <c r="B6" s="3"/>
      <c r="C6" s="79"/>
      <c r="D6" s="49"/>
      <c r="E6" s="49"/>
      <c r="F6" s="77" t="s">
        <v>23</v>
      </c>
      <c r="G6" s="49"/>
      <c r="H6" s="49"/>
      <c r="J6" s="77"/>
      <c r="L6" s="83"/>
      <c r="M6" s="83"/>
      <c r="N6" s="49"/>
      <c r="O6" s="49"/>
      <c r="P6" s="49"/>
    </row>
    <row r="7" spans="1:17" ht="42.75" x14ac:dyDescent="0.2">
      <c r="A7" s="286" t="s">
        <v>292</v>
      </c>
      <c r="B7" s="285" t="s">
        <v>748</v>
      </c>
      <c r="C7" s="290">
        <v>2025</v>
      </c>
      <c r="D7" s="290">
        <v>2026</v>
      </c>
      <c r="E7" s="290">
        <v>2027</v>
      </c>
      <c r="F7" s="290">
        <v>2028</v>
      </c>
      <c r="G7" s="49"/>
      <c r="H7" s="241"/>
      <c r="I7" s="241"/>
      <c r="J7" s="80"/>
      <c r="K7" s="279"/>
      <c r="L7" s="241"/>
      <c r="M7" s="241"/>
      <c r="N7" s="241"/>
    </row>
    <row r="8" spans="1:17" ht="15" customHeight="1" x14ac:dyDescent="0.2">
      <c r="A8" s="320" t="s">
        <v>57</v>
      </c>
      <c r="B8" s="291">
        <f>B9</f>
        <v>115607</v>
      </c>
      <c r="C8" s="291">
        <f>C9</f>
        <v>67354</v>
      </c>
      <c r="D8" s="291">
        <f t="shared" ref="D8" si="0">D9</f>
        <v>748528</v>
      </c>
      <c r="E8" s="292" t="s">
        <v>59</v>
      </c>
      <c r="F8" s="36" t="s">
        <v>59</v>
      </c>
      <c r="G8" s="49"/>
      <c r="H8" s="241"/>
      <c r="I8" s="287"/>
      <c r="J8" s="77"/>
      <c r="L8" s="241"/>
      <c r="M8" s="241"/>
      <c r="N8" s="241"/>
    </row>
    <row r="9" spans="1:17" x14ac:dyDescent="0.2">
      <c r="A9" s="321" t="s">
        <v>607</v>
      </c>
      <c r="B9" s="113">
        <v>115607</v>
      </c>
      <c r="C9" s="113">
        <v>67354</v>
      </c>
      <c r="D9" s="113">
        <v>748528</v>
      </c>
      <c r="E9" s="292" t="s">
        <v>59</v>
      </c>
      <c r="F9" s="36" t="s">
        <v>59</v>
      </c>
      <c r="G9" s="49"/>
      <c r="H9" s="241"/>
      <c r="I9" s="287"/>
      <c r="J9" s="80"/>
      <c r="K9" s="279"/>
      <c r="L9" s="241"/>
      <c r="M9" s="241"/>
      <c r="N9" s="158"/>
    </row>
    <row r="10" spans="1:17" ht="17.25" customHeight="1" x14ac:dyDescent="0.2">
      <c r="A10" s="315" t="s">
        <v>58</v>
      </c>
      <c r="B10" s="147">
        <f>SUM(B11)+B12</f>
        <v>667</v>
      </c>
      <c r="C10" s="147">
        <f>SUM(C11)+C12</f>
        <v>141894</v>
      </c>
      <c r="D10" s="147">
        <f>SUM(D11)+D12</f>
        <v>93913</v>
      </c>
      <c r="E10" s="293" t="s">
        <v>59</v>
      </c>
      <c r="F10" s="280" t="s">
        <v>59</v>
      </c>
      <c r="G10" s="49"/>
      <c r="H10" s="241"/>
      <c r="I10" s="287"/>
      <c r="J10" s="77"/>
      <c r="L10" s="241"/>
      <c r="M10" s="241"/>
      <c r="N10" s="287"/>
    </row>
    <row r="11" spans="1:17" ht="26.25" hidden="1" customHeight="1" x14ac:dyDescent="0.2">
      <c r="A11" s="321" t="s">
        <v>615</v>
      </c>
      <c r="B11" s="263">
        <v>0</v>
      </c>
      <c r="C11" s="113">
        <v>0</v>
      </c>
      <c r="D11" s="292" t="s">
        <v>59</v>
      </c>
      <c r="E11" s="292" t="s">
        <v>59</v>
      </c>
      <c r="F11" s="36" t="s">
        <v>59</v>
      </c>
      <c r="G11" s="49"/>
      <c r="I11" s="287"/>
      <c r="J11" s="80"/>
      <c r="K11" s="279"/>
      <c r="L11" s="241"/>
      <c r="M11" s="241"/>
      <c r="N11" s="288"/>
    </row>
    <row r="12" spans="1:17" ht="27.75" customHeight="1" x14ac:dyDescent="0.2">
      <c r="A12" s="321" t="s">
        <v>550</v>
      </c>
      <c r="B12" s="263">
        <v>667</v>
      </c>
      <c r="C12" s="113">
        <v>141894</v>
      </c>
      <c r="D12" s="113">
        <v>93913</v>
      </c>
      <c r="E12" s="36" t="s">
        <v>59</v>
      </c>
      <c r="F12" s="36" t="s">
        <v>59</v>
      </c>
      <c r="G12" s="49"/>
      <c r="H12" s="241"/>
      <c r="I12" s="288"/>
      <c r="J12" s="77"/>
      <c r="L12" s="288"/>
      <c r="M12" s="288"/>
      <c r="N12" s="288"/>
    </row>
    <row r="13" spans="1:17" ht="15.75" customHeight="1" x14ac:dyDescent="0.2">
      <c r="A13" s="315" t="s">
        <v>60</v>
      </c>
      <c r="B13" s="343">
        <v>0</v>
      </c>
      <c r="C13" s="343">
        <v>0</v>
      </c>
      <c r="D13" s="293" t="s">
        <v>59</v>
      </c>
      <c r="E13" s="293" t="s">
        <v>59</v>
      </c>
      <c r="F13" s="280" t="s">
        <v>59</v>
      </c>
      <c r="G13" s="49"/>
      <c r="H13" s="287"/>
      <c r="I13" s="287"/>
      <c r="J13" s="80"/>
      <c r="K13" s="279"/>
      <c r="L13" s="287"/>
      <c r="M13" s="287"/>
      <c r="N13" s="287"/>
    </row>
    <row r="14" spans="1:17" x14ac:dyDescent="0.2">
      <c r="A14" s="316" t="s">
        <v>59</v>
      </c>
      <c r="B14" s="113">
        <v>0</v>
      </c>
      <c r="C14" s="113">
        <v>0</v>
      </c>
      <c r="D14" s="292" t="s">
        <v>59</v>
      </c>
      <c r="E14" s="292" t="s">
        <v>59</v>
      </c>
      <c r="F14" s="36" t="s">
        <v>59</v>
      </c>
      <c r="G14" s="49"/>
      <c r="H14" s="288"/>
      <c r="I14" s="288"/>
      <c r="J14" s="77"/>
      <c r="L14" s="288"/>
      <c r="M14" s="288"/>
      <c r="N14" s="288"/>
    </row>
    <row r="15" spans="1:17" x14ac:dyDescent="0.2">
      <c r="A15" s="315" t="s">
        <v>41</v>
      </c>
      <c r="B15" s="87">
        <f>SUM(B8+B10)</f>
        <v>116274</v>
      </c>
      <c r="C15" s="87">
        <f>SUM(C8+C10)</f>
        <v>209248</v>
      </c>
      <c r="D15" s="87">
        <f>SUM(D8+D10)</f>
        <v>842441</v>
      </c>
      <c r="E15" s="292" t="s">
        <v>59</v>
      </c>
      <c r="F15" s="36" t="s">
        <v>59</v>
      </c>
      <c r="G15" s="49"/>
      <c r="H15" s="289"/>
      <c r="I15" s="289"/>
      <c r="J15" s="80"/>
      <c r="K15" s="279"/>
      <c r="L15" s="289"/>
      <c r="M15" s="289"/>
      <c r="N15" s="289"/>
    </row>
    <row r="16" spans="1:17" x14ac:dyDescent="0.2">
      <c r="A16" s="3"/>
      <c r="B16" s="3"/>
      <c r="C16" s="3"/>
      <c r="D16" s="148"/>
      <c r="E16" s="148"/>
      <c r="F16" s="49"/>
      <c r="G16" s="49"/>
      <c r="H16" s="49"/>
      <c r="I16" s="49"/>
      <c r="J16" s="77"/>
      <c r="L16" s="49"/>
      <c r="M16" s="49"/>
      <c r="N16" s="49"/>
      <c r="O16" s="49"/>
    </row>
    <row r="17" spans="1:15" ht="12.95" customHeight="1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5" ht="16.5" customHeight="1" x14ac:dyDescent="0.2">
      <c r="A18" s="799" t="s">
        <v>440</v>
      </c>
      <c r="B18" s="799"/>
      <c r="C18" s="799"/>
      <c r="D18" s="799"/>
      <c r="E18" s="799"/>
      <c r="F18" s="799"/>
      <c r="G18" s="799"/>
      <c r="H18" s="799"/>
      <c r="I18" s="799"/>
      <c r="J18" s="799"/>
      <c r="K18" s="799"/>
      <c r="L18" s="799"/>
      <c r="M18" s="799"/>
      <c r="N18" s="799"/>
    </row>
    <row r="19" spans="1:15" ht="12.95" customHeight="1" x14ac:dyDescent="0.2">
      <c r="A19" s="797" t="s">
        <v>726</v>
      </c>
      <c r="B19" s="798"/>
      <c r="C19" s="798"/>
      <c r="D19" s="798"/>
      <c r="E19" s="798"/>
      <c r="F19" s="798"/>
      <c r="G19" s="798"/>
      <c r="H19" s="798"/>
      <c r="I19" s="798"/>
      <c r="J19" s="798"/>
      <c r="K19" s="798"/>
      <c r="L19" s="798"/>
      <c r="M19" s="798"/>
      <c r="N19" s="798"/>
    </row>
    <row r="20" spans="1:15" ht="12.95" customHeight="1" x14ac:dyDescent="0.2">
      <c r="A20" s="3"/>
      <c r="B20" s="3"/>
      <c r="C20" s="7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77" t="s">
        <v>0</v>
      </c>
    </row>
    <row r="21" spans="1:15" ht="17.25" customHeight="1" x14ac:dyDescent="0.2">
      <c r="A21" s="800" t="s">
        <v>427</v>
      </c>
      <c r="B21" s="800" t="s">
        <v>61</v>
      </c>
      <c r="C21" s="800" t="s">
        <v>62</v>
      </c>
      <c r="D21" s="786" t="s">
        <v>415</v>
      </c>
      <c r="E21" s="786"/>
      <c r="F21" s="786"/>
      <c r="G21" s="786"/>
      <c r="H21" s="786"/>
      <c r="I21" s="786"/>
      <c r="J21" s="786"/>
      <c r="K21" s="786"/>
      <c r="L21" s="261"/>
      <c r="M21" s="261"/>
      <c r="N21" s="787" t="s">
        <v>41</v>
      </c>
    </row>
    <row r="22" spans="1:15" ht="33.75" customHeight="1" x14ac:dyDescent="0.2">
      <c r="A22" s="800"/>
      <c r="B22" s="800"/>
      <c r="C22" s="800"/>
      <c r="D22" s="802">
        <v>2025</v>
      </c>
      <c r="E22" s="803"/>
      <c r="F22" s="802">
        <v>2026</v>
      </c>
      <c r="G22" s="803"/>
      <c r="H22" s="802">
        <v>2027</v>
      </c>
      <c r="I22" s="803"/>
      <c r="J22" s="802">
        <v>2028</v>
      </c>
      <c r="K22" s="803"/>
      <c r="L22" s="786" t="s">
        <v>678</v>
      </c>
      <c r="M22" s="804"/>
      <c r="N22" s="787"/>
    </row>
    <row r="23" spans="1:15" ht="15.75" customHeight="1" x14ac:dyDescent="0.2">
      <c r="A23" s="801"/>
      <c r="B23" s="801"/>
      <c r="C23" s="801"/>
      <c r="D23" s="96" t="s">
        <v>428</v>
      </c>
      <c r="E23" s="96" t="s">
        <v>429</v>
      </c>
      <c r="F23" s="96" t="s">
        <v>428</v>
      </c>
      <c r="G23" s="96" t="s">
        <v>429</v>
      </c>
      <c r="H23" s="96" t="s">
        <v>428</v>
      </c>
      <c r="I23" s="96" t="s">
        <v>429</v>
      </c>
      <c r="J23" s="96" t="s">
        <v>428</v>
      </c>
      <c r="K23" s="96" t="s">
        <v>429</v>
      </c>
      <c r="L23" s="96" t="s">
        <v>428</v>
      </c>
      <c r="M23" s="96" t="s">
        <v>429</v>
      </c>
      <c r="N23" s="788"/>
    </row>
    <row r="24" spans="1:15" ht="24.75" customHeight="1" x14ac:dyDescent="0.2">
      <c r="A24" s="262" t="s">
        <v>430</v>
      </c>
      <c r="B24" s="25">
        <v>2019</v>
      </c>
      <c r="C24" s="263">
        <v>100000</v>
      </c>
      <c r="D24" s="97">
        <f>2600*4</f>
        <v>10400</v>
      </c>
      <c r="E24" s="97">
        <v>2647</v>
      </c>
      <c r="F24" s="113">
        <v>10400</v>
      </c>
      <c r="G24" s="113">
        <v>2065</v>
      </c>
      <c r="H24" s="113">
        <v>10400</v>
      </c>
      <c r="I24" s="113">
        <v>1142</v>
      </c>
      <c r="J24" s="113">
        <v>6400</v>
      </c>
      <c r="K24" s="113">
        <v>252</v>
      </c>
      <c r="L24" s="113">
        <v>0</v>
      </c>
      <c r="M24" s="113">
        <v>0</v>
      </c>
      <c r="N24" s="36">
        <f>SUM(D24:M24)</f>
        <v>43706</v>
      </c>
      <c r="O24" s="776"/>
    </row>
    <row r="25" spans="1:15" x14ac:dyDescent="0.2">
      <c r="A25" s="54" t="s">
        <v>431</v>
      </c>
      <c r="B25" s="56">
        <v>2019</v>
      </c>
      <c r="C25" s="263">
        <v>100000</v>
      </c>
      <c r="D25" s="97">
        <v>8968</v>
      </c>
      <c r="E25" s="97">
        <v>3082</v>
      </c>
      <c r="F25" s="113">
        <v>8968</v>
      </c>
      <c r="G25" s="54">
        <v>2683</v>
      </c>
      <c r="H25" s="113">
        <v>8968</v>
      </c>
      <c r="I25" s="54">
        <v>1887</v>
      </c>
      <c r="J25" s="113">
        <v>8968</v>
      </c>
      <c r="K25" s="54">
        <v>1096</v>
      </c>
      <c r="L25" s="54">
        <v>6723</v>
      </c>
      <c r="M25" s="54">
        <v>296</v>
      </c>
      <c r="N25" s="36">
        <f t="shared" ref="N25:N28" si="1">SUM(D25:M25)</f>
        <v>51639</v>
      </c>
      <c r="O25" s="776"/>
    </row>
    <row r="26" spans="1:15" ht="12.95" customHeight="1" x14ac:dyDescent="0.2">
      <c r="A26" s="54" t="s">
        <v>497</v>
      </c>
      <c r="B26" s="56">
        <v>2022</v>
      </c>
      <c r="C26" s="263">
        <v>342000</v>
      </c>
      <c r="D26" s="97">
        <f>9500*4</f>
        <v>38000</v>
      </c>
      <c r="E26" s="97">
        <v>9207</v>
      </c>
      <c r="F26" s="113">
        <v>38000</v>
      </c>
      <c r="G26" s="54">
        <v>7569</v>
      </c>
      <c r="H26" s="113">
        <v>38000</v>
      </c>
      <c r="I26" s="54">
        <v>5932</v>
      </c>
      <c r="J26" s="113">
        <v>38000</v>
      </c>
      <c r="K26" s="54">
        <v>4308</v>
      </c>
      <c r="L26" s="54">
        <v>76000</v>
      </c>
      <c r="M26" s="54">
        <v>3676</v>
      </c>
      <c r="N26" s="36">
        <f t="shared" si="1"/>
        <v>258692</v>
      </c>
    </row>
    <row r="27" spans="1:15" ht="12.95" customHeight="1" x14ac:dyDescent="0.2">
      <c r="A27" s="54" t="s">
        <v>614</v>
      </c>
      <c r="B27" s="56">
        <v>2024</v>
      </c>
      <c r="C27" s="263">
        <v>299586</v>
      </c>
      <c r="D27" s="97">
        <v>36842</v>
      </c>
      <c r="E27" s="97">
        <v>20281</v>
      </c>
      <c r="F27" s="113">
        <v>36842</v>
      </c>
      <c r="G27" s="54">
        <v>19625</v>
      </c>
      <c r="H27" s="113">
        <v>36842</v>
      </c>
      <c r="I27" s="54">
        <v>16356</v>
      </c>
      <c r="J27" s="113">
        <v>36842</v>
      </c>
      <c r="K27" s="54">
        <v>13094</v>
      </c>
      <c r="L27" s="54">
        <v>124586</v>
      </c>
      <c r="M27" s="54">
        <v>19765</v>
      </c>
      <c r="N27" s="36">
        <f t="shared" si="1"/>
        <v>361075</v>
      </c>
    </row>
    <row r="28" spans="1:15" ht="12.95" customHeight="1" x14ac:dyDescent="0.2">
      <c r="A28" s="84" t="s">
        <v>41</v>
      </c>
      <c r="B28" s="57"/>
      <c r="C28" s="147">
        <f>SUM(C24:C27)</f>
        <v>841586</v>
      </c>
      <c r="D28" s="379">
        <f>SUM(D24:D27)</f>
        <v>94210</v>
      </c>
      <c r="E28" s="379">
        <f>SUM(E24:E27)</f>
        <v>35217</v>
      </c>
      <c r="F28" s="343">
        <f t="shared" ref="F28:K28" si="2">SUM(F24:F27)</f>
        <v>94210</v>
      </c>
      <c r="G28" s="343">
        <f t="shared" si="2"/>
        <v>31942</v>
      </c>
      <c r="H28" s="343">
        <f t="shared" si="2"/>
        <v>94210</v>
      </c>
      <c r="I28" s="380">
        <f t="shared" si="2"/>
        <v>25317</v>
      </c>
      <c r="J28" s="343">
        <f t="shared" si="2"/>
        <v>90210</v>
      </c>
      <c r="K28" s="343">
        <f t="shared" si="2"/>
        <v>18750</v>
      </c>
      <c r="L28" s="343">
        <f>SUM(L24:L27)</f>
        <v>207309</v>
      </c>
      <c r="M28" s="343">
        <f>SUM(M24:M27)</f>
        <v>23737</v>
      </c>
      <c r="N28" s="280">
        <f t="shared" si="1"/>
        <v>715112</v>
      </c>
      <c r="O28" s="176"/>
    </row>
    <row r="29" spans="1:15" ht="22.5" customHeight="1" x14ac:dyDescent="0.2">
      <c r="A29" s="777" t="s">
        <v>286</v>
      </c>
      <c r="B29" s="778"/>
      <c r="C29" s="779"/>
      <c r="D29" s="786" t="s">
        <v>291</v>
      </c>
      <c r="E29" s="786"/>
      <c r="F29" s="786"/>
      <c r="G29" s="786"/>
      <c r="H29" s="786"/>
      <c r="I29" s="786"/>
      <c r="J29" s="786"/>
      <c r="K29" s="786"/>
      <c r="L29" s="261"/>
      <c r="M29" s="261"/>
      <c r="N29" s="787" t="s">
        <v>41</v>
      </c>
    </row>
    <row r="30" spans="1:15" ht="21.75" customHeight="1" x14ac:dyDescent="0.2">
      <c r="A30" s="780"/>
      <c r="B30" s="781"/>
      <c r="C30" s="782"/>
      <c r="D30" s="789">
        <f>D22</f>
        <v>2025</v>
      </c>
      <c r="E30" s="790"/>
      <c r="F30" s="791">
        <f>F22</f>
        <v>2026</v>
      </c>
      <c r="G30" s="792"/>
      <c r="H30" s="791">
        <f t="shared" ref="H30" si="3">H22</f>
        <v>2027</v>
      </c>
      <c r="I30" s="792"/>
      <c r="J30" s="791">
        <f t="shared" ref="J30" si="4">J22</f>
        <v>2028</v>
      </c>
      <c r="K30" s="792"/>
      <c r="L30" s="791" t="str">
        <f t="shared" ref="L30" si="5">L22</f>
        <v>2029 és további évek</v>
      </c>
      <c r="M30" s="792"/>
      <c r="N30" s="788"/>
    </row>
    <row r="31" spans="1:15" ht="12.95" customHeight="1" x14ac:dyDescent="0.2">
      <c r="A31" s="783"/>
      <c r="B31" s="784"/>
      <c r="C31" s="785"/>
      <c r="D31" s="793">
        <f>('2.működés'!L79+'2.működés'!L80+'2.működés'!L81+'2.működés'!L83+'2.működés'!L85+'2.működés'!L86+'2.működés'!L91+'3.felh'!L28)/2</f>
        <v>373387</v>
      </c>
      <c r="E31" s="794"/>
      <c r="F31" s="795">
        <v>458836</v>
      </c>
      <c r="G31" s="796"/>
      <c r="H31" s="795">
        <v>444000</v>
      </c>
      <c r="I31" s="796"/>
      <c r="J31" s="795">
        <v>444000</v>
      </c>
      <c r="K31" s="796"/>
      <c r="L31" s="795">
        <f>(444000*6)</f>
        <v>2664000</v>
      </c>
      <c r="M31" s="796"/>
      <c r="N31" s="36">
        <f>SUM(D31:M31)</f>
        <v>4384223</v>
      </c>
    </row>
    <row r="32" spans="1:15" ht="12.95" customHeight="1" x14ac:dyDescent="0.2">
      <c r="B32" s="70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</row>
    <row r="33" spans="2:6" ht="12.95" customHeight="1" x14ac:dyDescent="0.2">
      <c r="B33" s="70"/>
      <c r="C33" s="85"/>
      <c r="D33" s="85"/>
      <c r="E33" s="85"/>
    </row>
    <row r="34" spans="2:6" ht="12.95" customHeight="1" x14ac:dyDescent="0.2">
      <c r="B34" s="70"/>
      <c r="C34" s="85"/>
      <c r="D34" s="85"/>
      <c r="E34" s="85"/>
      <c r="F34" s="85"/>
    </row>
    <row r="35" spans="2:6" ht="12.95" customHeight="1" x14ac:dyDescent="0.2">
      <c r="B35" s="70"/>
      <c r="C35" s="85"/>
      <c r="F35" s="70"/>
    </row>
    <row r="36" spans="2:6" ht="12.95" customHeight="1" x14ac:dyDescent="0.2">
      <c r="B36" s="70"/>
      <c r="C36" s="85"/>
      <c r="F36" s="70"/>
    </row>
    <row r="37" spans="2:6" ht="12.95" customHeight="1" x14ac:dyDescent="0.2">
      <c r="B37" s="70"/>
      <c r="C37" s="85"/>
      <c r="F37" s="70"/>
    </row>
    <row r="38" spans="2:6" ht="12.95" customHeight="1" x14ac:dyDescent="0.2">
      <c r="B38" s="70"/>
      <c r="C38" s="85"/>
      <c r="F38" s="70"/>
    </row>
    <row r="39" spans="2:6" ht="12.95" customHeight="1" x14ac:dyDescent="0.2">
      <c r="B39" s="70"/>
      <c r="C39" s="85"/>
      <c r="F39" s="70"/>
    </row>
    <row r="40" spans="2:6" ht="12.95" customHeight="1" x14ac:dyDescent="0.2">
      <c r="B40" s="70"/>
      <c r="C40" s="85"/>
      <c r="F40" s="70"/>
    </row>
    <row r="41" spans="2:6" ht="12.95" customHeight="1" x14ac:dyDescent="0.2">
      <c r="B41" s="70"/>
      <c r="C41" s="85"/>
      <c r="F41" s="70"/>
    </row>
    <row r="42" spans="2:6" ht="12.95" customHeight="1" x14ac:dyDescent="0.2">
      <c r="B42" s="70"/>
      <c r="C42" s="85"/>
      <c r="F42" s="70"/>
    </row>
    <row r="43" spans="2:6" ht="12.95" customHeight="1" x14ac:dyDescent="0.2">
      <c r="B43" s="70"/>
      <c r="C43" s="85"/>
      <c r="F43" s="70"/>
    </row>
    <row r="44" spans="2:6" ht="12.95" customHeight="1" x14ac:dyDescent="0.2">
      <c r="B44" s="70"/>
      <c r="C44" s="85"/>
      <c r="F44" s="70"/>
    </row>
    <row r="45" spans="2:6" ht="12.95" customHeight="1" x14ac:dyDescent="0.2">
      <c r="B45" s="70"/>
      <c r="C45" s="85"/>
      <c r="F45" s="70"/>
    </row>
    <row r="46" spans="2:6" ht="12.95" customHeight="1" x14ac:dyDescent="0.2">
      <c r="B46" s="70"/>
      <c r="C46" s="85"/>
      <c r="F46" s="70"/>
    </row>
    <row r="47" spans="2:6" ht="12.95" customHeight="1" x14ac:dyDescent="0.2">
      <c r="B47" s="70"/>
      <c r="C47" s="85"/>
      <c r="F47" s="70"/>
    </row>
    <row r="48" spans="2:6" ht="12.95" customHeight="1" x14ac:dyDescent="0.2">
      <c r="B48" s="70"/>
      <c r="C48" s="85"/>
      <c r="F48" s="70"/>
    </row>
    <row r="49" spans="2:6" ht="12.95" customHeight="1" x14ac:dyDescent="0.2">
      <c r="B49" s="70"/>
      <c r="C49" s="85"/>
      <c r="F49" s="70"/>
    </row>
    <row r="50" spans="2:6" ht="12.95" customHeight="1" x14ac:dyDescent="0.2">
      <c r="B50" s="70"/>
      <c r="C50" s="85"/>
      <c r="F50" s="70"/>
    </row>
    <row r="51" spans="2:6" ht="12.95" customHeight="1" x14ac:dyDescent="0.2">
      <c r="B51" s="70"/>
      <c r="C51" s="85"/>
      <c r="F51" s="70"/>
    </row>
    <row r="52" spans="2:6" ht="12.95" customHeight="1" x14ac:dyDescent="0.2">
      <c r="B52" s="70"/>
      <c r="C52" s="85"/>
      <c r="F52" s="70"/>
    </row>
    <row r="53" spans="2:6" ht="12.95" customHeight="1" x14ac:dyDescent="0.2">
      <c r="B53" s="70"/>
      <c r="C53" s="85"/>
      <c r="F53" s="70"/>
    </row>
    <row r="54" spans="2:6" ht="12.95" customHeight="1" x14ac:dyDescent="0.2">
      <c r="B54" s="70"/>
      <c r="C54" s="85"/>
      <c r="F54" s="70"/>
    </row>
    <row r="55" spans="2:6" ht="12.95" customHeight="1" x14ac:dyDescent="0.2">
      <c r="B55" s="70"/>
      <c r="C55" s="85"/>
      <c r="F55" s="70"/>
    </row>
    <row r="56" spans="2:6" ht="12.95" customHeight="1" x14ac:dyDescent="0.2">
      <c r="B56" s="70"/>
      <c r="C56" s="85"/>
      <c r="F56" s="70"/>
    </row>
    <row r="57" spans="2:6" ht="12.95" customHeight="1" x14ac:dyDescent="0.2">
      <c r="B57" s="70"/>
      <c r="C57" s="85"/>
      <c r="F57" s="70"/>
    </row>
    <row r="58" spans="2:6" ht="12.95" customHeight="1" x14ac:dyDescent="0.2">
      <c r="B58" s="70"/>
      <c r="C58" s="85"/>
      <c r="F58" s="70"/>
    </row>
    <row r="59" spans="2:6" ht="12.95" customHeight="1" x14ac:dyDescent="0.2">
      <c r="B59" s="70"/>
      <c r="C59" s="85"/>
      <c r="F59" s="70"/>
    </row>
    <row r="60" spans="2:6" ht="12.95" customHeight="1" x14ac:dyDescent="0.2">
      <c r="B60" s="70"/>
      <c r="C60" s="85"/>
      <c r="F60" s="70"/>
    </row>
    <row r="61" spans="2:6" ht="12.95" customHeight="1" x14ac:dyDescent="0.2">
      <c r="B61" s="70"/>
      <c r="C61" s="85"/>
      <c r="F61" s="70"/>
    </row>
    <row r="62" spans="2:6" ht="12.95" customHeight="1" x14ac:dyDescent="0.2">
      <c r="B62" s="70"/>
      <c r="C62" s="85"/>
      <c r="F62" s="70"/>
    </row>
    <row r="63" spans="2:6" ht="12.95" customHeight="1" x14ac:dyDescent="0.2">
      <c r="B63" s="70"/>
      <c r="C63" s="85"/>
      <c r="F63" s="70"/>
    </row>
    <row r="64" spans="2:6" ht="12.95" customHeight="1" x14ac:dyDescent="0.2">
      <c r="B64" s="70"/>
      <c r="C64" s="85"/>
      <c r="F64" s="70"/>
    </row>
    <row r="65" spans="2:6" ht="12.95" customHeight="1" x14ac:dyDescent="0.2">
      <c r="B65" s="70"/>
      <c r="C65" s="85"/>
      <c r="F65" s="70"/>
    </row>
    <row r="66" spans="2:6" ht="12.95" customHeight="1" x14ac:dyDescent="0.2">
      <c r="B66" s="70"/>
      <c r="C66" s="85"/>
      <c r="F66" s="70"/>
    </row>
    <row r="67" spans="2:6" ht="12.95" customHeight="1" x14ac:dyDescent="0.2">
      <c r="B67" s="70"/>
      <c r="C67" s="85"/>
      <c r="F67" s="70"/>
    </row>
    <row r="68" spans="2:6" ht="12.95" customHeight="1" x14ac:dyDescent="0.2">
      <c r="B68" s="70"/>
      <c r="C68" s="85"/>
      <c r="F68" s="70"/>
    </row>
    <row r="69" spans="2:6" x14ac:dyDescent="0.2">
      <c r="B69" s="70"/>
      <c r="C69" s="85"/>
      <c r="F69" s="70"/>
    </row>
    <row r="70" spans="2:6" x14ac:dyDescent="0.2">
      <c r="B70" s="70"/>
      <c r="C70" s="85"/>
      <c r="F70" s="70"/>
    </row>
    <row r="71" spans="2:6" x14ac:dyDescent="0.2">
      <c r="B71" s="70"/>
      <c r="C71" s="85"/>
      <c r="F71" s="70"/>
    </row>
    <row r="72" spans="2:6" x14ac:dyDescent="0.2">
      <c r="B72" s="70"/>
      <c r="C72" s="85"/>
      <c r="F72" s="70"/>
    </row>
    <row r="73" spans="2:6" x14ac:dyDescent="0.2">
      <c r="B73" s="70"/>
      <c r="C73" s="85"/>
    </row>
    <row r="74" spans="2:6" x14ac:dyDescent="0.2">
      <c r="B74" s="70"/>
      <c r="C74" s="85"/>
    </row>
    <row r="75" spans="2:6" x14ac:dyDescent="0.2">
      <c r="B75" s="70"/>
      <c r="C75" s="85"/>
    </row>
    <row r="76" spans="2:6" x14ac:dyDescent="0.2">
      <c r="B76" s="70"/>
      <c r="C76" s="85"/>
    </row>
    <row r="77" spans="2:6" x14ac:dyDescent="0.2">
      <c r="B77" s="70"/>
      <c r="C77" s="85"/>
    </row>
    <row r="78" spans="2:6" x14ac:dyDescent="0.2">
      <c r="B78" s="70"/>
      <c r="C78" s="85"/>
    </row>
    <row r="79" spans="2:6" x14ac:dyDescent="0.2">
      <c r="B79" s="70"/>
      <c r="C79" s="85"/>
    </row>
    <row r="80" spans="2:6" x14ac:dyDescent="0.2">
      <c r="B80" s="70"/>
      <c r="C80" s="85"/>
    </row>
    <row r="81" spans="2:3" x14ac:dyDescent="0.2">
      <c r="B81" s="70"/>
      <c r="C81" s="85"/>
    </row>
    <row r="82" spans="2:3" x14ac:dyDescent="0.2">
      <c r="B82" s="70"/>
      <c r="C82" s="85"/>
    </row>
    <row r="83" spans="2:3" x14ac:dyDescent="0.2">
      <c r="B83" s="70"/>
      <c r="C83" s="85"/>
    </row>
    <row r="84" spans="2:3" x14ac:dyDescent="0.2">
      <c r="B84" s="70"/>
      <c r="C84" s="85"/>
    </row>
    <row r="85" spans="2:3" x14ac:dyDescent="0.2">
      <c r="B85" s="70"/>
      <c r="C85" s="85"/>
    </row>
    <row r="86" spans="2:3" x14ac:dyDescent="0.2">
      <c r="B86" s="70"/>
      <c r="C86" s="85"/>
    </row>
  </sheetData>
  <mergeCells count="28">
    <mergeCell ref="A4:F4"/>
    <mergeCell ref="A5:F5"/>
    <mergeCell ref="A18:N18"/>
    <mergeCell ref="A21:A23"/>
    <mergeCell ref="B21:B23"/>
    <mergeCell ref="C21:C23"/>
    <mergeCell ref="A19:N19"/>
    <mergeCell ref="D21:K21"/>
    <mergeCell ref="N21:N23"/>
    <mergeCell ref="D22:E22"/>
    <mergeCell ref="F22:G22"/>
    <mergeCell ref="H22:I22"/>
    <mergeCell ref="J22:K22"/>
    <mergeCell ref="L22:M22"/>
    <mergeCell ref="O24:O25"/>
    <mergeCell ref="A29:C31"/>
    <mergeCell ref="D29:K29"/>
    <mergeCell ref="N29:N30"/>
    <mergeCell ref="D30:E30"/>
    <mergeCell ref="F30:G30"/>
    <mergeCell ref="H30:I30"/>
    <mergeCell ref="J30:K30"/>
    <mergeCell ref="L30:M30"/>
    <mergeCell ref="D31:E31"/>
    <mergeCell ref="F31:G31"/>
    <mergeCell ref="H31:I31"/>
    <mergeCell ref="J31:K31"/>
    <mergeCell ref="L31:M31"/>
  </mergeCells>
  <pageMargins left="0.43307086614173229" right="0.19685039370078741" top="0.31496062992125984" bottom="0.98425196850393704" header="0.19685039370078741" footer="0.51181102362204722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C2D58-ED8B-4F2C-9ECA-325168AED07F}">
  <dimension ref="A1:I20"/>
  <sheetViews>
    <sheetView workbookViewId="0">
      <selection activeCell="A7" sqref="A7"/>
    </sheetView>
  </sheetViews>
  <sheetFormatPr defaultRowHeight="12.75" x14ac:dyDescent="0.2"/>
  <cols>
    <col min="1" max="1" width="6.140625" style="530" customWidth="1"/>
    <col min="2" max="2" width="46.85546875" style="530" customWidth="1"/>
    <col min="3" max="4" width="15.7109375" style="530" customWidth="1"/>
    <col min="5" max="5" width="13.85546875" style="530" customWidth="1"/>
    <col min="6" max="6" width="9.140625" style="530"/>
    <col min="7" max="9" width="0" style="530" hidden="1" customWidth="1"/>
    <col min="10" max="256" width="9.140625" style="530"/>
    <col min="257" max="257" width="6.140625" style="530" customWidth="1"/>
    <col min="258" max="258" width="46.85546875" style="530" customWidth="1"/>
    <col min="259" max="260" width="15.7109375" style="530" customWidth="1"/>
    <col min="261" max="261" width="13.85546875" style="530" customWidth="1"/>
    <col min="262" max="263" width="9.140625" style="530"/>
    <col min="264" max="265" width="0" style="530" hidden="1" customWidth="1"/>
    <col min="266" max="512" width="9.140625" style="530"/>
    <col min="513" max="513" width="6.140625" style="530" customWidth="1"/>
    <col min="514" max="514" width="46.85546875" style="530" customWidth="1"/>
    <col min="515" max="516" width="15.7109375" style="530" customWidth="1"/>
    <col min="517" max="517" width="13.85546875" style="530" customWidth="1"/>
    <col min="518" max="519" width="9.140625" style="530"/>
    <col min="520" max="521" width="0" style="530" hidden="1" customWidth="1"/>
    <col min="522" max="768" width="9.140625" style="530"/>
    <col min="769" max="769" width="6.140625" style="530" customWidth="1"/>
    <col min="770" max="770" width="46.85546875" style="530" customWidth="1"/>
    <col min="771" max="772" width="15.7109375" style="530" customWidth="1"/>
    <col min="773" max="773" width="13.85546875" style="530" customWidth="1"/>
    <col min="774" max="775" width="9.140625" style="530"/>
    <col min="776" max="777" width="0" style="530" hidden="1" customWidth="1"/>
    <col min="778" max="1024" width="9.140625" style="530"/>
    <col min="1025" max="1025" width="6.140625" style="530" customWidth="1"/>
    <col min="1026" max="1026" width="46.85546875" style="530" customWidth="1"/>
    <col min="1027" max="1028" width="15.7109375" style="530" customWidth="1"/>
    <col min="1029" max="1029" width="13.85546875" style="530" customWidth="1"/>
    <col min="1030" max="1031" width="9.140625" style="530"/>
    <col min="1032" max="1033" width="0" style="530" hidden="1" customWidth="1"/>
    <col min="1034" max="1280" width="9.140625" style="530"/>
    <col min="1281" max="1281" width="6.140625" style="530" customWidth="1"/>
    <col min="1282" max="1282" width="46.85546875" style="530" customWidth="1"/>
    <col min="1283" max="1284" width="15.7109375" style="530" customWidth="1"/>
    <col min="1285" max="1285" width="13.85546875" style="530" customWidth="1"/>
    <col min="1286" max="1287" width="9.140625" style="530"/>
    <col min="1288" max="1289" width="0" style="530" hidden="1" customWidth="1"/>
    <col min="1290" max="1536" width="9.140625" style="530"/>
    <col min="1537" max="1537" width="6.140625" style="530" customWidth="1"/>
    <col min="1538" max="1538" width="46.85546875" style="530" customWidth="1"/>
    <col min="1539" max="1540" width="15.7109375" style="530" customWidth="1"/>
    <col min="1541" max="1541" width="13.85546875" style="530" customWidth="1"/>
    <col min="1542" max="1543" width="9.140625" style="530"/>
    <col min="1544" max="1545" width="0" style="530" hidden="1" customWidth="1"/>
    <col min="1546" max="1792" width="9.140625" style="530"/>
    <col min="1793" max="1793" width="6.140625" style="530" customWidth="1"/>
    <col min="1794" max="1794" width="46.85546875" style="530" customWidth="1"/>
    <col min="1795" max="1796" width="15.7109375" style="530" customWidth="1"/>
    <col min="1797" max="1797" width="13.85546875" style="530" customWidth="1"/>
    <col min="1798" max="1799" width="9.140625" style="530"/>
    <col min="1800" max="1801" width="0" style="530" hidden="1" customWidth="1"/>
    <col min="1802" max="2048" width="9.140625" style="530"/>
    <col min="2049" max="2049" width="6.140625" style="530" customWidth="1"/>
    <col min="2050" max="2050" width="46.85546875" style="530" customWidth="1"/>
    <col min="2051" max="2052" width="15.7109375" style="530" customWidth="1"/>
    <col min="2053" max="2053" width="13.85546875" style="530" customWidth="1"/>
    <col min="2054" max="2055" width="9.140625" style="530"/>
    <col min="2056" max="2057" width="0" style="530" hidden="1" customWidth="1"/>
    <col min="2058" max="2304" width="9.140625" style="530"/>
    <col min="2305" max="2305" width="6.140625" style="530" customWidth="1"/>
    <col min="2306" max="2306" width="46.85546875" style="530" customWidth="1"/>
    <col min="2307" max="2308" width="15.7109375" style="530" customWidth="1"/>
    <col min="2309" max="2309" width="13.85546875" style="530" customWidth="1"/>
    <col min="2310" max="2311" width="9.140625" style="530"/>
    <col min="2312" max="2313" width="0" style="530" hidden="1" customWidth="1"/>
    <col min="2314" max="2560" width="9.140625" style="530"/>
    <col min="2561" max="2561" width="6.140625" style="530" customWidth="1"/>
    <col min="2562" max="2562" width="46.85546875" style="530" customWidth="1"/>
    <col min="2563" max="2564" width="15.7109375" style="530" customWidth="1"/>
    <col min="2565" max="2565" width="13.85546875" style="530" customWidth="1"/>
    <col min="2566" max="2567" width="9.140625" style="530"/>
    <col min="2568" max="2569" width="0" style="530" hidden="1" customWidth="1"/>
    <col min="2570" max="2816" width="9.140625" style="530"/>
    <col min="2817" max="2817" width="6.140625" style="530" customWidth="1"/>
    <col min="2818" max="2818" width="46.85546875" style="530" customWidth="1"/>
    <col min="2819" max="2820" width="15.7109375" style="530" customWidth="1"/>
    <col min="2821" max="2821" width="13.85546875" style="530" customWidth="1"/>
    <col min="2822" max="2823" width="9.140625" style="530"/>
    <col min="2824" max="2825" width="0" style="530" hidden="1" customWidth="1"/>
    <col min="2826" max="3072" width="9.140625" style="530"/>
    <col min="3073" max="3073" width="6.140625" style="530" customWidth="1"/>
    <col min="3074" max="3074" width="46.85546875" style="530" customWidth="1"/>
    <col min="3075" max="3076" width="15.7109375" style="530" customWidth="1"/>
    <col min="3077" max="3077" width="13.85546875" style="530" customWidth="1"/>
    <col min="3078" max="3079" width="9.140625" style="530"/>
    <col min="3080" max="3081" width="0" style="530" hidden="1" customWidth="1"/>
    <col min="3082" max="3328" width="9.140625" style="530"/>
    <col min="3329" max="3329" width="6.140625" style="530" customWidth="1"/>
    <col min="3330" max="3330" width="46.85546875" style="530" customWidth="1"/>
    <col min="3331" max="3332" width="15.7109375" style="530" customWidth="1"/>
    <col min="3333" max="3333" width="13.85546875" style="530" customWidth="1"/>
    <col min="3334" max="3335" width="9.140625" style="530"/>
    <col min="3336" max="3337" width="0" style="530" hidden="1" customWidth="1"/>
    <col min="3338" max="3584" width="9.140625" style="530"/>
    <col min="3585" max="3585" width="6.140625" style="530" customWidth="1"/>
    <col min="3586" max="3586" width="46.85546875" style="530" customWidth="1"/>
    <col min="3587" max="3588" width="15.7109375" style="530" customWidth="1"/>
    <col min="3589" max="3589" width="13.85546875" style="530" customWidth="1"/>
    <col min="3590" max="3591" width="9.140625" style="530"/>
    <col min="3592" max="3593" width="0" style="530" hidden="1" customWidth="1"/>
    <col min="3594" max="3840" width="9.140625" style="530"/>
    <col min="3841" max="3841" width="6.140625" style="530" customWidth="1"/>
    <col min="3842" max="3842" width="46.85546875" style="530" customWidth="1"/>
    <col min="3843" max="3844" width="15.7109375" style="530" customWidth="1"/>
    <col min="3845" max="3845" width="13.85546875" style="530" customWidth="1"/>
    <col min="3846" max="3847" width="9.140625" style="530"/>
    <col min="3848" max="3849" width="0" style="530" hidden="1" customWidth="1"/>
    <col min="3850" max="4096" width="9.140625" style="530"/>
    <col min="4097" max="4097" width="6.140625" style="530" customWidth="1"/>
    <col min="4098" max="4098" width="46.85546875" style="530" customWidth="1"/>
    <col min="4099" max="4100" width="15.7109375" style="530" customWidth="1"/>
    <col min="4101" max="4101" width="13.85546875" style="530" customWidth="1"/>
    <col min="4102" max="4103" width="9.140625" style="530"/>
    <col min="4104" max="4105" width="0" style="530" hidden="1" customWidth="1"/>
    <col min="4106" max="4352" width="9.140625" style="530"/>
    <col min="4353" max="4353" width="6.140625" style="530" customWidth="1"/>
    <col min="4354" max="4354" width="46.85546875" style="530" customWidth="1"/>
    <col min="4355" max="4356" width="15.7109375" style="530" customWidth="1"/>
    <col min="4357" max="4357" width="13.85546875" style="530" customWidth="1"/>
    <col min="4358" max="4359" width="9.140625" style="530"/>
    <col min="4360" max="4361" width="0" style="530" hidden="1" customWidth="1"/>
    <col min="4362" max="4608" width="9.140625" style="530"/>
    <col min="4609" max="4609" width="6.140625" style="530" customWidth="1"/>
    <col min="4610" max="4610" width="46.85546875" style="530" customWidth="1"/>
    <col min="4611" max="4612" width="15.7109375" style="530" customWidth="1"/>
    <col min="4613" max="4613" width="13.85546875" style="530" customWidth="1"/>
    <col min="4614" max="4615" width="9.140625" style="530"/>
    <col min="4616" max="4617" width="0" style="530" hidden="1" customWidth="1"/>
    <col min="4618" max="4864" width="9.140625" style="530"/>
    <col min="4865" max="4865" width="6.140625" style="530" customWidth="1"/>
    <col min="4866" max="4866" width="46.85546875" style="530" customWidth="1"/>
    <col min="4867" max="4868" width="15.7109375" style="530" customWidth="1"/>
    <col min="4869" max="4869" width="13.85546875" style="530" customWidth="1"/>
    <col min="4870" max="4871" width="9.140625" style="530"/>
    <col min="4872" max="4873" width="0" style="530" hidden="1" customWidth="1"/>
    <col min="4874" max="5120" width="9.140625" style="530"/>
    <col min="5121" max="5121" width="6.140625" style="530" customWidth="1"/>
    <col min="5122" max="5122" width="46.85546875" style="530" customWidth="1"/>
    <col min="5123" max="5124" width="15.7109375" style="530" customWidth="1"/>
    <col min="5125" max="5125" width="13.85546875" style="530" customWidth="1"/>
    <col min="5126" max="5127" width="9.140625" style="530"/>
    <col min="5128" max="5129" width="0" style="530" hidden="1" customWidth="1"/>
    <col min="5130" max="5376" width="9.140625" style="530"/>
    <col min="5377" max="5377" width="6.140625" style="530" customWidth="1"/>
    <col min="5378" max="5378" width="46.85546875" style="530" customWidth="1"/>
    <col min="5379" max="5380" width="15.7109375" style="530" customWidth="1"/>
    <col min="5381" max="5381" width="13.85546875" style="530" customWidth="1"/>
    <col min="5382" max="5383" width="9.140625" style="530"/>
    <col min="5384" max="5385" width="0" style="530" hidden="1" customWidth="1"/>
    <col min="5386" max="5632" width="9.140625" style="530"/>
    <col min="5633" max="5633" width="6.140625" style="530" customWidth="1"/>
    <col min="5634" max="5634" width="46.85546875" style="530" customWidth="1"/>
    <col min="5635" max="5636" width="15.7109375" style="530" customWidth="1"/>
    <col min="5637" max="5637" width="13.85546875" style="530" customWidth="1"/>
    <col min="5638" max="5639" width="9.140625" style="530"/>
    <col min="5640" max="5641" width="0" style="530" hidden="1" customWidth="1"/>
    <col min="5642" max="5888" width="9.140625" style="530"/>
    <col min="5889" max="5889" width="6.140625" style="530" customWidth="1"/>
    <col min="5890" max="5890" width="46.85546875" style="530" customWidth="1"/>
    <col min="5891" max="5892" width="15.7109375" style="530" customWidth="1"/>
    <col min="5893" max="5893" width="13.85546875" style="530" customWidth="1"/>
    <col min="5894" max="5895" width="9.140625" style="530"/>
    <col min="5896" max="5897" width="0" style="530" hidden="1" customWidth="1"/>
    <col min="5898" max="6144" width="9.140625" style="530"/>
    <col min="6145" max="6145" width="6.140625" style="530" customWidth="1"/>
    <col min="6146" max="6146" width="46.85546875" style="530" customWidth="1"/>
    <col min="6147" max="6148" width="15.7109375" style="530" customWidth="1"/>
    <col min="6149" max="6149" width="13.85546875" style="530" customWidth="1"/>
    <col min="6150" max="6151" width="9.140625" style="530"/>
    <col min="6152" max="6153" width="0" style="530" hidden="1" customWidth="1"/>
    <col min="6154" max="6400" width="9.140625" style="530"/>
    <col min="6401" max="6401" width="6.140625" style="530" customWidth="1"/>
    <col min="6402" max="6402" width="46.85546875" style="530" customWidth="1"/>
    <col min="6403" max="6404" width="15.7109375" style="530" customWidth="1"/>
    <col min="6405" max="6405" width="13.85546875" style="530" customWidth="1"/>
    <col min="6406" max="6407" width="9.140625" style="530"/>
    <col min="6408" max="6409" width="0" style="530" hidden="1" customWidth="1"/>
    <col min="6410" max="6656" width="9.140625" style="530"/>
    <col min="6657" max="6657" width="6.140625" style="530" customWidth="1"/>
    <col min="6658" max="6658" width="46.85546875" style="530" customWidth="1"/>
    <col min="6659" max="6660" width="15.7109375" style="530" customWidth="1"/>
    <col min="6661" max="6661" width="13.85546875" style="530" customWidth="1"/>
    <col min="6662" max="6663" width="9.140625" style="530"/>
    <col min="6664" max="6665" width="0" style="530" hidden="1" customWidth="1"/>
    <col min="6666" max="6912" width="9.140625" style="530"/>
    <col min="6913" max="6913" width="6.140625" style="530" customWidth="1"/>
    <col min="6914" max="6914" width="46.85546875" style="530" customWidth="1"/>
    <col min="6915" max="6916" width="15.7109375" style="530" customWidth="1"/>
    <col min="6917" max="6917" width="13.85546875" style="530" customWidth="1"/>
    <col min="6918" max="6919" width="9.140625" style="530"/>
    <col min="6920" max="6921" width="0" style="530" hidden="1" customWidth="1"/>
    <col min="6922" max="7168" width="9.140625" style="530"/>
    <col min="7169" max="7169" width="6.140625" style="530" customWidth="1"/>
    <col min="7170" max="7170" width="46.85546875" style="530" customWidth="1"/>
    <col min="7171" max="7172" width="15.7109375" style="530" customWidth="1"/>
    <col min="7173" max="7173" width="13.85546875" style="530" customWidth="1"/>
    <col min="7174" max="7175" width="9.140625" style="530"/>
    <col min="7176" max="7177" width="0" style="530" hidden="1" customWidth="1"/>
    <col min="7178" max="7424" width="9.140625" style="530"/>
    <col min="7425" max="7425" width="6.140625" style="530" customWidth="1"/>
    <col min="7426" max="7426" width="46.85546875" style="530" customWidth="1"/>
    <col min="7427" max="7428" width="15.7109375" style="530" customWidth="1"/>
    <col min="7429" max="7429" width="13.85546875" style="530" customWidth="1"/>
    <col min="7430" max="7431" width="9.140625" style="530"/>
    <col min="7432" max="7433" width="0" style="530" hidden="1" customWidth="1"/>
    <col min="7434" max="7680" width="9.140625" style="530"/>
    <col min="7681" max="7681" width="6.140625" style="530" customWidth="1"/>
    <col min="7682" max="7682" width="46.85546875" style="530" customWidth="1"/>
    <col min="7683" max="7684" width="15.7109375" style="530" customWidth="1"/>
    <col min="7685" max="7685" width="13.85546875" style="530" customWidth="1"/>
    <col min="7686" max="7687" width="9.140625" style="530"/>
    <col min="7688" max="7689" width="0" style="530" hidden="1" customWidth="1"/>
    <col min="7690" max="7936" width="9.140625" style="530"/>
    <col min="7937" max="7937" width="6.140625" style="530" customWidth="1"/>
    <col min="7938" max="7938" width="46.85546875" style="530" customWidth="1"/>
    <col min="7939" max="7940" width="15.7109375" style="530" customWidth="1"/>
    <col min="7941" max="7941" width="13.85546875" style="530" customWidth="1"/>
    <col min="7942" max="7943" width="9.140625" style="530"/>
    <col min="7944" max="7945" width="0" style="530" hidden="1" customWidth="1"/>
    <col min="7946" max="8192" width="9.140625" style="530"/>
    <col min="8193" max="8193" width="6.140625" style="530" customWidth="1"/>
    <col min="8194" max="8194" width="46.85546875" style="530" customWidth="1"/>
    <col min="8195" max="8196" width="15.7109375" style="530" customWidth="1"/>
    <col min="8197" max="8197" width="13.85546875" style="530" customWidth="1"/>
    <col min="8198" max="8199" width="9.140625" style="530"/>
    <col min="8200" max="8201" width="0" style="530" hidden="1" customWidth="1"/>
    <col min="8202" max="8448" width="9.140625" style="530"/>
    <col min="8449" max="8449" width="6.140625" style="530" customWidth="1"/>
    <col min="8450" max="8450" width="46.85546875" style="530" customWidth="1"/>
    <col min="8451" max="8452" width="15.7109375" style="530" customWidth="1"/>
    <col min="8453" max="8453" width="13.85546875" style="530" customWidth="1"/>
    <col min="8454" max="8455" width="9.140625" style="530"/>
    <col min="8456" max="8457" width="0" style="530" hidden="1" customWidth="1"/>
    <col min="8458" max="8704" width="9.140625" style="530"/>
    <col min="8705" max="8705" width="6.140625" style="530" customWidth="1"/>
    <col min="8706" max="8706" width="46.85546875" style="530" customWidth="1"/>
    <col min="8707" max="8708" width="15.7109375" style="530" customWidth="1"/>
    <col min="8709" max="8709" width="13.85546875" style="530" customWidth="1"/>
    <col min="8710" max="8711" width="9.140625" style="530"/>
    <col min="8712" max="8713" width="0" style="530" hidden="1" customWidth="1"/>
    <col min="8714" max="8960" width="9.140625" style="530"/>
    <col min="8961" max="8961" width="6.140625" style="530" customWidth="1"/>
    <col min="8962" max="8962" width="46.85546875" style="530" customWidth="1"/>
    <col min="8963" max="8964" width="15.7109375" style="530" customWidth="1"/>
    <col min="8965" max="8965" width="13.85546875" style="530" customWidth="1"/>
    <col min="8966" max="8967" width="9.140625" style="530"/>
    <col min="8968" max="8969" width="0" style="530" hidden="1" customWidth="1"/>
    <col min="8970" max="9216" width="9.140625" style="530"/>
    <col min="9217" max="9217" width="6.140625" style="530" customWidth="1"/>
    <col min="9218" max="9218" width="46.85546875" style="530" customWidth="1"/>
    <col min="9219" max="9220" width="15.7109375" style="530" customWidth="1"/>
    <col min="9221" max="9221" width="13.85546875" style="530" customWidth="1"/>
    <col min="9222" max="9223" width="9.140625" style="530"/>
    <col min="9224" max="9225" width="0" style="530" hidden="1" customWidth="1"/>
    <col min="9226" max="9472" width="9.140625" style="530"/>
    <col min="9473" max="9473" width="6.140625" style="530" customWidth="1"/>
    <col min="9474" max="9474" width="46.85546875" style="530" customWidth="1"/>
    <col min="9475" max="9476" width="15.7109375" style="530" customWidth="1"/>
    <col min="9477" max="9477" width="13.85546875" style="530" customWidth="1"/>
    <col min="9478" max="9479" width="9.140625" style="530"/>
    <col min="9480" max="9481" width="0" style="530" hidden="1" customWidth="1"/>
    <col min="9482" max="9728" width="9.140625" style="530"/>
    <col min="9729" max="9729" width="6.140625" style="530" customWidth="1"/>
    <col min="9730" max="9730" width="46.85546875" style="530" customWidth="1"/>
    <col min="9731" max="9732" width="15.7109375" style="530" customWidth="1"/>
    <col min="9733" max="9733" width="13.85546875" style="530" customWidth="1"/>
    <col min="9734" max="9735" width="9.140625" style="530"/>
    <col min="9736" max="9737" width="0" style="530" hidden="1" customWidth="1"/>
    <col min="9738" max="9984" width="9.140625" style="530"/>
    <col min="9985" max="9985" width="6.140625" style="530" customWidth="1"/>
    <col min="9986" max="9986" width="46.85546875" style="530" customWidth="1"/>
    <col min="9987" max="9988" width="15.7109375" style="530" customWidth="1"/>
    <col min="9989" max="9989" width="13.85546875" style="530" customWidth="1"/>
    <col min="9990" max="9991" width="9.140625" style="530"/>
    <col min="9992" max="9993" width="0" style="530" hidden="1" customWidth="1"/>
    <col min="9994" max="10240" width="9.140625" style="530"/>
    <col min="10241" max="10241" width="6.140625" style="530" customWidth="1"/>
    <col min="10242" max="10242" width="46.85546875" style="530" customWidth="1"/>
    <col min="10243" max="10244" width="15.7109375" style="530" customWidth="1"/>
    <col min="10245" max="10245" width="13.85546875" style="530" customWidth="1"/>
    <col min="10246" max="10247" width="9.140625" style="530"/>
    <col min="10248" max="10249" width="0" style="530" hidden="1" customWidth="1"/>
    <col min="10250" max="10496" width="9.140625" style="530"/>
    <col min="10497" max="10497" width="6.140625" style="530" customWidth="1"/>
    <col min="10498" max="10498" width="46.85546875" style="530" customWidth="1"/>
    <col min="10499" max="10500" width="15.7109375" style="530" customWidth="1"/>
    <col min="10501" max="10501" width="13.85546875" style="530" customWidth="1"/>
    <col min="10502" max="10503" width="9.140625" style="530"/>
    <col min="10504" max="10505" width="0" style="530" hidden="1" customWidth="1"/>
    <col min="10506" max="10752" width="9.140625" style="530"/>
    <col min="10753" max="10753" width="6.140625" style="530" customWidth="1"/>
    <col min="10754" max="10754" width="46.85546875" style="530" customWidth="1"/>
    <col min="10755" max="10756" width="15.7109375" style="530" customWidth="1"/>
    <col min="10757" max="10757" width="13.85546875" style="530" customWidth="1"/>
    <col min="10758" max="10759" width="9.140625" style="530"/>
    <col min="10760" max="10761" width="0" style="530" hidden="1" customWidth="1"/>
    <col min="10762" max="11008" width="9.140625" style="530"/>
    <col min="11009" max="11009" width="6.140625" style="530" customWidth="1"/>
    <col min="11010" max="11010" width="46.85546875" style="530" customWidth="1"/>
    <col min="11011" max="11012" width="15.7109375" style="530" customWidth="1"/>
    <col min="11013" max="11013" width="13.85546875" style="530" customWidth="1"/>
    <col min="11014" max="11015" width="9.140625" style="530"/>
    <col min="11016" max="11017" width="0" style="530" hidden="1" customWidth="1"/>
    <col min="11018" max="11264" width="9.140625" style="530"/>
    <col min="11265" max="11265" width="6.140625" style="530" customWidth="1"/>
    <col min="11266" max="11266" width="46.85546875" style="530" customWidth="1"/>
    <col min="11267" max="11268" width="15.7109375" style="530" customWidth="1"/>
    <col min="11269" max="11269" width="13.85546875" style="530" customWidth="1"/>
    <col min="11270" max="11271" width="9.140625" style="530"/>
    <col min="11272" max="11273" width="0" style="530" hidden="1" customWidth="1"/>
    <col min="11274" max="11520" width="9.140625" style="530"/>
    <col min="11521" max="11521" width="6.140625" style="530" customWidth="1"/>
    <col min="11522" max="11522" width="46.85546875" style="530" customWidth="1"/>
    <col min="11523" max="11524" width="15.7109375" style="530" customWidth="1"/>
    <col min="11525" max="11525" width="13.85546875" style="530" customWidth="1"/>
    <col min="11526" max="11527" width="9.140625" style="530"/>
    <col min="11528" max="11529" width="0" style="530" hidden="1" customWidth="1"/>
    <col min="11530" max="11776" width="9.140625" style="530"/>
    <col min="11777" max="11777" width="6.140625" style="530" customWidth="1"/>
    <col min="11778" max="11778" width="46.85546875" style="530" customWidth="1"/>
    <col min="11779" max="11780" width="15.7109375" style="530" customWidth="1"/>
    <col min="11781" max="11781" width="13.85546875" style="530" customWidth="1"/>
    <col min="11782" max="11783" width="9.140625" style="530"/>
    <col min="11784" max="11785" width="0" style="530" hidden="1" customWidth="1"/>
    <col min="11786" max="12032" width="9.140625" style="530"/>
    <col min="12033" max="12033" width="6.140625" style="530" customWidth="1"/>
    <col min="12034" max="12034" width="46.85546875" style="530" customWidth="1"/>
    <col min="12035" max="12036" width="15.7109375" style="530" customWidth="1"/>
    <col min="12037" max="12037" width="13.85546875" style="530" customWidth="1"/>
    <col min="12038" max="12039" width="9.140625" style="530"/>
    <col min="12040" max="12041" width="0" style="530" hidden="1" customWidth="1"/>
    <col min="12042" max="12288" width="9.140625" style="530"/>
    <col min="12289" max="12289" width="6.140625" style="530" customWidth="1"/>
    <col min="12290" max="12290" width="46.85546875" style="530" customWidth="1"/>
    <col min="12291" max="12292" width="15.7109375" style="530" customWidth="1"/>
    <col min="12293" max="12293" width="13.85546875" style="530" customWidth="1"/>
    <col min="12294" max="12295" width="9.140625" style="530"/>
    <col min="12296" max="12297" width="0" style="530" hidden="1" customWidth="1"/>
    <col min="12298" max="12544" width="9.140625" style="530"/>
    <col min="12545" max="12545" width="6.140625" style="530" customWidth="1"/>
    <col min="12546" max="12546" width="46.85546875" style="530" customWidth="1"/>
    <col min="12547" max="12548" width="15.7109375" style="530" customWidth="1"/>
    <col min="12549" max="12549" width="13.85546875" style="530" customWidth="1"/>
    <col min="12550" max="12551" width="9.140625" style="530"/>
    <col min="12552" max="12553" width="0" style="530" hidden="1" customWidth="1"/>
    <col min="12554" max="12800" width="9.140625" style="530"/>
    <col min="12801" max="12801" width="6.140625" style="530" customWidth="1"/>
    <col min="12802" max="12802" width="46.85546875" style="530" customWidth="1"/>
    <col min="12803" max="12804" width="15.7109375" style="530" customWidth="1"/>
    <col min="12805" max="12805" width="13.85546875" style="530" customWidth="1"/>
    <col min="12806" max="12807" width="9.140625" style="530"/>
    <col min="12808" max="12809" width="0" style="530" hidden="1" customWidth="1"/>
    <col min="12810" max="13056" width="9.140625" style="530"/>
    <col min="13057" max="13057" width="6.140625" style="530" customWidth="1"/>
    <col min="13058" max="13058" width="46.85546875" style="530" customWidth="1"/>
    <col min="13059" max="13060" width="15.7109375" style="530" customWidth="1"/>
    <col min="13061" max="13061" width="13.85546875" style="530" customWidth="1"/>
    <col min="13062" max="13063" width="9.140625" style="530"/>
    <col min="13064" max="13065" width="0" style="530" hidden="1" customWidth="1"/>
    <col min="13066" max="13312" width="9.140625" style="530"/>
    <col min="13313" max="13313" width="6.140625" style="530" customWidth="1"/>
    <col min="13314" max="13314" width="46.85546875" style="530" customWidth="1"/>
    <col min="13315" max="13316" width="15.7109375" style="530" customWidth="1"/>
    <col min="13317" max="13317" width="13.85546875" style="530" customWidth="1"/>
    <col min="13318" max="13319" width="9.140625" style="530"/>
    <col min="13320" max="13321" width="0" style="530" hidden="1" customWidth="1"/>
    <col min="13322" max="13568" width="9.140625" style="530"/>
    <col min="13569" max="13569" width="6.140625" style="530" customWidth="1"/>
    <col min="13570" max="13570" width="46.85546875" style="530" customWidth="1"/>
    <col min="13571" max="13572" width="15.7109375" style="530" customWidth="1"/>
    <col min="13573" max="13573" width="13.85546875" style="530" customWidth="1"/>
    <col min="13574" max="13575" width="9.140625" style="530"/>
    <col min="13576" max="13577" width="0" style="530" hidden="1" customWidth="1"/>
    <col min="13578" max="13824" width="9.140625" style="530"/>
    <col min="13825" max="13825" width="6.140625" style="530" customWidth="1"/>
    <col min="13826" max="13826" width="46.85546875" style="530" customWidth="1"/>
    <col min="13827" max="13828" width="15.7109375" style="530" customWidth="1"/>
    <col min="13829" max="13829" width="13.85546875" style="530" customWidth="1"/>
    <col min="13830" max="13831" width="9.140625" style="530"/>
    <col min="13832" max="13833" width="0" style="530" hidden="1" customWidth="1"/>
    <col min="13834" max="14080" width="9.140625" style="530"/>
    <col min="14081" max="14081" width="6.140625" style="530" customWidth="1"/>
    <col min="14082" max="14082" width="46.85546875" style="530" customWidth="1"/>
    <col min="14083" max="14084" width="15.7109375" style="530" customWidth="1"/>
    <col min="14085" max="14085" width="13.85546875" style="530" customWidth="1"/>
    <col min="14086" max="14087" width="9.140625" style="530"/>
    <col min="14088" max="14089" width="0" style="530" hidden="1" customWidth="1"/>
    <col min="14090" max="14336" width="9.140625" style="530"/>
    <col min="14337" max="14337" width="6.140625" style="530" customWidth="1"/>
    <col min="14338" max="14338" width="46.85546875" style="530" customWidth="1"/>
    <col min="14339" max="14340" width="15.7109375" style="530" customWidth="1"/>
    <col min="14341" max="14341" width="13.85546875" style="530" customWidth="1"/>
    <col min="14342" max="14343" width="9.140625" style="530"/>
    <col min="14344" max="14345" width="0" style="530" hidden="1" customWidth="1"/>
    <col min="14346" max="14592" width="9.140625" style="530"/>
    <col min="14593" max="14593" width="6.140625" style="530" customWidth="1"/>
    <col min="14594" max="14594" width="46.85546875" style="530" customWidth="1"/>
    <col min="14595" max="14596" width="15.7109375" style="530" customWidth="1"/>
    <col min="14597" max="14597" width="13.85546875" style="530" customWidth="1"/>
    <col min="14598" max="14599" width="9.140625" style="530"/>
    <col min="14600" max="14601" width="0" style="530" hidden="1" customWidth="1"/>
    <col min="14602" max="14848" width="9.140625" style="530"/>
    <col min="14849" max="14849" width="6.140625" style="530" customWidth="1"/>
    <col min="14850" max="14850" width="46.85546875" style="530" customWidth="1"/>
    <col min="14851" max="14852" width="15.7109375" style="530" customWidth="1"/>
    <col min="14853" max="14853" width="13.85546875" style="530" customWidth="1"/>
    <col min="14854" max="14855" width="9.140625" style="530"/>
    <col min="14856" max="14857" width="0" style="530" hidden="1" customWidth="1"/>
    <col min="14858" max="15104" width="9.140625" style="530"/>
    <col min="15105" max="15105" width="6.140625" style="530" customWidth="1"/>
    <col min="15106" max="15106" width="46.85546875" style="530" customWidth="1"/>
    <col min="15107" max="15108" width="15.7109375" style="530" customWidth="1"/>
    <col min="15109" max="15109" width="13.85546875" style="530" customWidth="1"/>
    <col min="15110" max="15111" width="9.140625" style="530"/>
    <col min="15112" max="15113" width="0" style="530" hidden="1" customWidth="1"/>
    <col min="15114" max="15360" width="9.140625" style="530"/>
    <col min="15361" max="15361" width="6.140625" style="530" customWidth="1"/>
    <col min="15362" max="15362" width="46.85546875" style="530" customWidth="1"/>
    <col min="15363" max="15364" width="15.7109375" style="530" customWidth="1"/>
    <col min="15365" max="15365" width="13.85546875" style="530" customWidth="1"/>
    <col min="15366" max="15367" width="9.140625" style="530"/>
    <col min="15368" max="15369" width="0" style="530" hidden="1" customWidth="1"/>
    <col min="15370" max="15616" width="9.140625" style="530"/>
    <col min="15617" max="15617" width="6.140625" style="530" customWidth="1"/>
    <col min="15618" max="15618" width="46.85546875" style="530" customWidth="1"/>
    <col min="15619" max="15620" width="15.7109375" style="530" customWidth="1"/>
    <col min="15621" max="15621" width="13.85546875" style="530" customWidth="1"/>
    <col min="15622" max="15623" width="9.140625" style="530"/>
    <col min="15624" max="15625" width="0" style="530" hidden="1" customWidth="1"/>
    <col min="15626" max="15872" width="9.140625" style="530"/>
    <col min="15873" max="15873" width="6.140625" style="530" customWidth="1"/>
    <col min="15874" max="15874" width="46.85546875" style="530" customWidth="1"/>
    <col min="15875" max="15876" width="15.7109375" style="530" customWidth="1"/>
    <col min="15877" max="15877" width="13.85546875" style="530" customWidth="1"/>
    <col min="15878" max="15879" width="9.140625" style="530"/>
    <col min="15880" max="15881" width="0" style="530" hidden="1" customWidth="1"/>
    <col min="15882" max="16128" width="9.140625" style="530"/>
    <col min="16129" max="16129" width="6.140625" style="530" customWidth="1"/>
    <col min="16130" max="16130" width="46.85546875" style="530" customWidth="1"/>
    <col min="16131" max="16132" width="15.7109375" style="530" customWidth="1"/>
    <col min="16133" max="16133" width="13.85546875" style="530" customWidth="1"/>
    <col min="16134" max="16135" width="9.140625" style="530"/>
    <col min="16136" max="16137" width="0" style="530" hidden="1" customWidth="1"/>
    <col min="16138" max="16384" width="9.140625" style="530"/>
  </cols>
  <sheetData>
    <row r="1" spans="1:9" x14ac:dyDescent="0.2">
      <c r="E1" s="531" t="s">
        <v>818</v>
      </c>
    </row>
    <row r="2" spans="1:9" x14ac:dyDescent="0.2">
      <c r="E2" s="532" t="str">
        <f>'1.Bev-kiad.'!L2</f>
        <v>a 9/2026.(V.29.) önkormányzati rendelethez</v>
      </c>
    </row>
    <row r="3" spans="1:9" x14ac:dyDescent="0.2">
      <c r="E3" s="532"/>
    </row>
    <row r="4" spans="1:9" ht="19.5" x14ac:dyDescent="0.35">
      <c r="A4" s="694" t="s">
        <v>22</v>
      </c>
      <c r="B4" s="695"/>
      <c r="C4" s="695"/>
      <c r="D4" s="695"/>
      <c r="E4" s="695"/>
    </row>
    <row r="5" spans="1:9" ht="19.5" x14ac:dyDescent="0.35">
      <c r="A5" s="805" t="s">
        <v>844</v>
      </c>
      <c r="B5" s="695"/>
      <c r="C5" s="695"/>
      <c r="D5" s="695"/>
      <c r="E5" s="695"/>
    </row>
    <row r="6" spans="1:9" ht="20.25" thickBot="1" x14ac:dyDescent="0.4">
      <c r="B6" s="529"/>
      <c r="C6" s="529"/>
      <c r="D6" s="529"/>
    </row>
    <row r="7" spans="1:9" s="536" customFormat="1" ht="16.5" thickBot="1" x14ac:dyDescent="0.25">
      <c r="A7" s="533"/>
      <c r="B7" s="534" t="s">
        <v>824</v>
      </c>
      <c r="C7" s="534" t="s">
        <v>39</v>
      </c>
      <c r="D7" s="534" t="s">
        <v>825</v>
      </c>
      <c r="E7" s="535" t="s">
        <v>41</v>
      </c>
    </row>
    <row r="8" spans="1:9" x14ac:dyDescent="0.2">
      <c r="A8" s="537" t="s">
        <v>826</v>
      </c>
      <c r="B8" s="538" t="s">
        <v>827</v>
      </c>
      <c r="C8" s="539">
        <v>1942805</v>
      </c>
      <c r="D8" s="539">
        <v>52814</v>
      </c>
      <c r="E8" s="540">
        <f>SUM(C8:D8)</f>
        <v>1995619</v>
      </c>
      <c r="G8" s="541"/>
      <c r="H8" s="541">
        <f>'1.Bev-kiad.'!L9</f>
        <v>1995619</v>
      </c>
    </row>
    <row r="9" spans="1:9" x14ac:dyDescent="0.2">
      <c r="A9" s="542" t="s">
        <v>828</v>
      </c>
      <c r="B9" s="543" t="s">
        <v>829</v>
      </c>
      <c r="C9" s="544">
        <v>1485533</v>
      </c>
      <c r="D9" s="544">
        <v>286828</v>
      </c>
      <c r="E9" s="545">
        <f>SUM(C9:D9)</f>
        <v>1772361</v>
      </c>
      <c r="F9" s="541"/>
      <c r="G9" s="541"/>
      <c r="H9" s="541">
        <f>'1.Bev-kiad.'!L65</f>
        <v>1772361</v>
      </c>
    </row>
    <row r="10" spans="1:9" x14ac:dyDescent="0.2">
      <c r="A10" s="546" t="s">
        <v>830</v>
      </c>
      <c r="B10" s="547" t="s">
        <v>831</v>
      </c>
      <c r="C10" s="548">
        <f>C8-C9</f>
        <v>457272</v>
      </c>
      <c r="D10" s="548">
        <f>D8-D9</f>
        <v>-234014</v>
      </c>
      <c r="E10" s="549">
        <f>E8-E9</f>
        <v>223258</v>
      </c>
      <c r="F10" s="550"/>
    </row>
    <row r="11" spans="1:9" x14ac:dyDescent="0.2">
      <c r="A11" s="542" t="s">
        <v>832</v>
      </c>
      <c r="B11" s="543" t="s">
        <v>833</v>
      </c>
      <c r="C11" s="544">
        <v>386182</v>
      </c>
      <c r="D11" s="544">
        <v>242114</v>
      </c>
      <c r="E11" s="545">
        <f>SUM(C11:D11)</f>
        <v>628296</v>
      </c>
      <c r="F11" s="541"/>
      <c r="G11" s="530">
        <v>240067</v>
      </c>
      <c r="H11" s="541">
        <f>'1.Bev-kiad.'!L55</f>
        <v>388229</v>
      </c>
      <c r="I11" s="541">
        <f>H11+G11</f>
        <v>628296</v>
      </c>
    </row>
    <row r="12" spans="1:9" x14ac:dyDescent="0.2">
      <c r="A12" s="542" t="s">
        <v>834</v>
      </c>
      <c r="B12" s="543" t="s">
        <v>835</v>
      </c>
      <c r="C12" s="544">
        <v>355941</v>
      </c>
      <c r="D12" s="544">
        <v>0</v>
      </c>
      <c r="E12" s="545">
        <f>SUM(C12:D12)</f>
        <v>355941</v>
      </c>
      <c r="F12" s="541"/>
      <c r="H12" s="541">
        <f>'1.Bev-kiad.'!L82</f>
        <v>115874</v>
      </c>
      <c r="I12" s="541">
        <f>G11+H12</f>
        <v>355941</v>
      </c>
    </row>
    <row r="13" spans="1:9" ht="14.25" customHeight="1" x14ac:dyDescent="0.2">
      <c r="A13" s="546" t="s">
        <v>836</v>
      </c>
      <c r="B13" s="547" t="s">
        <v>837</v>
      </c>
      <c r="C13" s="548">
        <f>C11-C12</f>
        <v>30241</v>
      </c>
      <c r="D13" s="548">
        <f>D11-D12</f>
        <v>242114</v>
      </c>
      <c r="E13" s="549">
        <f>E11-E12</f>
        <v>272355</v>
      </c>
    </row>
    <row r="14" spans="1:9" hidden="1" x14ac:dyDescent="0.2">
      <c r="A14" s="546" t="s">
        <v>838</v>
      </c>
      <c r="B14" s="547" t="s">
        <v>839</v>
      </c>
      <c r="C14" s="548">
        <f>C10+C13</f>
        <v>487513</v>
      </c>
      <c r="D14" s="548">
        <f>D10+D13</f>
        <v>8100</v>
      </c>
      <c r="E14" s="549">
        <f>E10+E13</f>
        <v>495613</v>
      </c>
    </row>
    <row r="15" spans="1:9" x14ac:dyDescent="0.2">
      <c r="A15" s="546">
        <v>15</v>
      </c>
      <c r="B15" s="547" t="s">
        <v>840</v>
      </c>
      <c r="C15" s="548">
        <f>C14</f>
        <v>487513</v>
      </c>
      <c r="D15" s="548">
        <f>D14</f>
        <v>8100</v>
      </c>
      <c r="E15" s="549">
        <f>E14</f>
        <v>495613</v>
      </c>
    </row>
    <row r="16" spans="1:9" ht="25.5" x14ac:dyDescent="0.2">
      <c r="A16" s="546" t="s">
        <v>841</v>
      </c>
      <c r="B16" s="547" t="s">
        <v>842</v>
      </c>
      <c r="C16" s="551">
        <v>198424</v>
      </c>
      <c r="D16" s="551">
        <v>0</v>
      </c>
      <c r="E16" s="552">
        <f>SUM(C16:D16)</f>
        <v>198424</v>
      </c>
    </row>
    <row r="17" spans="1:5" ht="13.5" thickBot="1" x14ac:dyDescent="0.25">
      <c r="A17" s="553">
        <v>17</v>
      </c>
      <c r="B17" s="554" t="s">
        <v>843</v>
      </c>
      <c r="C17" s="555">
        <f>C14-C16</f>
        <v>289089</v>
      </c>
      <c r="D17" s="555">
        <f>D14-D16</f>
        <v>8100</v>
      </c>
      <c r="E17" s="556">
        <f>E14-E16</f>
        <v>297189</v>
      </c>
    </row>
    <row r="20" spans="1:5" x14ac:dyDescent="0.2">
      <c r="C20" s="541"/>
      <c r="D20" s="541"/>
      <c r="E20" s="541"/>
    </row>
  </sheetData>
  <mergeCells count="2">
    <mergeCell ref="A4:E4"/>
    <mergeCell ref="A5:E5"/>
  </mergeCells>
  <pageMargins left="0.7" right="0.7" top="0.75" bottom="0.75" header="0.3" footer="0.3"/>
  <pageSetup paperSize="9" scale="12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878AF-50BF-4FF1-BF9C-05BE1B41E705}">
  <dimension ref="B1:H101"/>
  <sheetViews>
    <sheetView zoomScaleNormal="100" workbookViewId="0">
      <selection activeCell="D75" sqref="D75"/>
    </sheetView>
  </sheetViews>
  <sheetFormatPr defaultRowHeight="12.75" x14ac:dyDescent="0.2"/>
  <cols>
    <col min="1" max="1" width="2.28515625" style="530" customWidth="1"/>
    <col min="2" max="2" width="8.140625" style="530" customWidth="1"/>
    <col min="3" max="3" width="75.28515625" style="530" customWidth="1"/>
    <col min="4" max="4" width="17.28515625" style="530" customWidth="1"/>
    <col min="5" max="5" width="10.28515625" style="530" customWidth="1"/>
    <col min="6" max="6" width="12.42578125" style="530" customWidth="1"/>
    <col min="7" max="7" width="0.7109375" style="530" customWidth="1"/>
    <col min="8" max="256" width="9.140625" style="530"/>
    <col min="257" max="257" width="0.28515625" style="530" customWidth="1"/>
    <col min="258" max="258" width="8.140625" style="530" customWidth="1"/>
    <col min="259" max="259" width="88.28515625" style="530" customWidth="1"/>
    <col min="260" max="260" width="13.42578125" style="530" customWidth="1"/>
    <col min="261" max="261" width="10" style="530" customWidth="1"/>
    <col min="262" max="262" width="12.42578125" style="530" customWidth="1"/>
    <col min="263" max="263" width="4.5703125" style="530" customWidth="1"/>
    <col min="264" max="512" width="9.140625" style="530"/>
    <col min="513" max="513" width="0.28515625" style="530" customWidth="1"/>
    <col min="514" max="514" width="8.140625" style="530" customWidth="1"/>
    <col min="515" max="515" width="88.28515625" style="530" customWidth="1"/>
    <col min="516" max="516" width="13.42578125" style="530" customWidth="1"/>
    <col min="517" max="517" width="10" style="530" customWidth="1"/>
    <col min="518" max="518" width="12.42578125" style="530" customWidth="1"/>
    <col min="519" max="519" width="4.5703125" style="530" customWidth="1"/>
    <col min="520" max="768" width="9.140625" style="530"/>
    <col min="769" max="769" width="0.28515625" style="530" customWidth="1"/>
    <col min="770" max="770" width="8.140625" style="530" customWidth="1"/>
    <col min="771" max="771" width="88.28515625" style="530" customWidth="1"/>
    <col min="772" max="772" width="13.42578125" style="530" customWidth="1"/>
    <col min="773" max="773" width="10" style="530" customWidth="1"/>
    <col min="774" max="774" width="12.42578125" style="530" customWidth="1"/>
    <col min="775" max="775" width="4.5703125" style="530" customWidth="1"/>
    <col min="776" max="1024" width="9.140625" style="530"/>
    <col min="1025" max="1025" width="0.28515625" style="530" customWidth="1"/>
    <col min="1026" max="1026" width="8.140625" style="530" customWidth="1"/>
    <col min="1027" max="1027" width="88.28515625" style="530" customWidth="1"/>
    <col min="1028" max="1028" width="13.42578125" style="530" customWidth="1"/>
    <col min="1029" max="1029" width="10" style="530" customWidth="1"/>
    <col min="1030" max="1030" width="12.42578125" style="530" customWidth="1"/>
    <col min="1031" max="1031" width="4.5703125" style="530" customWidth="1"/>
    <col min="1032" max="1280" width="9.140625" style="530"/>
    <col min="1281" max="1281" width="0.28515625" style="530" customWidth="1"/>
    <col min="1282" max="1282" width="8.140625" style="530" customWidth="1"/>
    <col min="1283" max="1283" width="88.28515625" style="530" customWidth="1"/>
    <col min="1284" max="1284" width="13.42578125" style="530" customWidth="1"/>
    <col min="1285" max="1285" width="10" style="530" customWidth="1"/>
    <col min="1286" max="1286" width="12.42578125" style="530" customWidth="1"/>
    <col min="1287" max="1287" width="4.5703125" style="530" customWidth="1"/>
    <col min="1288" max="1536" width="9.140625" style="530"/>
    <col min="1537" max="1537" width="0.28515625" style="530" customWidth="1"/>
    <col min="1538" max="1538" width="8.140625" style="530" customWidth="1"/>
    <col min="1539" max="1539" width="88.28515625" style="530" customWidth="1"/>
    <col min="1540" max="1540" width="13.42578125" style="530" customWidth="1"/>
    <col min="1541" max="1541" width="10" style="530" customWidth="1"/>
    <col min="1542" max="1542" width="12.42578125" style="530" customWidth="1"/>
    <col min="1543" max="1543" width="4.5703125" style="530" customWidth="1"/>
    <col min="1544" max="1792" width="9.140625" style="530"/>
    <col min="1793" max="1793" width="0.28515625" style="530" customWidth="1"/>
    <col min="1794" max="1794" width="8.140625" style="530" customWidth="1"/>
    <col min="1795" max="1795" width="88.28515625" style="530" customWidth="1"/>
    <col min="1796" max="1796" width="13.42578125" style="530" customWidth="1"/>
    <col min="1797" max="1797" width="10" style="530" customWidth="1"/>
    <col min="1798" max="1798" width="12.42578125" style="530" customWidth="1"/>
    <col min="1799" max="1799" width="4.5703125" style="530" customWidth="1"/>
    <col min="1800" max="2048" width="9.140625" style="530"/>
    <col min="2049" max="2049" width="0.28515625" style="530" customWidth="1"/>
    <col min="2050" max="2050" width="8.140625" style="530" customWidth="1"/>
    <col min="2051" max="2051" width="88.28515625" style="530" customWidth="1"/>
    <col min="2052" max="2052" width="13.42578125" style="530" customWidth="1"/>
    <col min="2053" max="2053" width="10" style="530" customWidth="1"/>
    <col min="2054" max="2054" width="12.42578125" style="530" customWidth="1"/>
    <col min="2055" max="2055" width="4.5703125" style="530" customWidth="1"/>
    <col min="2056" max="2304" width="9.140625" style="530"/>
    <col min="2305" max="2305" width="0.28515625" style="530" customWidth="1"/>
    <col min="2306" max="2306" width="8.140625" style="530" customWidth="1"/>
    <col min="2307" max="2307" width="88.28515625" style="530" customWidth="1"/>
    <col min="2308" max="2308" width="13.42578125" style="530" customWidth="1"/>
    <col min="2309" max="2309" width="10" style="530" customWidth="1"/>
    <col min="2310" max="2310" width="12.42578125" style="530" customWidth="1"/>
    <col min="2311" max="2311" width="4.5703125" style="530" customWidth="1"/>
    <col min="2312" max="2560" width="9.140625" style="530"/>
    <col min="2561" max="2561" width="0.28515625" style="530" customWidth="1"/>
    <col min="2562" max="2562" width="8.140625" style="530" customWidth="1"/>
    <col min="2563" max="2563" width="88.28515625" style="530" customWidth="1"/>
    <col min="2564" max="2564" width="13.42578125" style="530" customWidth="1"/>
    <col min="2565" max="2565" width="10" style="530" customWidth="1"/>
    <col min="2566" max="2566" width="12.42578125" style="530" customWidth="1"/>
    <col min="2567" max="2567" width="4.5703125" style="530" customWidth="1"/>
    <col min="2568" max="2816" width="9.140625" style="530"/>
    <col min="2817" max="2817" width="0.28515625" style="530" customWidth="1"/>
    <col min="2818" max="2818" width="8.140625" style="530" customWidth="1"/>
    <col min="2819" max="2819" width="88.28515625" style="530" customWidth="1"/>
    <col min="2820" max="2820" width="13.42578125" style="530" customWidth="1"/>
    <col min="2821" max="2821" width="10" style="530" customWidth="1"/>
    <col min="2822" max="2822" width="12.42578125" style="530" customWidth="1"/>
    <col min="2823" max="2823" width="4.5703125" style="530" customWidth="1"/>
    <col min="2824" max="3072" width="9.140625" style="530"/>
    <col min="3073" max="3073" width="0.28515625" style="530" customWidth="1"/>
    <col min="3074" max="3074" width="8.140625" style="530" customWidth="1"/>
    <col min="3075" max="3075" width="88.28515625" style="530" customWidth="1"/>
    <col min="3076" max="3076" width="13.42578125" style="530" customWidth="1"/>
    <col min="3077" max="3077" width="10" style="530" customWidth="1"/>
    <col min="3078" max="3078" width="12.42578125" style="530" customWidth="1"/>
    <col min="3079" max="3079" width="4.5703125" style="530" customWidth="1"/>
    <col min="3080" max="3328" width="9.140625" style="530"/>
    <col min="3329" max="3329" width="0.28515625" style="530" customWidth="1"/>
    <col min="3330" max="3330" width="8.140625" style="530" customWidth="1"/>
    <col min="3331" max="3331" width="88.28515625" style="530" customWidth="1"/>
    <col min="3332" max="3332" width="13.42578125" style="530" customWidth="1"/>
    <col min="3333" max="3333" width="10" style="530" customWidth="1"/>
    <col min="3334" max="3334" width="12.42578125" style="530" customWidth="1"/>
    <col min="3335" max="3335" width="4.5703125" style="530" customWidth="1"/>
    <col min="3336" max="3584" width="9.140625" style="530"/>
    <col min="3585" max="3585" width="0.28515625" style="530" customWidth="1"/>
    <col min="3586" max="3586" width="8.140625" style="530" customWidth="1"/>
    <col min="3587" max="3587" width="88.28515625" style="530" customWidth="1"/>
    <col min="3588" max="3588" width="13.42578125" style="530" customWidth="1"/>
    <col min="3589" max="3589" width="10" style="530" customWidth="1"/>
    <col min="3590" max="3590" width="12.42578125" style="530" customWidth="1"/>
    <col min="3591" max="3591" width="4.5703125" style="530" customWidth="1"/>
    <col min="3592" max="3840" width="9.140625" style="530"/>
    <col min="3841" max="3841" width="0.28515625" style="530" customWidth="1"/>
    <col min="3842" max="3842" width="8.140625" style="530" customWidth="1"/>
    <col min="3843" max="3843" width="88.28515625" style="530" customWidth="1"/>
    <col min="3844" max="3844" width="13.42578125" style="530" customWidth="1"/>
    <col min="3845" max="3845" width="10" style="530" customWidth="1"/>
    <col min="3846" max="3846" width="12.42578125" style="530" customWidth="1"/>
    <col min="3847" max="3847" width="4.5703125" style="530" customWidth="1"/>
    <col min="3848" max="4096" width="9.140625" style="530"/>
    <col min="4097" max="4097" width="0.28515625" style="530" customWidth="1"/>
    <col min="4098" max="4098" width="8.140625" style="530" customWidth="1"/>
    <col min="4099" max="4099" width="88.28515625" style="530" customWidth="1"/>
    <col min="4100" max="4100" width="13.42578125" style="530" customWidth="1"/>
    <col min="4101" max="4101" width="10" style="530" customWidth="1"/>
    <col min="4102" max="4102" width="12.42578125" style="530" customWidth="1"/>
    <col min="4103" max="4103" width="4.5703125" style="530" customWidth="1"/>
    <col min="4104" max="4352" width="9.140625" style="530"/>
    <col min="4353" max="4353" width="0.28515625" style="530" customWidth="1"/>
    <col min="4354" max="4354" width="8.140625" style="530" customWidth="1"/>
    <col min="4355" max="4355" width="88.28515625" style="530" customWidth="1"/>
    <col min="4356" max="4356" width="13.42578125" style="530" customWidth="1"/>
    <col min="4357" max="4357" width="10" style="530" customWidth="1"/>
    <col min="4358" max="4358" width="12.42578125" style="530" customWidth="1"/>
    <col min="4359" max="4359" width="4.5703125" style="530" customWidth="1"/>
    <col min="4360" max="4608" width="9.140625" style="530"/>
    <col min="4609" max="4609" width="0.28515625" style="530" customWidth="1"/>
    <col min="4610" max="4610" width="8.140625" style="530" customWidth="1"/>
    <col min="4611" max="4611" width="88.28515625" style="530" customWidth="1"/>
    <col min="4612" max="4612" width="13.42578125" style="530" customWidth="1"/>
    <col min="4613" max="4613" width="10" style="530" customWidth="1"/>
    <col min="4614" max="4614" width="12.42578125" style="530" customWidth="1"/>
    <col min="4615" max="4615" width="4.5703125" style="530" customWidth="1"/>
    <col min="4616" max="4864" width="9.140625" style="530"/>
    <col min="4865" max="4865" width="0.28515625" style="530" customWidth="1"/>
    <col min="4866" max="4866" width="8.140625" style="530" customWidth="1"/>
    <col min="4867" max="4867" width="88.28515625" style="530" customWidth="1"/>
    <col min="4868" max="4868" width="13.42578125" style="530" customWidth="1"/>
    <col min="4869" max="4869" width="10" style="530" customWidth="1"/>
    <col min="4870" max="4870" width="12.42578125" style="530" customWidth="1"/>
    <col min="4871" max="4871" width="4.5703125" style="530" customWidth="1"/>
    <col min="4872" max="5120" width="9.140625" style="530"/>
    <col min="5121" max="5121" width="0.28515625" style="530" customWidth="1"/>
    <col min="5122" max="5122" width="8.140625" style="530" customWidth="1"/>
    <col min="5123" max="5123" width="88.28515625" style="530" customWidth="1"/>
    <col min="5124" max="5124" width="13.42578125" style="530" customWidth="1"/>
    <col min="5125" max="5125" width="10" style="530" customWidth="1"/>
    <col min="5126" max="5126" width="12.42578125" style="530" customWidth="1"/>
    <col min="5127" max="5127" width="4.5703125" style="530" customWidth="1"/>
    <col min="5128" max="5376" width="9.140625" style="530"/>
    <col min="5377" max="5377" width="0.28515625" style="530" customWidth="1"/>
    <col min="5378" max="5378" width="8.140625" style="530" customWidth="1"/>
    <col min="5379" max="5379" width="88.28515625" style="530" customWidth="1"/>
    <col min="5380" max="5380" width="13.42578125" style="530" customWidth="1"/>
    <col min="5381" max="5381" width="10" style="530" customWidth="1"/>
    <col min="5382" max="5382" width="12.42578125" style="530" customWidth="1"/>
    <col min="5383" max="5383" width="4.5703125" style="530" customWidth="1"/>
    <col min="5384" max="5632" width="9.140625" style="530"/>
    <col min="5633" max="5633" width="0.28515625" style="530" customWidth="1"/>
    <col min="5634" max="5634" width="8.140625" style="530" customWidth="1"/>
    <col min="5635" max="5635" width="88.28515625" style="530" customWidth="1"/>
    <col min="5636" max="5636" width="13.42578125" style="530" customWidth="1"/>
    <col min="5637" max="5637" width="10" style="530" customWidth="1"/>
    <col min="5638" max="5638" width="12.42578125" style="530" customWidth="1"/>
    <col min="5639" max="5639" width="4.5703125" style="530" customWidth="1"/>
    <col min="5640" max="5888" width="9.140625" style="530"/>
    <col min="5889" max="5889" width="0.28515625" style="530" customWidth="1"/>
    <col min="5890" max="5890" width="8.140625" style="530" customWidth="1"/>
    <col min="5891" max="5891" width="88.28515625" style="530" customWidth="1"/>
    <col min="5892" max="5892" width="13.42578125" style="530" customWidth="1"/>
    <col min="5893" max="5893" width="10" style="530" customWidth="1"/>
    <col min="5894" max="5894" width="12.42578125" style="530" customWidth="1"/>
    <col min="5895" max="5895" width="4.5703125" style="530" customWidth="1"/>
    <col min="5896" max="6144" width="9.140625" style="530"/>
    <col min="6145" max="6145" width="0.28515625" style="530" customWidth="1"/>
    <col min="6146" max="6146" width="8.140625" style="530" customWidth="1"/>
    <col min="6147" max="6147" width="88.28515625" style="530" customWidth="1"/>
    <col min="6148" max="6148" width="13.42578125" style="530" customWidth="1"/>
    <col min="6149" max="6149" width="10" style="530" customWidth="1"/>
    <col min="6150" max="6150" width="12.42578125" style="530" customWidth="1"/>
    <col min="6151" max="6151" width="4.5703125" style="530" customWidth="1"/>
    <col min="6152" max="6400" width="9.140625" style="530"/>
    <col min="6401" max="6401" width="0.28515625" style="530" customWidth="1"/>
    <col min="6402" max="6402" width="8.140625" style="530" customWidth="1"/>
    <col min="6403" max="6403" width="88.28515625" style="530" customWidth="1"/>
    <col min="6404" max="6404" width="13.42578125" style="530" customWidth="1"/>
    <col min="6405" max="6405" width="10" style="530" customWidth="1"/>
    <col min="6406" max="6406" width="12.42578125" style="530" customWidth="1"/>
    <col min="6407" max="6407" width="4.5703125" style="530" customWidth="1"/>
    <col min="6408" max="6656" width="9.140625" style="530"/>
    <col min="6657" max="6657" width="0.28515625" style="530" customWidth="1"/>
    <col min="6658" max="6658" width="8.140625" style="530" customWidth="1"/>
    <col min="6659" max="6659" width="88.28515625" style="530" customWidth="1"/>
    <col min="6660" max="6660" width="13.42578125" style="530" customWidth="1"/>
    <col min="6661" max="6661" width="10" style="530" customWidth="1"/>
    <col min="6662" max="6662" width="12.42578125" style="530" customWidth="1"/>
    <col min="6663" max="6663" width="4.5703125" style="530" customWidth="1"/>
    <col min="6664" max="6912" width="9.140625" style="530"/>
    <col min="6913" max="6913" width="0.28515625" style="530" customWidth="1"/>
    <col min="6914" max="6914" width="8.140625" style="530" customWidth="1"/>
    <col min="6915" max="6915" width="88.28515625" style="530" customWidth="1"/>
    <col min="6916" max="6916" width="13.42578125" style="530" customWidth="1"/>
    <col min="6917" max="6917" width="10" style="530" customWidth="1"/>
    <col min="6918" max="6918" width="12.42578125" style="530" customWidth="1"/>
    <col min="6919" max="6919" width="4.5703125" style="530" customWidth="1"/>
    <col min="6920" max="7168" width="9.140625" style="530"/>
    <col min="7169" max="7169" width="0.28515625" style="530" customWidth="1"/>
    <col min="7170" max="7170" width="8.140625" style="530" customWidth="1"/>
    <col min="7171" max="7171" width="88.28515625" style="530" customWidth="1"/>
    <col min="7172" max="7172" width="13.42578125" style="530" customWidth="1"/>
    <col min="7173" max="7173" width="10" style="530" customWidth="1"/>
    <col min="7174" max="7174" width="12.42578125" style="530" customWidth="1"/>
    <col min="7175" max="7175" width="4.5703125" style="530" customWidth="1"/>
    <col min="7176" max="7424" width="9.140625" style="530"/>
    <col min="7425" max="7425" width="0.28515625" style="530" customWidth="1"/>
    <col min="7426" max="7426" width="8.140625" style="530" customWidth="1"/>
    <col min="7427" max="7427" width="88.28515625" style="530" customWidth="1"/>
    <col min="7428" max="7428" width="13.42578125" style="530" customWidth="1"/>
    <col min="7429" max="7429" width="10" style="530" customWidth="1"/>
    <col min="7430" max="7430" width="12.42578125" style="530" customWidth="1"/>
    <col min="7431" max="7431" width="4.5703125" style="530" customWidth="1"/>
    <col min="7432" max="7680" width="9.140625" style="530"/>
    <col min="7681" max="7681" width="0.28515625" style="530" customWidth="1"/>
    <col min="7682" max="7682" width="8.140625" style="530" customWidth="1"/>
    <col min="7683" max="7683" width="88.28515625" style="530" customWidth="1"/>
    <col min="7684" max="7684" width="13.42578125" style="530" customWidth="1"/>
    <col min="7685" max="7685" width="10" style="530" customWidth="1"/>
    <col min="7686" max="7686" width="12.42578125" style="530" customWidth="1"/>
    <col min="7687" max="7687" width="4.5703125" style="530" customWidth="1"/>
    <col min="7688" max="7936" width="9.140625" style="530"/>
    <col min="7937" max="7937" width="0.28515625" style="530" customWidth="1"/>
    <col min="7938" max="7938" width="8.140625" style="530" customWidth="1"/>
    <col min="7939" max="7939" width="88.28515625" style="530" customWidth="1"/>
    <col min="7940" max="7940" width="13.42578125" style="530" customWidth="1"/>
    <col min="7941" max="7941" width="10" style="530" customWidth="1"/>
    <col min="7942" max="7942" width="12.42578125" style="530" customWidth="1"/>
    <col min="7943" max="7943" width="4.5703125" style="530" customWidth="1"/>
    <col min="7944" max="8192" width="9.140625" style="530"/>
    <col min="8193" max="8193" width="0.28515625" style="530" customWidth="1"/>
    <col min="8194" max="8194" width="8.140625" style="530" customWidth="1"/>
    <col min="8195" max="8195" width="88.28515625" style="530" customWidth="1"/>
    <col min="8196" max="8196" width="13.42578125" style="530" customWidth="1"/>
    <col min="8197" max="8197" width="10" style="530" customWidth="1"/>
    <col min="8198" max="8198" width="12.42578125" style="530" customWidth="1"/>
    <col min="8199" max="8199" width="4.5703125" style="530" customWidth="1"/>
    <col min="8200" max="8448" width="9.140625" style="530"/>
    <col min="8449" max="8449" width="0.28515625" style="530" customWidth="1"/>
    <col min="8450" max="8450" width="8.140625" style="530" customWidth="1"/>
    <col min="8451" max="8451" width="88.28515625" style="530" customWidth="1"/>
    <col min="8452" max="8452" width="13.42578125" style="530" customWidth="1"/>
    <col min="8453" max="8453" width="10" style="530" customWidth="1"/>
    <col min="8454" max="8454" width="12.42578125" style="530" customWidth="1"/>
    <col min="8455" max="8455" width="4.5703125" style="530" customWidth="1"/>
    <col min="8456" max="8704" width="9.140625" style="530"/>
    <col min="8705" max="8705" width="0.28515625" style="530" customWidth="1"/>
    <col min="8706" max="8706" width="8.140625" style="530" customWidth="1"/>
    <col min="8707" max="8707" width="88.28515625" style="530" customWidth="1"/>
    <col min="8708" max="8708" width="13.42578125" style="530" customWidth="1"/>
    <col min="8709" max="8709" width="10" style="530" customWidth="1"/>
    <col min="8710" max="8710" width="12.42578125" style="530" customWidth="1"/>
    <col min="8711" max="8711" width="4.5703125" style="530" customWidth="1"/>
    <col min="8712" max="8960" width="9.140625" style="530"/>
    <col min="8961" max="8961" width="0.28515625" style="530" customWidth="1"/>
    <col min="8962" max="8962" width="8.140625" style="530" customWidth="1"/>
    <col min="8963" max="8963" width="88.28515625" style="530" customWidth="1"/>
    <col min="8964" max="8964" width="13.42578125" style="530" customWidth="1"/>
    <col min="8965" max="8965" width="10" style="530" customWidth="1"/>
    <col min="8966" max="8966" width="12.42578125" style="530" customWidth="1"/>
    <col min="8967" max="8967" width="4.5703125" style="530" customWidth="1"/>
    <col min="8968" max="9216" width="9.140625" style="530"/>
    <col min="9217" max="9217" width="0.28515625" style="530" customWidth="1"/>
    <col min="9218" max="9218" width="8.140625" style="530" customWidth="1"/>
    <col min="9219" max="9219" width="88.28515625" style="530" customWidth="1"/>
    <col min="9220" max="9220" width="13.42578125" style="530" customWidth="1"/>
    <col min="9221" max="9221" width="10" style="530" customWidth="1"/>
    <col min="9222" max="9222" width="12.42578125" style="530" customWidth="1"/>
    <col min="9223" max="9223" width="4.5703125" style="530" customWidth="1"/>
    <col min="9224" max="9472" width="9.140625" style="530"/>
    <col min="9473" max="9473" width="0.28515625" style="530" customWidth="1"/>
    <col min="9474" max="9474" width="8.140625" style="530" customWidth="1"/>
    <col min="9475" max="9475" width="88.28515625" style="530" customWidth="1"/>
    <col min="9476" max="9476" width="13.42578125" style="530" customWidth="1"/>
    <col min="9477" max="9477" width="10" style="530" customWidth="1"/>
    <col min="9478" max="9478" width="12.42578125" style="530" customWidth="1"/>
    <col min="9479" max="9479" width="4.5703125" style="530" customWidth="1"/>
    <col min="9480" max="9728" width="9.140625" style="530"/>
    <col min="9729" max="9729" width="0.28515625" style="530" customWidth="1"/>
    <col min="9730" max="9730" width="8.140625" style="530" customWidth="1"/>
    <col min="9731" max="9731" width="88.28515625" style="530" customWidth="1"/>
    <col min="9732" max="9732" width="13.42578125" style="530" customWidth="1"/>
    <col min="9733" max="9733" width="10" style="530" customWidth="1"/>
    <col min="9734" max="9734" width="12.42578125" style="530" customWidth="1"/>
    <col min="9735" max="9735" width="4.5703125" style="530" customWidth="1"/>
    <col min="9736" max="9984" width="9.140625" style="530"/>
    <col min="9985" max="9985" width="0.28515625" style="530" customWidth="1"/>
    <col min="9986" max="9986" width="8.140625" style="530" customWidth="1"/>
    <col min="9987" max="9987" width="88.28515625" style="530" customWidth="1"/>
    <col min="9988" max="9988" width="13.42578125" style="530" customWidth="1"/>
    <col min="9989" max="9989" width="10" style="530" customWidth="1"/>
    <col min="9990" max="9990" width="12.42578125" style="530" customWidth="1"/>
    <col min="9991" max="9991" width="4.5703125" style="530" customWidth="1"/>
    <col min="9992" max="10240" width="9.140625" style="530"/>
    <col min="10241" max="10241" width="0.28515625" style="530" customWidth="1"/>
    <col min="10242" max="10242" width="8.140625" style="530" customWidth="1"/>
    <col min="10243" max="10243" width="88.28515625" style="530" customWidth="1"/>
    <col min="10244" max="10244" width="13.42578125" style="530" customWidth="1"/>
    <col min="10245" max="10245" width="10" style="530" customWidth="1"/>
    <col min="10246" max="10246" width="12.42578125" style="530" customWidth="1"/>
    <col min="10247" max="10247" width="4.5703125" style="530" customWidth="1"/>
    <col min="10248" max="10496" width="9.140625" style="530"/>
    <col min="10497" max="10497" width="0.28515625" style="530" customWidth="1"/>
    <col min="10498" max="10498" width="8.140625" style="530" customWidth="1"/>
    <col min="10499" max="10499" width="88.28515625" style="530" customWidth="1"/>
    <col min="10500" max="10500" width="13.42578125" style="530" customWidth="1"/>
    <col min="10501" max="10501" width="10" style="530" customWidth="1"/>
    <col min="10502" max="10502" width="12.42578125" style="530" customWidth="1"/>
    <col min="10503" max="10503" width="4.5703125" style="530" customWidth="1"/>
    <col min="10504" max="10752" width="9.140625" style="530"/>
    <col min="10753" max="10753" width="0.28515625" style="530" customWidth="1"/>
    <col min="10754" max="10754" width="8.140625" style="530" customWidth="1"/>
    <col min="10755" max="10755" width="88.28515625" style="530" customWidth="1"/>
    <col min="10756" max="10756" width="13.42578125" style="530" customWidth="1"/>
    <col min="10757" max="10757" width="10" style="530" customWidth="1"/>
    <col min="10758" max="10758" width="12.42578125" style="530" customWidth="1"/>
    <col min="10759" max="10759" width="4.5703125" style="530" customWidth="1"/>
    <col min="10760" max="11008" width="9.140625" style="530"/>
    <col min="11009" max="11009" width="0.28515625" style="530" customWidth="1"/>
    <col min="11010" max="11010" width="8.140625" style="530" customWidth="1"/>
    <col min="11011" max="11011" width="88.28515625" style="530" customWidth="1"/>
    <col min="11012" max="11012" width="13.42578125" style="530" customWidth="1"/>
    <col min="11013" max="11013" width="10" style="530" customWidth="1"/>
    <col min="11014" max="11014" width="12.42578125" style="530" customWidth="1"/>
    <col min="11015" max="11015" width="4.5703125" style="530" customWidth="1"/>
    <col min="11016" max="11264" width="9.140625" style="530"/>
    <col min="11265" max="11265" width="0.28515625" style="530" customWidth="1"/>
    <col min="11266" max="11266" width="8.140625" style="530" customWidth="1"/>
    <col min="11267" max="11267" width="88.28515625" style="530" customWidth="1"/>
    <col min="11268" max="11268" width="13.42578125" style="530" customWidth="1"/>
    <col min="11269" max="11269" width="10" style="530" customWidth="1"/>
    <col min="11270" max="11270" width="12.42578125" style="530" customWidth="1"/>
    <col min="11271" max="11271" width="4.5703125" style="530" customWidth="1"/>
    <col min="11272" max="11520" width="9.140625" style="530"/>
    <col min="11521" max="11521" width="0.28515625" style="530" customWidth="1"/>
    <col min="11522" max="11522" width="8.140625" style="530" customWidth="1"/>
    <col min="11523" max="11523" width="88.28515625" style="530" customWidth="1"/>
    <col min="11524" max="11524" width="13.42578125" style="530" customWidth="1"/>
    <col min="11525" max="11525" width="10" style="530" customWidth="1"/>
    <col min="11526" max="11526" width="12.42578125" style="530" customWidth="1"/>
    <col min="11527" max="11527" width="4.5703125" style="530" customWidth="1"/>
    <col min="11528" max="11776" width="9.140625" style="530"/>
    <col min="11777" max="11777" width="0.28515625" style="530" customWidth="1"/>
    <col min="11778" max="11778" width="8.140625" style="530" customWidth="1"/>
    <col min="11779" max="11779" width="88.28515625" style="530" customWidth="1"/>
    <col min="11780" max="11780" width="13.42578125" style="530" customWidth="1"/>
    <col min="11781" max="11781" width="10" style="530" customWidth="1"/>
    <col min="11782" max="11782" width="12.42578125" style="530" customWidth="1"/>
    <col min="11783" max="11783" width="4.5703125" style="530" customWidth="1"/>
    <col min="11784" max="12032" width="9.140625" style="530"/>
    <col min="12033" max="12033" width="0.28515625" style="530" customWidth="1"/>
    <col min="12034" max="12034" width="8.140625" style="530" customWidth="1"/>
    <col min="12035" max="12035" width="88.28515625" style="530" customWidth="1"/>
    <col min="12036" max="12036" width="13.42578125" style="530" customWidth="1"/>
    <col min="12037" max="12037" width="10" style="530" customWidth="1"/>
    <col min="12038" max="12038" width="12.42578125" style="530" customWidth="1"/>
    <col min="12039" max="12039" width="4.5703125" style="530" customWidth="1"/>
    <col min="12040" max="12288" width="9.140625" style="530"/>
    <col min="12289" max="12289" width="0.28515625" style="530" customWidth="1"/>
    <col min="12290" max="12290" width="8.140625" style="530" customWidth="1"/>
    <col min="12291" max="12291" width="88.28515625" style="530" customWidth="1"/>
    <col min="12292" max="12292" width="13.42578125" style="530" customWidth="1"/>
    <col min="12293" max="12293" width="10" style="530" customWidth="1"/>
    <col min="12294" max="12294" width="12.42578125" style="530" customWidth="1"/>
    <col min="12295" max="12295" width="4.5703125" style="530" customWidth="1"/>
    <col min="12296" max="12544" width="9.140625" style="530"/>
    <col min="12545" max="12545" width="0.28515625" style="530" customWidth="1"/>
    <col min="12546" max="12546" width="8.140625" style="530" customWidth="1"/>
    <col min="12547" max="12547" width="88.28515625" style="530" customWidth="1"/>
    <col min="12548" max="12548" width="13.42578125" style="530" customWidth="1"/>
    <col min="12549" max="12549" width="10" style="530" customWidth="1"/>
    <col min="12550" max="12550" width="12.42578125" style="530" customWidth="1"/>
    <col min="12551" max="12551" width="4.5703125" style="530" customWidth="1"/>
    <col min="12552" max="12800" width="9.140625" style="530"/>
    <col min="12801" max="12801" width="0.28515625" style="530" customWidth="1"/>
    <col min="12802" max="12802" width="8.140625" style="530" customWidth="1"/>
    <col min="12803" max="12803" width="88.28515625" style="530" customWidth="1"/>
    <col min="12804" max="12804" width="13.42578125" style="530" customWidth="1"/>
    <col min="12805" max="12805" width="10" style="530" customWidth="1"/>
    <col min="12806" max="12806" width="12.42578125" style="530" customWidth="1"/>
    <col min="12807" max="12807" width="4.5703125" style="530" customWidth="1"/>
    <col min="12808" max="13056" width="9.140625" style="530"/>
    <col min="13057" max="13057" width="0.28515625" style="530" customWidth="1"/>
    <col min="13058" max="13058" width="8.140625" style="530" customWidth="1"/>
    <col min="13059" max="13059" width="88.28515625" style="530" customWidth="1"/>
    <col min="13060" max="13060" width="13.42578125" style="530" customWidth="1"/>
    <col min="13061" max="13061" width="10" style="530" customWidth="1"/>
    <col min="13062" max="13062" width="12.42578125" style="530" customWidth="1"/>
    <col min="13063" max="13063" width="4.5703125" style="530" customWidth="1"/>
    <col min="13064" max="13312" width="9.140625" style="530"/>
    <col min="13313" max="13313" width="0.28515625" style="530" customWidth="1"/>
    <col min="13314" max="13314" width="8.140625" style="530" customWidth="1"/>
    <col min="13315" max="13315" width="88.28515625" style="530" customWidth="1"/>
    <col min="13316" max="13316" width="13.42578125" style="530" customWidth="1"/>
    <col min="13317" max="13317" width="10" style="530" customWidth="1"/>
    <col min="13318" max="13318" width="12.42578125" style="530" customWidth="1"/>
    <col min="13319" max="13319" width="4.5703125" style="530" customWidth="1"/>
    <col min="13320" max="13568" width="9.140625" style="530"/>
    <col min="13569" max="13569" width="0.28515625" style="530" customWidth="1"/>
    <col min="13570" max="13570" width="8.140625" style="530" customWidth="1"/>
    <col min="13571" max="13571" width="88.28515625" style="530" customWidth="1"/>
    <col min="13572" max="13572" width="13.42578125" style="530" customWidth="1"/>
    <col min="13573" max="13573" width="10" style="530" customWidth="1"/>
    <col min="13574" max="13574" width="12.42578125" style="530" customWidth="1"/>
    <col min="13575" max="13575" width="4.5703125" style="530" customWidth="1"/>
    <col min="13576" max="13824" width="9.140625" style="530"/>
    <col min="13825" max="13825" width="0.28515625" style="530" customWidth="1"/>
    <col min="13826" max="13826" width="8.140625" style="530" customWidth="1"/>
    <col min="13827" max="13827" width="88.28515625" style="530" customWidth="1"/>
    <col min="13828" max="13828" width="13.42578125" style="530" customWidth="1"/>
    <col min="13829" max="13829" width="10" style="530" customWidth="1"/>
    <col min="13830" max="13830" width="12.42578125" style="530" customWidth="1"/>
    <col min="13831" max="13831" width="4.5703125" style="530" customWidth="1"/>
    <col min="13832" max="14080" width="9.140625" style="530"/>
    <col min="14081" max="14081" width="0.28515625" style="530" customWidth="1"/>
    <col min="14082" max="14082" width="8.140625" style="530" customWidth="1"/>
    <col min="14083" max="14083" width="88.28515625" style="530" customWidth="1"/>
    <col min="14084" max="14084" width="13.42578125" style="530" customWidth="1"/>
    <col min="14085" max="14085" width="10" style="530" customWidth="1"/>
    <col min="14086" max="14086" width="12.42578125" style="530" customWidth="1"/>
    <col min="14087" max="14087" width="4.5703125" style="530" customWidth="1"/>
    <col min="14088" max="14336" width="9.140625" style="530"/>
    <col min="14337" max="14337" width="0.28515625" style="530" customWidth="1"/>
    <col min="14338" max="14338" width="8.140625" style="530" customWidth="1"/>
    <col min="14339" max="14339" width="88.28515625" style="530" customWidth="1"/>
    <col min="14340" max="14340" width="13.42578125" style="530" customWidth="1"/>
    <col min="14341" max="14341" width="10" style="530" customWidth="1"/>
    <col min="14342" max="14342" width="12.42578125" style="530" customWidth="1"/>
    <col min="14343" max="14343" width="4.5703125" style="530" customWidth="1"/>
    <col min="14344" max="14592" width="9.140625" style="530"/>
    <col min="14593" max="14593" width="0.28515625" style="530" customWidth="1"/>
    <col min="14594" max="14594" width="8.140625" style="530" customWidth="1"/>
    <col min="14595" max="14595" width="88.28515625" style="530" customWidth="1"/>
    <col min="14596" max="14596" width="13.42578125" style="530" customWidth="1"/>
    <col min="14597" max="14597" width="10" style="530" customWidth="1"/>
    <col min="14598" max="14598" width="12.42578125" style="530" customWidth="1"/>
    <col min="14599" max="14599" width="4.5703125" style="530" customWidth="1"/>
    <col min="14600" max="14848" width="9.140625" style="530"/>
    <col min="14849" max="14849" width="0.28515625" style="530" customWidth="1"/>
    <col min="14850" max="14850" width="8.140625" style="530" customWidth="1"/>
    <col min="14851" max="14851" width="88.28515625" style="530" customWidth="1"/>
    <col min="14852" max="14852" width="13.42578125" style="530" customWidth="1"/>
    <col min="14853" max="14853" width="10" style="530" customWidth="1"/>
    <col min="14854" max="14854" width="12.42578125" style="530" customWidth="1"/>
    <col min="14855" max="14855" width="4.5703125" style="530" customWidth="1"/>
    <col min="14856" max="15104" width="9.140625" style="530"/>
    <col min="15105" max="15105" width="0.28515625" style="530" customWidth="1"/>
    <col min="15106" max="15106" width="8.140625" style="530" customWidth="1"/>
    <col min="15107" max="15107" width="88.28515625" style="530" customWidth="1"/>
    <col min="15108" max="15108" width="13.42578125" style="530" customWidth="1"/>
    <col min="15109" max="15109" width="10" style="530" customWidth="1"/>
    <col min="15110" max="15110" width="12.42578125" style="530" customWidth="1"/>
    <col min="15111" max="15111" width="4.5703125" style="530" customWidth="1"/>
    <col min="15112" max="15360" width="9.140625" style="530"/>
    <col min="15361" max="15361" width="0.28515625" style="530" customWidth="1"/>
    <col min="15362" max="15362" width="8.140625" style="530" customWidth="1"/>
    <col min="15363" max="15363" width="88.28515625" style="530" customWidth="1"/>
    <col min="15364" max="15364" width="13.42578125" style="530" customWidth="1"/>
    <col min="15365" max="15365" width="10" style="530" customWidth="1"/>
    <col min="15366" max="15366" width="12.42578125" style="530" customWidth="1"/>
    <col min="15367" max="15367" width="4.5703125" style="530" customWidth="1"/>
    <col min="15368" max="15616" width="9.140625" style="530"/>
    <col min="15617" max="15617" width="0.28515625" style="530" customWidth="1"/>
    <col min="15618" max="15618" width="8.140625" style="530" customWidth="1"/>
    <col min="15619" max="15619" width="88.28515625" style="530" customWidth="1"/>
    <col min="15620" max="15620" width="13.42578125" style="530" customWidth="1"/>
    <col min="15621" max="15621" width="10" style="530" customWidth="1"/>
    <col min="15622" max="15622" width="12.42578125" style="530" customWidth="1"/>
    <col min="15623" max="15623" width="4.5703125" style="530" customWidth="1"/>
    <col min="15624" max="15872" width="9.140625" style="530"/>
    <col min="15873" max="15873" width="0.28515625" style="530" customWidth="1"/>
    <col min="15874" max="15874" width="8.140625" style="530" customWidth="1"/>
    <col min="15875" max="15875" width="88.28515625" style="530" customWidth="1"/>
    <col min="15876" max="15876" width="13.42578125" style="530" customWidth="1"/>
    <col min="15877" max="15877" width="10" style="530" customWidth="1"/>
    <col min="15878" max="15878" width="12.42578125" style="530" customWidth="1"/>
    <col min="15879" max="15879" width="4.5703125" style="530" customWidth="1"/>
    <col min="15880" max="16128" width="9.140625" style="530"/>
    <col min="16129" max="16129" width="0.28515625" style="530" customWidth="1"/>
    <col min="16130" max="16130" width="8.140625" style="530" customWidth="1"/>
    <col min="16131" max="16131" width="88.28515625" style="530" customWidth="1"/>
    <col min="16132" max="16132" width="13.42578125" style="530" customWidth="1"/>
    <col min="16133" max="16133" width="10" style="530" customWidth="1"/>
    <col min="16134" max="16134" width="12.42578125" style="530" customWidth="1"/>
    <col min="16135" max="16135" width="4.5703125" style="530" customWidth="1"/>
    <col min="16136" max="16384" width="9.140625" style="530"/>
  </cols>
  <sheetData>
    <row r="1" spans="2:8" x14ac:dyDescent="0.2">
      <c r="F1" s="531" t="s">
        <v>287</v>
      </c>
    </row>
    <row r="2" spans="2:8" x14ac:dyDescent="0.2">
      <c r="F2" s="532" t="str">
        <f>'1.Bev-kiad.'!L2</f>
        <v>a 9/2026.(V.29.) önkormányzati rendelethez</v>
      </c>
    </row>
    <row r="3" spans="2:8" ht="19.5" x14ac:dyDescent="0.35">
      <c r="B3" s="694" t="s">
        <v>22</v>
      </c>
      <c r="C3" s="695"/>
      <c r="D3" s="695"/>
      <c r="E3" s="695"/>
      <c r="F3" s="695"/>
      <c r="G3"/>
      <c r="H3"/>
    </row>
    <row r="4" spans="2:8" ht="19.5" x14ac:dyDescent="0.35">
      <c r="B4" s="694" t="s">
        <v>965</v>
      </c>
      <c r="C4" s="695"/>
      <c r="D4" s="695"/>
      <c r="E4" s="695"/>
      <c r="F4" s="695"/>
      <c r="G4"/>
      <c r="H4"/>
    </row>
    <row r="5" spans="2:8" x14ac:dyDescent="0.2">
      <c r="F5" s="531" t="s">
        <v>857</v>
      </c>
    </row>
    <row r="6" spans="2:8" s="536" customFormat="1" ht="31.5" x14ac:dyDescent="0.2">
      <c r="B6" s="559"/>
      <c r="C6" s="560" t="s">
        <v>63</v>
      </c>
      <c r="D6" s="561" t="s">
        <v>858</v>
      </c>
      <c r="E6" s="561" t="s">
        <v>859</v>
      </c>
      <c r="F6" s="561" t="s">
        <v>860</v>
      </c>
    </row>
    <row r="7" spans="2:8" ht="12.75" hidden="1" customHeight="1" x14ac:dyDescent="0.2">
      <c r="B7" s="562" t="s">
        <v>826</v>
      </c>
      <c r="C7" s="543" t="s">
        <v>861</v>
      </c>
      <c r="D7" s="544">
        <v>0</v>
      </c>
      <c r="E7" s="544">
        <v>0</v>
      </c>
      <c r="F7" s="544">
        <v>0</v>
      </c>
    </row>
    <row r="8" spans="2:8" ht="12.75" hidden="1" customHeight="1" x14ac:dyDescent="0.2">
      <c r="B8" s="562" t="s">
        <v>828</v>
      </c>
      <c r="C8" s="543" t="s">
        <v>862</v>
      </c>
      <c r="D8" s="544">
        <v>13</v>
      </c>
      <c r="E8" s="544">
        <v>0</v>
      </c>
      <c r="F8" s="544">
        <v>13</v>
      </c>
    </row>
    <row r="9" spans="2:8" s="564" customFormat="1" ht="13.5" x14ac:dyDescent="0.25">
      <c r="B9" s="563" t="s">
        <v>826</v>
      </c>
      <c r="C9" s="543" t="s">
        <v>863</v>
      </c>
      <c r="D9" s="544">
        <v>0</v>
      </c>
      <c r="E9" s="544">
        <f>E7+E8</f>
        <v>0</v>
      </c>
      <c r="F9" s="544">
        <f>D9</f>
        <v>0</v>
      </c>
    </row>
    <row r="10" spans="2:8" ht="12.75" hidden="1" customHeight="1" x14ac:dyDescent="0.2">
      <c r="B10" s="563" t="s">
        <v>834</v>
      </c>
      <c r="C10" s="543" t="s">
        <v>864</v>
      </c>
      <c r="D10" s="544">
        <v>6004102</v>
      </c>
      <c r="E10" s="544">
        <v>0</v>
      </c>
      <c r="F10" s="544">
        <f t="shared" ref="F10:F73" si="0">D10</f>
        <v>6004102</v>
      </c>
    </row>
    <row r="11" spans="2:8" ht="12.75" hidden="1" customHeight="1" x14ac:dyDescent="0.2">
      <c r="B11" s="562" t="s">
        <v>836</v>
      </c>
      <c r="C11" s="543" t="s">
        <v>865</v>
      </c>
      <c r="D11" s="544">
        <v>81011</v>
      </c>
      <c r="E11" s="544">
        <v>0</v>
      </c>
      <c r="F11" s="544">
        <f t="shared" si="0"/>
        <v>81011</v>
      </c>
    </row>
    <row r="12" spans="2:8" ht="12" hidden="1" customHeight="1" x14ac:dyDescent="0.2">
      <c r="B12" s="562" t="s">
        <v>866</v>
      </c>
      <c r="C12" s="543" t="s">
        <v>867</v>
      </c>
      <c r="D12" s="544">
        <v>679326</v>
      </c>
      <c r="E12" s="544">
        <v>0</v>
      </c>
      <c r="F12" s="544">
        <f t="shared" si="0"/>
        <v>679326</v>
      </c>
    </row>
    <row r="13" spans="2:8" s="564" customFormat="1" ht="13.5" x14ac:dyDescent="0.25">
      <c r="B13" s="563" t="s">
        <v>828</v>
      </c>
      <c r="C13" s="543" t="s">
        <v>868</v>
      </c>
      <c r="D13" s="544">
        <v>7826679</v>
      </c>
      <c r="E13" s="544">
        <f t="shared" ref="E13" si="1">SUM(E10:E12)</f>
        <v>0</v>
      </c>
      <c r="F13" s="544">
        <f t="shared" si="0"/>
        <v>7826679</v>
      </c>
    </row>
    <row r="14" spans="2:8" s="564" customFormat="1" ht="13.5" hidden="1" customHeight="1" x14ac:dyDescent="0.25">
      <c r="B14" s="563" t="s">
        <v>869</v>
      </c>
      <c r="C14" s="543" t="s">
        <v>870</v>
      </c>
      <c r="D14" s="544">
        <f>SUM(D16)</f>
        <v>149946</v>
      </c>
      <c r="E14" s="544">
        <f>SUM(E16)</f>
        <v>0</v>
      </c>
      <c r="F14" s="544">
        <f t="shared" si="0"/>
        <v>149946</v>
      </c>
    </row>
    <row r="15" spans="2:8" ht="12.75" hidden="1" customHeight="1" x14ac:dyDescent="0.2">
      <c r="B15" s="562" t="s">
        <v>871</v>
      </c>
      <c r="C15" s="543" t="s">
        <v>872</v>
      </c>
      <c r="D15" s="544">
        <v>0</v>
      </c>
      <c r="E15" s="544">
        <v>0</v>
      </c>
      <c r="F15" s="544">
        <f t="shared" si="0"/>
        <v>0</v>
      </c>
    </row>
    <row r="16" spans="2:8" ht="12.75" hidden="1" customHeight="1" x14ac:dyDescent="0.2">
      <c r="B16" s="562" t="s">
        <v>873</v>
      </c>
      <c r="C16" s="543" t="s">
        <v>874</v>
      </c>
      <c r="D16" s="544">
        <v>149946</v>
      </c>
      <c r="E16" s="544">
        <v>0</v>
      </c>
      <c r="F16" s="544">
        <f t="shared" si="0"/>
        <v>149946</v>
      </c>
    </row>
    <row r="17" spans="2:6" ht="12.75" hidden="1" customHeight="1" x14ac:dyDescent="0.2">
      <c r="B17" s="562">
        <v>18</v>
      </c>
      <c r="C17" s="543" t="s">
        <v>875</v>
      </c>
      <c r="D17" s="544">
        <v>0</v>
      </c>
      <c r="E17" s="544">
        <v>0</v>
      </c>
      <c r="F17" s="544">
        <f t="shared" si="0"/>
        <v>0</v>
      </c>
    </row>
    <row r="18" spans="2:6" s="564" customFormat="1" ht="13.5" x14ac:dyDescent="0.25">
      <c r="B18" s="563" t="s">
        <v>830</v>
      </c>
      <c r="C18" s="543" t="s">
        <v>876</v>
      </c>
      <c r="D18" s="544">
        <f>D14</f>
        <v>149946</v>
      </c>
      <c r="E18" s="544">
        <f t="shared" ref="E18" si="2">E14</f>
        <v>0</v>
      </c>
      <c r="F18" s="544">
        <f t="shared" si="0"/>
        <v>149946</v>
      </c>
    </row>
    <row r="19" spans="2:6" x14ac:dyDescent="0.2">
      <c r="B19" s="565" t="s">
        <v>834</v>
      </c>
      <c r="C19" s="547" t="s">
        <v>877</v>
      </c>
      <c r="D19" s="548">
        <f>D9+D13+D18</f>
        <v>7976625</v>
      </c>
      <c r="E19" s="548">
        <f t="shared" ref="E19" si="3">E9+E13+E18</f>
        <v>0</v>
      </c>
      <c r="F19" s="548">
        <f t="shared" si="0"/>
        <v>7976625</v>
      </c>
    </row>
    <row r="20" spans="2:6" hidden="1" x14ac:dyDescent="0.2">
      <c r="B20" s="565">
        <v>30</v>
      </c>
      <c r="C20" s="543" t="s">
        <v>878</v>
      </c>
      <c r="D20" s="544">
        <v>1093</v>
      </c>
      <c r="E20" s="544">
        <v>0</v>
      </c>
      <c r="F20" s="544">
        <f t="shared" si="0"/>
        <v>1093</v>
      </c>
    </row>
    <row r="21" spans="2:6" s="566" customFormat="1" x14ac:dyDescent="0.2">
      <c r="B21" s="563" t="s">
        <v>836</v>
      </c>
      <c r="C21" s="543" t="s">
        <v>879</v>
      </c>
      <c r="D21" s="544">
        <f t="shared" ref="D21:E21" si="4">D20</f>
        <v>1093</v>
      </c>
      <c r="E21" s="544">
        <f t="shared" si="4"/>
        <v>0</v>
      </c>
      <c r="F21" s="544">
        <f t="shared" si="0"/>
        <v>1093</v>
      </c>
    </row>
    <row r="22" spans="2:6" ht="12.75" hidden="1" customHeight="1" x14ac:dyDescent="0.2">
      <c r="B22" s="565">
        <v>39</v>
      </c>
      <c r="C22" s="543" t="s">
        <v>880</v>
      </c>
      <c r="D22" s="544">
        <f>D23</f>
        <v>160</v>
      </c>
      <c r="E22" s="544">
        <v>0</v>
      </c>
      <c r="F22" s="544">
        <f t="shared" si="0"/>
        <v>160</v>
      </c>
    </row>
    <row r="23" spans="2:6" hidden="1" x14ac:dyDescent="0.2">
      <c r="B23" s="565">
        <v>40</v>
      </c>
      <c r="C23" s="543" t="s">
        <v>881</v>
      </c>
      <c r="D23" s="544">
        <v>160</v>
      </c>
      <c r="E23" s="544">
        <v>0</v>
      </c>
      <c r="F23" s="544">
        <f t="shared" si="0"/>
        <v>160</v>
      </c>
    </row>
    <row r="24" spans="2:6" s="566" customFormat="1" x14ac:dyDescent="0.2">
      <c r="B24" s="563" t="s">
        <v>838</v>
      </c>
      <c r="C24" s="543" t="s">
        <v>882</v>
      </c>
      <c r="D24" s="544">
        <f>D22</f>
        <v>160</v>
      </c>
      <c r="E24" s="544">
        <f>E22</f>
        <v>0</v>
      </c>
      <c r="F24" s="544">
        <f t="shared" si="0"/>
        <v>160</v>
      </c>
    </row>
    <row r="25" spans="2:6" ht="12.75" customHeight="1" x14ac:dyDescent="0.2">
      <c r="B25" s="565" t="s">
        <v>866</v>
      </c>
      <c r="C25" s="547" t="s">
        <v>883</v>
      </c>
      <c r="D25" s="548">
        <f>D24+D21</f>
        <v>1253</v>
      </c>
      <c r="E25" s="548">
        <f>E24</f>
        <v>0</v>
      </c>
      <c r="F25" s="548">
        <f t="shared" si="0"/>
        <v>1253</v>
      </c>
    </row>
    <row r="26" spans="2:6" ht="12.75" hidden="1" customHeight="1" x14ac:dyDescent="0.2">
      <c r="B26" s="565">
        <v>47</v>
      </c>
      <c r="C26" s="543" t="s">
        <v>884</v>
      </c>
      <c r="D26" s="544">
        <v>0</v>
      </c>
      <c r="E26" s="544">
        <v>0</v>
      </c>
      <c r="F26" s="544">
        <f t="shared" si="0"/>
        <v>0</v>
      </c>
    </row>
    <row r="27" spans="2:6" ht="12.75" hidden="1" customHeight="1" x14ac:dyDescent="0.2">
      <c r="B27" s="565">
        <v>48</v>
      </c>
      <c r="C27" s="547" t="s">
        <v>885</v>
      </c>
      <c r="D27" s="548">
        <f>D26</f>
        <v>0</v>
      </c>
      <c r="E27" s="548">
        <f>E26</f>
        <v>0</v>
      </c>
      <c r="F27" s="548">
        <f t="shared" si="0"/>
        <v>0</v>
      </c>
    </row>
    <row r="28" spans="2:6" hidden="1" x14ac:dyDescent="0.2">
      <c r="B28" s="565">
        <v>49</v>
      </c>
      <c r="C28" s="543" t="s">
        <v>886</v>
      </c>
      <c r="D28" s="544">
        <v>333</v>
      </c>
      <c r="E28" s="544">
        <v>0</v>
      </c>
      <c r="F28" s="544">
        <f t="shared" si="0"/>
        <v>333</v>
      </c>
    </row>
    <row r="29" spans="2:6" s="566" customFormat="1" x14ac:dyDescent="0.2">
      <c r="B29" s="563" t="s">
        <v>887</v>
      </c>
      <c r="C29" s="543" t="s">
        <v>888</v>
      </c>
      <c r="D29" s="544">
        <v>397</v>
      </c>
      <c r="E29" s="544">
        <f>E28</f>
        <v>0</v>
      </c>
      <c r="F29" s="544">
        <f t="shared" si="0"/>
        <v>397</v>
      </c>
    </row>
    <row r="30" spans="2:6" ht="12.75" hidden="1" customHeight="1" x14ac:dyDescent="0.2">
      <c r="B30" s="565">
        <v>53</v>
      </c>
      <c r="C30" s="543" t="s">
        <v>889</v>
      </c>
      <c r="D30" s="544">
        <v>237653</v>
      </c>
      <c r="E30" s="544">
        <v>0</v>
      </c>
      <c r="F30" s="544">
        <f t="shared" si="0"/>
        <v>237653</v>
      </c>
    </row>
    <row r="31" spans="2:6" hidden="1" x14ac:dyDescent="0.2">
      <c r="B31" s="565">
        <v>54</v>
      </c>
      <c r="C31" s="543" t="s">
        <v>890</v>
      </c>
      <c r="D31" s="544">
        <v>536363</v>
      </c>
      <c r="E31" s="544">
        <v>0</v>
      </c>
      <c r="F31" s="544">
        <f t="shared" si="0"/>
        <v>536363</v>
      </c>
    </row>
    <row r="32" spans="2:6" s="566" customFormat="1" ht="13.5" customHeight="1" x14ac:dyDescent="0.2">
      <c r="B32" s="563" t="s">
        <v>869</v>
      </c>
      <c r="C32" s="543" t="s">
        <v>891</v>
      </c>
      <c r="D32" s="544">
        <v>590276</v>
      </c>
      <c r="E32" s="544">
        <f t="shared" ref="E32" si="5">SUM(E30:E31)</f>
        <v>0</v>
      </c>
      <c r="F32" s="544">
        <f t="shared" si="0"/>
        <v>590276</v>
      </c>
    </row>
    <row r="33" spans="2:6" ht="12.75" customHeight="1" x14ac:dyDescent="0.2">
      <c r="B33" s="565" t="s">
        <v>892</v>
      </c>
      <c r="C33" s="547" t="s">
        <v>893</v>
      </c>
      <c r="D33" s="548">
        <f>D29+D32+D27</f>
        <v>590673</v>
      </c>
      <c r="E33" s="548">
        <f t="shared" ref="E33" si="6">E29+E32+E27</f>
        <v>0</v>
      </c>
      <c r="F33" s="548">
        <f t="shared" si="0"/>
        <v>590673</v>
      </c>
    </row>
    <row r="34" spans="2:6" ht="27" hidden="1" customHeight="1" x14ac:dyDescent="0.2">
      <c r="B34" s="565">
        <v>60</v>
      </c>
      <c r="C34" s="543" t="s">
        <v>894</v>
      </c>
      <c r="D34" s="551">
        <v>7013</v>
      </c>
      <c r="E34" s="551"/>
      <c r="F34" s="551">
        <f t="shared" si="0"/>
        <v>7013</v>
      </c>
    </row>
    <row r="35" spans="2:6" s="564" customFormat="1" ht="13.5" hidden="1" customHeight="1" x14ac:dyDescent="0.25">
      <c r="B35" s="565">
        <v>64</v>
      </c>
      <c r="C35" s="547" t="s">
        <v>895</v>
      </c>
      <c r="D35" s="548">
        <f>SUM(D36:D38)</f>
        <v>21019</v>
      </c>
      <c r="E35" s="548">
        <f>SUM(E36:E38)</f>
        <v>0</v>
      </c>
      <c r="F35" s="548">
        <f t="shared" si="0"/>
        <v>21019</v>
      </c>
    </row>
    <row r="36" spans="2:6" ht="12.75" hidden="1" customHeight="1" x14ac:dyDescent="0.2">
      <c r="B36" s="565">
        <v>68</v>
      </c>
      <c r="C36" s="543" t="s">
        <v>896</v>
      </c>
      <c r="D36" s="544">
        <v>10845</v>
      </c>
      <c r="E36" s="544">
        <v>0</v>
      </c>
      <c r="F36" s="544">
        <f t="shared" si="0"/>
        <v>10845</v>
      </c>
    </row>
    <row r="37" spans="2:6" ht="12.75" hidden="1" customHeight="1" x14ac:dyDescent="0.2">
      <c r="B37" s="565">
        <v>69</v>
      </c>
      <c r="C37" s="543" t="s">
        <v>897</v>
      </c>
      <c r="D37" s="544">
        <v>8157</v>
      </c>
      <c r="E37" s="544">
        <v>0</v>
      </c>
      <c r="F37" s="544">
        <f t="shared" si="0"/>
        <v>8157</v>
      </c>
    </row>
    <row r="38" spans="2:6" ht="12.75" hidden="1" customHeight="1" x14ac:dyDescent="0.2">
      <c r="B38" s="565">
        <v>70</v>
      </c>
      <c r="C38" s="543" t="s">
        <v>898</v>
      </c>
      <c r="D38" s="544">
        <v>2017</v>
      </c>
      <c r="E38" s="544">
        <v>0</v>
      </c>
      <c r="F38" s="544">
        <f t="shared" si="0"/>
        <v>2017</v>
      </c>
    </row>
    <row r="39" spans="2:6" s="564" customFormat="1" ht="13.5" hidden="1" customHeight="1" x14ac:dyDescent="0.25">
      <c r="B39" s="565">
        <v>71</v>
      </c>
      <c r="C39" s="547" t="s">
        <v>899</v>
      </c>
      <c r="D39" s="548">
        <f>D40+D41+D42+D43+D44</f>
        <v>7135</v>
      </c>
      <c r="E39" s="548">
        <f t="shared" ref="E39" si="7">E40+E41+E42+E43+E44</f>
        <v>0</v>
      </c>
      <c r="F39" s="548">
        <f t="shared" si="0"/>
        <v>7135</v>
      </c>
    </row>
    <row r="40" spans="2:6" ht="25.5" hidden="1" customHeight="1" x14ac:dyDescent="0.2">
      <c r="B40" s="565">
        <v>72</v>
      </c>
      <c r="C40" s="543" t="s">
        <v>900</v>
      </c>
      <c r="D40" s="551">
        <v>0</v>
      </c>
      <c r="E40" s="551">
        <v>0</v>
      </c>
      <c r="F40" s="551">
        <f t="shared" si="0"/>
        <v>0</v>
      </c>
    </row>
    <row r="41" spans="2:6" ht="12.75" hidden="1" customHeight="1" x14ac:dyDescent="0.2">
      <c r="B41" s="565">
        <v>73</v>
      </c>
      <c r="C41" s="543" t="s">
        <v>901</v>
      </c>
      <c r="D41" s="551">
        <v>7120</v>
      </c>
      <c r="E41" s="551">
        <v>0</v>
      </c>
      <c r="F41" s="551">
        <f t="shared" si="0"/>
        <v>7120</v>
      </c>
    </row>
    <row r="42" spans="2:6" ht="12.75" hidden="1" customHeight="1" x14ac:dyDescent="0.2">
      <c r="B42" s="565">
        <v>74</v>
      </c>
      <c r="C42" s="543" t="s">
        <v>902</v>
      </c>
      <c r="D42" s="551">
        <v>8</v>
      </c>
      <c r="E42" s="551">
        <v>0</v>
      </c>
      <c r="F42" s="551">
        <f t="shared" si="0"/>
        <v>8</v>
      </c>
    </row>
    <row r="43" spans="2:6" ht="12.75" hidden="1" customHeight="1" x14ac:dyDescent="0.2">
      <c r="B43" s="565">
        <v>75</v>
      </c>
      <c r="C43" s="543" t="s">
        <v>903</v>
      </c>
      <c r="D43" s="544">
        <v>2</v>
      </c>
      <c r="E43" s="544">
        <v>0</v>
      </c>
      <c r="F43" s="544">
        <f t="shared" si="0"/>
        <v>2</v>
      </c>
    </row>
    <row r="44" spans="2:6" hidden="1" x14ac:dyDescent="0.2">
      <c r="B44" s="565">
        <v>80</v>
      </c>
      <c r="C44" s="543" t="s">
        <v>904</v>
      </c>
      <c r="D44" s="544">
        <v>5</v>
      </c>
      <c r="E44" s="544">
        <v>0</v>
      </c>
      <c r="F44" s="544">
        <f t="shared" si="0"/>
        <v>5</v>
      </c>
    </row>
    <row r="45" spans="2:6" s="564" customFormat="1" ht="13.5" hidden="1" customHeight="1" x14ac:dyDescent="0.25">
      <c r="B45" s="565">
        <v>81</v>
      </c>
      <c r="C45" s="547" t="s">
        <v>905</v>
      </c>
      <c r="D45" s="548">
        <f>SUM(D46)</f>
        <v>90</v>
      </c>
      <c r="E45" s="548">
        <f>SUM(E46)</f>
        <v>0</v>
      </c>
      <c r="F45" s="548">
        <f t="shared" si="0"/>
        <v>90</v>
      </c>
    </row>
    <row r="46" spans="2:6" hidden="1" x14ac:dyDescent="0.2">
      <c r="B46" s="565">
        <v>83</v>
      </c>
      <c r="C46" s="543" t="s">
        <v>906</v>
      </c>
      <c r="D46" s="544">
        <v>90</v>
      </c>
      <c r="E46" s="544">
        <v>0</v>
      </c>
      <c r="F46" s="544">
        <f t="shared" si="0"/>
        <v>90</v>
      </c>
    </row>
    <row r="47" spans="2:6" ht="25.5" hidden="1" x14ac:dyDescent="0.2">
      <c r="B47" s="565">
        <v>87</v>
      </c>
      <c r="C47" s="543" t="s">
        <v>907</v>
      </c>
      <c r="D47" s="551">
        <v>0</v>
      </c>
      <c r="E47" s="551">
        <v>0</v>
      </c>
      <c r="F47" s="551">
        <f t="shared" si="0"/>
        <v>0</v>
      </c>
    </row>
    <row r="48" spans="2:6" ht="25.5" hidden="1" x14ac:dyDescent="0.2">
      <c r="B48" s="565">
        <v>94</v>
      </c>
      <c r="C48" s="543" t="s">
        <v>908</v>
      </c>
      <c r="D48" s="551">
        <v>0</v>
      </c>
      <c r="E48" s="551">
        <v>0</v>
      </c>
      <c r="F48" s="551">
        <f t="shared" si="0"/>
        <v>0</v>
      </c>
    </row>
    <row r="49" spans="2:6" s="566" customFormat="1" x14ac:dyDescent="0.2">
      <c r="B49" s="563" t="s">
        <v>871</v>
      </c>
      <c r="C49" s="543" t="s">
        <v>909</v>
      </c>
      <c r="D49" s="544">
        <v>69578</v>
      </c>
      <c r="E49" s="544">
        <f t="shared" ref="E49" si="8">E34+E35+E39+E45</f>
        <v>0</v>
      </c>
      <c r="F49" s="544">
        <f t="shared" si="0"/>
        <v>69578</v>
      </c>
    </row>
    <row r="50" spans="2:6" s="569" customFormat="1" ht="13.5" hidden="1" customHeight="1" x14ac:dyDescent="0.2">
      <c r="B50" s="565">
        <v>108</v>
      </c>
      <c r="C50" s="567" t="s">
        <v>910</v>
      </c>
      <c r="D50" s="568">
        <f>SUM(D51:D53)</f>
        <v>47147</v>
      </c>
      <c r="E50" s="568">
        <f t="shared" ref="E50" si="9">SUM(E51:E53)</f>
        <v>0</v>
      </c>
      <c r="F50" s="568">
        <f t="shared" si="0"/>
        <v>47147</v>
      </c>
    </row>
    <row r="51" spans="2:6" ht="12.75" hidden="1" customHeight="1" x14ac:dyDescent="0.2">
      <c r="B51" s="565">
        <v>112</v>
      </c>
      <c r="C51" s="543" t="s">
        <v>911</v>
      </c>
      <c r="D51" s="544">
        <v>250</v>
      </c>
      <c r="E51" s="544">
        <v>0</v>
      </c>
      <c r="F51" s="544">
        <f t="shared" si="0"/>
        <v>250</v>
      </c>
    </row>
    <row r="52" spans="2:6" ht="12.75" hidden="1" customHeight="1" x14ac:dyDescent="0.2">
      <c r="B52" s="565">
        <v>113</v>
      </c>
      <c r="C52" s="543" t="s">
        <v>912</v>
      </c>
      <c r="D52" s="544">
        <v>46847</v>
      </c>
      <c r="E52" s="544">
        <v>0</v>
      </c>
      <c r="F52" s="544">
        <f t="shared" si="0"/>
        <v>46847</v>
      </c>
    </row>
    <row r="53" spans="2:6" ht="12.75" hidden="1" customHeight="1" x14ac:dyDescent="0.2">
      <c r="B53" s="565">
        <v>114</v>
      </c>
      <c r="C53" s="543" t="s">
        <v>913</v>
      </c>
      <c r="D53" s="544">
        <v>50</v>
      </c>
      <c r="E53" s="544">
        <v>0</v>
      </c>
      <c r="F53" s="544">
        <f t="shared" si="0"/>
        <v>50</v>
      </c>
    </row>
    <row r="54" spans="2:6" s="569" customFormat="1" ht="25.5" hidden="1" x14ac:dyDescent="0.2">
      <c r="B54" s="565">
        <v>125</v>
      </c>
      <c r="C54" s="570" t="s">
        <v>914</v>
      </c>
      <c r="D54" s="568">
        <f>D55</f>
        <v>305</v>
      </c>
      <c r="E54" s="568">
        <f>E55</f>
        <v>0</v>
      </c>
      <c r="F54" s="568">
        <f t="shared" si="0"/>
        <v>305</v>
      </c>
    </row>
    <row r="55" spans="2:6" hidden="1" x14ac:dyDescent="0.2">
      <c r="B55" s="565">
        <v>127</v>
      </c>
      <c r="C55" s="543" t="s">
        <v>915</v>
      </c>
      <c r="D55" s="544">
        <v>305</v>
      </c>
      <c r="E55" s="544">
        <v>0</v>
      </c>
      <c r="F55" s="544">
        <f t="shared" si="0"/>
        <v>305</v>
      </c>
    </row>
    <row r="56" spans="2:6" s="572" customFormat="1" ht="25.5" hidden="1" customHeight="1" x14ac:dyDescent="0.2">
      <c r="B56" s="565">
        <v>135</v>
      </c>
      <c r="C56" s="571" t="s">
        <v>916</v>
      </c>
      <c r="D56" s="551">
        <f>D57</f>
        <v>61119</v>
      </c>
      <c r="E56" s="551">
        <f>E57</f>
        <v>0</v>
      </c>
      <c r="F56" s="551">
        <f t="shared" si="0"/>
        <v>61119</v>
      </c>
    </row>
    <row r="57" spans="2:6" s="572" customFormat="1" ht="25.5" hidden="1" customHeight="1" x14ac:dyDescent="0.2">
      <c r="B57" s="565">
        <v>138</v>
      </c>
      <c r="C57" s="571" t="s">
        <v>917</v>
      </c>
      <c r="D57" s="551">
        <v>61119</v>
      </c>
      <c r="E57" s="551">
        <v>0</v>
      </c>
      <c r="F57" s="551">
        <f t="shared" si="0"/>
        <v>61119</v>
      </c>
    </row>
    <row r="58" spans="2:6" s="573" customFormat="1" ht="13.5" customHeight="1" x14ac:dyDescent="0.2">
      <c r="B58" s="563" t="s">
        <v>918</v>
      </c>
      <c r="C58" s="571" t="s">
        <v>919</v>
      </c>
      <c r="D58" s="551">
        <v>114265</v>
      </c>
      <c r="E58" s="551">
        <f t="shared" ref="E58" si="10">E50+E54+E56</f>
        <v>0</v>
      </c>
      <c r="F58" s="551">
        <f t="shared" si="0"/>
        <v>114265</v>
      </c>
    </row>
    <row r="59" spans="2:6" s="569" customFormat="1" ht="13.5" hidden="1" customHeight="1" x14ac:dyDescent="0.2">
      <c r="B59" s="565">
        <v>145</v>
      </c>
      <c r="C59" s="570" t="s">
        <v>920</v>
      </c>
      <c r="D59" s="568">
        <f>D60</f>
        <v>150</v>
      </c>
      <c r="E59" s="568">
        <f t="shared" ref="E59" si="11">E60</f>
        <v>0</v>
      </c>
      <c r="F59" s="568">
        <f t="shared" si="0"/>
        <v>150</v>
      </c>
    </row>
    <row r="60" spans="2:6" ht="12.75" hidden="1" customHeight="1" x14ac:dyDescent="0.2">
      <c r="B60" s="565">
        <v>150</v>
      </c>
      <c r="C60" s="543" t="s">
        <v>921</v>
      </c>
      <c r="D60" s="544">
        <v>150</v>
      </c>
      <c r="E60" s="544">
        <v>0</v>
      </c>
      <c r="F60" s="544">
        <f t="shared" si="0"/>
        <v>150</v>
      </c>
    </row>
    <row r="61" spans="2:6" ht="12.75" hidden="1" customHeight="1" x14ac:dyDescent="0.2">
      <c r="B61" s="565">
        <v>154</v>
      </c>
      <c r="C61" s="543" t="s">
        <v>922</v>
      </c>
      <c r="D61" s="544">
        <v>104</v>
      </c>
      <c r="E61" s="544">
        <v>0</v>
      </c>
      <c r="F61" s="544">
        <f t="shared" si="0"/>
        <v>104</v>
      </c>
    </row>
    <row r="62" spans="2:6" s="573" customFormat="1" ht="13.5" customHeight="1" x14ac:dyDescent="0.2">
      <c r="B62" s="563" t="s">
        <v>923</v>
      </c>
      <c r="C62" s="571" t="s">
        <v>924</v>
      </c>
      <c r="D62" s="551">
        <v>192</v>
      </c>
      <c r="E62" s="551">
        <f t="shared" ref="E62" si="12">E59+E61</f>
        <v>0</v>
      </c>
      <c r="F62" s="551">
        <f t="shared" si="0"/>
        <v>192</v>
      </c>
    </row>
    <row r="63" spans="2:6" x14ac:dyDescent="0.2">
      <c r="B63" s="565" t="s">
        <v>873</v>
      </c>
      <c r="C63" s="547" t="s">
        <v>925</v>
      </c>
      <c r="D63" s="548">
        <f>D49+D58+D62</f>
        <v>184035</v>
      </c>
      <c r="E63" s="548">
        <f t="shared" ref="E63" si="13">E49+E58+E62</f>
        <v>0</v>
      </c>
      <c r="F63" s="548">
        <f t="shared" si="0"/>
        <v>184035</v>
      </c>
    </row>
    <row r="64" spans="2:6" hidden="1" x14ac:dyDescent="0.2">
      <c r="B64" s="565">
        <v>163</v>
      </c>
      <c r="C64" s="543" t="s">
        <v>926</v>
      </c>
      <c r="D64" s="544">
        <v>0</v>
      </c>
      <c r="E64" s="544">
        <v>0</v>
      </c>
      <c r="F64" s="544">
        <f t="shared" si="0"/>
        <v>0</v>
      </c>
    </row>
    <row r="65" spans="2:6" hidden="1" x14ac:dyDescent="0.2">
      <c r="B65" s="565">
        <v>166</v>
      </c>
      <c r="C65" s="547" t="s">
        <v>927</v>
      </c>
      <c r="D65" s="548">
        <f>SUM(D64)</f>
        <v>0</v>
      </c>
      <c r="E65" s="548">
        <f>SUM(E64)</f>
        <v>0</v>
      </c>
      <c r="F65" s="548">
        <f t="shared" si="0"/>
        <v>0</v>
      </c>
    </row>
    <row r="66" spans="2:6" hidden="1" x14ac:dyDescent="0.2">
      <c r="B66" s="565">
        <v>168</v>
      </c>
      <c r="C66" s="543" t="s">
        <v>928</v>
      </c>
      <c r="D66" s="544">
        <v>0</v>
      </c>
      <c r="E66" s="544">
        <v>0</v>
      </c>
      <c r="F66" s="544">
        <f t="shared" si="0"/>
        <v>0</v>
      </c>
    </row>
    <row r="67" spans="2:6" hidden="1" x14ac:dyDescent="0.2">
      <c r="B67" s="565">
        <v>169</v>
      </c>
      <c r="C67" s="547" t="s">
        <v>929</v>
      </c>
      <c r="D67" s="548">
        <f>SUM(D66)</f>
        <v>0</v>
      </c>
      <c r="E67" s="548">
        <f>SUM(E66)</f>
        <v>0</v>
      </c>
      <c r="F67" s="548">
        <f t="shared" si="0"/>
        <v>0</v>
      </c>
    </row>
    <row r="68" spans="2:6" hidden="1" x14ac:dyDescent="0.2">
      <c r="B68" s="565">
        <v>170</v>
      </c>
      <c r="C68" s="543" t="s">
        <v>930</v>
      </c>
      <c r="D68" s="544">
        <v>5258</v>
      </c>
      <c r="E68" s="544">
        <v>0</v>
      </c>
      <c r="F68" s="544">
        <f t="shared" si="0"/>
        <v>5258</v>
      </c>
    </row>
    <row r="69" spans="2:6" ht="25.5" hidden="1" x14ac:dyDescent="0.2">
      <c r="B69" s="565">
        <v>171</v>
      </c>
      <c r="C69" s="543" t="s">
        <v>931</v>
      </c>
      <c r="D69" s="551">
        <v>0</v>
      </c>
      <c r="E69" s="551">
        <v>0</v>
      </c>
      <c r="F69" s="551">
        <f t="shared" si="0"/>
        <v>0</v>
      </c>
    </row>
    <row r="70" spans="2:6" s="566" customFormat="1" hidden="1" x14ac:dyDescent="0.2">
      <c r="B70" s="565">
        <v>172</v>
      </c>
      <c r="C70" s="547" t="s">
        <v>932</v>
      </c>
      <c r="D70" s="548">
        <f>D68</f>
        <v>5258</v>
      </c>
      <c r="E70" s="548">
        <f>E68</f>
        <v>0</v>
      </c>
      <c r="F70" s="548">
        <f t="shared" si="0"/>
        <v>5258</v>
      </c>
    </row>
    <row r="71" spans="2:6" x14ac:dyDescent="0.2">
      <c r="B71" s="565" t="s">
        <v>933</v>
      </c>
      <c r="C71" s="547" t="s">
        <v>934</v>
      </c>
      <c r="D71" s="548">
        <v>1064</v>
      </c>
      <c r="E71" s="548">
        <f>E70</f>
        <v>0</v>
      </c>
      <c r="F71" s="548">
        <f t="shared" si="0"/>
        <v>1064</v>
      </c>
    </row>
    <row r="72" spans="2:6" hidden="1" x14ac:dyDescent="0.2">
      <c r="B72" s="565">
        <v>174</v>
      </c>
      <c r="C72" s="543" t="s">
        <v>935</v>
      </c>
      <c r="D72" s="544">
        <v>171</v>
      </c>
      <c r="E72" s="544">
        <v>0</v>
      </c>
      <c r="F72" s="544">
        <f t="shared" si="0"/>
        <v>171</v>
      </c>
    </row>
    <row r="73" spans="2:6" ht="12.75" hidden="1" customHeight="1" x14ac:dyDescent="0.2">
      <c r="B73" s="565">
        <v>175</v>
      </c>
      <c r="C73" s="543" t="s">
        <v>936</v>
      </c>
      <c r="D73" s="544">
        <v>99</v>
      </c>
      <c r="E73" s="544">
        <v>0</v>
      </c>
      <c r="F73" s="544">
        <f t="shared" si="0"/>
        <v>99</v>
      </c>
    </row>
    <row r="74" spans="2:6" ht="12.75" customHeight="1" x14ac:dyDescent="0.2">
      <c r="B74" s="565" t="s">
        <v>937</v>
      </c>
      <c r="C74" s="547" t="s">
        <v>938</v>
      </c>
      <c r="D74" s="548">
        <v>68</v>
      </c>
      <c r="E74" s="548">
        <f>E72+E73</f>
        <v>0</v>
      </c>
      <c r="F74" s="548">
        <f t="shared" ref="F74:F101" si="14">D74</f>
        <v>68</v>
      </c>
    </row>
    <row r="75" spans="2:6" ht="12.75" customHeight="1" x14ac:dyDescent="0.2">
      <c r="B75" s="574">
        <v>19</v>
      </c>
      <c r="C75" s="575" t="s">
        <v>939</v>
      </c>
      <c r="D75" s="576">
        <f>D19+D25+D33+D63+D71+D74</f>
        <v>8753718</v>
      </c>
      <c r="E75" s="576">
        <f t="shared" ref="E75" si="15">E19+E25+E33+E63+E71+E74</f>
        <v>0</v>
      </c>
      <c r="F75" s="576">
        <f>D75</f>
        <v>8753718</v>
      </c>
    </row>
    <row r="76" spans="2:6" ht="12.75" customHeight="1" x14ac:dyDescent="0.2">
      <c r="B76" s="562">
        <v>20</v>
      </c>
      <c r="C76" s="543" t="s">
        <v>940</v>
      </c>
      <c r="D76" s="544">
        <v>5383519</v>
      </c>
      <c r="E76" s="544">
        <v>0</v>
      </c>
      <c r="F76" s="544">
        <f t="shared" si="14"/>
        <v>5383519</v>
      </c>
    </row>
    <row r="77" spans="2:6" ht="12.75" hidden="1" customHeight="1" x14ac:dyDescent="0.2">
      <c r="B77" s="562">
        <v>180</v>
      </c>
      <c r="C77" s="543" t="s">
        <v>941</v>
      </c>
      <c r="D77" s="544">
        <v>0</v>
      </c>
      <c r="E77" s="544">
        <v>0</v>
      </c>
      <c r="F77" s="544">
        <f t="shared" si="14"/>
        <v>0</v>
      </c>
    </row>
    <row r="78" spans="2:6" ht="12.75" hidden="1" customHeight="1" x14ac:dyDescent="0.2">
      <c r="B78" s="562">
        <v>181</v>
      </c>
      <c r="C78" s="543" t="s">
        <v>942</v>
      </c>
      <c r="D78" s="544">
        <v>0</v>
      </c>
      <c r="E78" s="544">
        <v>0</v>
      </c>
      <c r="F78" s="544">
        <f t="shared" si="14"/>
        <v>0</v>
      </c>
    </row>
    <row r="79" spans="2:6" x14ac:dyDescent="0.2">
      <c r="B79" s="562">
        <v>21</v>
      </c>
      <c r="C79" s="543" t="s">
        <v>943</v>
      </c>
      <c r="D79" s="544">
        <v>-659914</v>
      </c>
      <c r="E79" s="544">
        <v>0</v>
      </c>
      <c r="F79" s="544">
        <f t="shared" si="14"/>
        <v>-659914</v>
      </c>
    </row>
    <row r="80" spans="2:6" ht="12.75" customHeight="1" x14ac:dyDescent="0.2">
      <c r="B80" s="562">
        <v>23</v>
      </c>
      <c r="C80" s="543" t="s">
        <v>944</v>
      </c>
      <c r="D80" s="544">
        <v>51685</v>
      </c>
      <c r="E80" s="544">
        <v>0</v>
      </c>
      <c r="F80" s="544">
        <f t="shared" si="14"/>
        <v>51685</v>
      </c>
    </row>
    <row r="81" spans="2:6" x14ac:dyDescent="0.2">
      <c r="B81" s="577">
        <v>24</v>
      </c>
      <c r="C81" s="547" t="s">
        <v>945</v>
      </c>
      <c r="D81" s="548">
        <f>D76++D77+D78+D79+D80</f>
        <v>4775290</v>
      </c>
      <c r="E81" s="548">
        <f>E76++E77+E78+E79+E80</f>
        <v>0</v>
      </c>
      <c r="F81" s="548">
        <f t="shared" si="14"/>
        <v>4775290</v>
      </c>
    </row>
    <row r="82" spans="2:6" hidden="1" x14ac:dyDescent="0.2">
      <c r="B82" s="562">
        <v>186</v>
      </c>
      <c r="C82" s="543" t="s">
        <v>946</v>
      </c>
      <c r="D82" s="544">
        <v>0</v>
      </c>
      <c r="E82" s="544">
        <v>0</v>
      </c>
      <c r="F82" s="544">
        <f t="shared" si="14"/>
        <v>0</v>
      </c>
    </row>
    <row r="83" spans="2:6" hidden="1" x14ac:dyDescent="0.2">
      <c r="B83" s="562">
        <v>193</v>
      </c>
      <c r="C83" s="543" t="s">
        <v>947</v>
      </c>
      <c r="D83" s="544">
        <v>0</v>
      </c>
      <c r="E83" s="544">
        <v>0</v>
      </c>
      <c r="F83" s="544">
        <f t="shared" si="14"/>
        <v>0</v>
      </c>
    </row>
    <row r="84" spans="2:6" ht="25.5" hidden="1" x14ac:dyDescent="0.2">
      <c r="B84" s="562">
        <v>195</v>
      </c>
      <c r="C84" s="543" t="s">
        <v>948</v>
      </c>
      <c r="D84" s="544">
        <f>D85</f>
        <v>0</v>
      </c>
      <c r="E84" s="544">
        <f>E85</f>
        <v>0</v>
      </c>
      <c r="F84" s="544">
        <f t="shared" si="14"/>
        <v>0</v>
      </c>
    </row>
    <row r="85" spans="2:6" s="572" customFormat="1" ht="25.5" hidden="1" x14ac:dyDescent="0.2">
      <c r="B85" s="578">
        <v>202</v>
      </c>
      <c r="C85" s="571" t="s">
        <v>949</v>
      </c>
      <c r="D85" s="551">
        <v>0</v>
      </c>
      <c r="E85" s="551">
        <v>0</v>
      </c>
      <c r="F85" s="551">
        <f t="shared" si="14"/>
        <v>0</v>
      </c>
    </row>
    <row r="86" spans="2:6" hidden="1" x14ac:dyDescent="0.2">
      <c r="B86" s="562">
        <v>211</v>
      </c>
      <c r="C86" s="543" t="s">
        <v>950</v>
      </c>
      <c r="D86" s="544">
        <v>0</v>
      </c>
      <c r="E86" s="544">
        <f>E83+E82+E84</f>
        <v>0</v>
      </c>
      <c r="F86" s="544">
        <f t="shared" si="14"/>
        <v>0</v>
      </c>
    </row>
    <row r="87" spans="2:6" hidden="1" x14ac:dyDescent="0.2">
      <c r="B87" s="562">
        <v>216</v>
      </c>
      <c r="C87" s="543" t="s">
        <v>951</v>
      </c>
      <c r="D87" s="544">
        <v>0</v>
      </c>
      <c r="E87" s="544">
        <v>0</v>
      </c>
      <c r="F87" s="544">
        <f t="shared" si="14"/>
        <v>0</v>
      </c>
    </row>
    <row r="88" spans="2:6" ht="25.5" hidden="1" x14ac:dyDescent="0.2">
      <c r="B88" s="578">
        <v>224</v>
      </c>
      <c r="C88" s="543" t="s">
        <v>952</v>
      </c>
      <c r="D88" s="551">
        <f>D89+D90</f>
        <v>0</v>
      </c>
      <c r="E88" s="551">
        <f>E90+E89</f>
        <v>0</v>
      </c>
      <c r="F88" s="551">
        <f t="shared" si="14"/>
        <v>0</v>
      </c>
    </row>
    <row r="89" spans="2:6" ht="25.5" hidden="1" x14ac:dyDescent="0.2">
      <c r="B89" s="578">
        <v>225</v>
      </c>
      <c r="C89" s="571" t="s">
        <v>953</v>
      </c>
      <c r="D89" s="551">
        <v>0</v>
      </c>
      <c r="E89" s="551">
        <v>0</v>
      </c>
      <c r="F89" s="551">
        <f t="shared" si="14"/>
        <v>0</v>
      </c>
    </row>
    <row r="90" spans="2:6" ht="25.5" hidden="1" x14ac:dyDescent="0.2">
      <c r="B90" s="578">
        <v>229</v>
      </c>
      <c r="C90" s="571" t="s">
        <v>954</v>
      </c>
      <c r="D90" s="551">
        <v>0</v>
      </c>
      <c r="E90" s="551">
        <v>0</v>
      </c>
      <c r="F90" s="551">
        <f t="shared" si="14"/>
        <v>0</v>
      </c>
    </row>
    <row r="91" spans="2:6" x14ac:dyDescent="0.2">
      <c r="B91" s="562">
        <v>26</v>
      </c>
      <c r="C91" s="543" t="s">
        <v>955</v>
      </c>
      <c r="D91" s="544">
        <v>513515</v>
      </c>
      <c r="E91" s="544">
        <f>E87+E88</f>
        <v>0</v>
      </c>
      <c r="F91" s="544">
        <f t="shared" si="14"/>
        <v>513515</v>
      </c>
    </row>
    <row r="92" spans="2:6" hidden="1" x14ac:dyDescent="0.2">
      <c r="B92" s="577">
        <v>236</v>
      </c>
      <c r="C92" s="543" t="s">
        <v>956</v>
      </c>
      <c r="D92" s="544">
        <v>55331</v>
      </c>
      <c r="E92" s="544">
        <v>0</v>
      </c>
      <c r="F92" s="544">
        <f t="shared" si="14"/>
        <v>55331</v>
      </c>
    </row>
    <row r="93" spans="2:6" hidden="1" x14ac:dyDescent="0.2">
      <c r="B93" s="577">
        <v>238</v>
      </c>
      <c r="C93" s="543" t="s">
        <v>957</v>
      </c>
      <c r="D93" s="544">
        <v>265</v>
      </c>
      <c r="E93" s="544">
        <v>0</v>
      </c>
      <c r="F93" s="544">
        <f t="shared" si="14"/>
        <v>265</v>
      </c>
    </row>
    <row r="94" spans="2:6" hidden="1" x14ac:dyDescent="0.2">
      <c r="B94" s="577">
        <v>26</v>
      </c>
      <c r="C94" s="543" t="s">
        <v>955</v>
      </c>
      <c r="D94" s="544">
        <v>0</v>
      </c>
      <c r="E94" s="544">
        <v>0</v>
      </c>
      <c r="F94" s="544">
        <f t="shared" si="14"/>
        <v>0</v>
      </c>
    </row>
    <row r="95" spans="2:6" s="566" customFormat="1" x14ac:dyDescent="0.2">
      <c r="B95" s="562">
        <v>27</v>
      </c>
      <c r="C95" s="543" t="s">
        <v>958</v>
      </c>
      <c r="D95" s="544">
        <v>96316</v>
      </c>
      <c r="E95" s="544">
        <f>E92+E93</f>
        <v>0</v>
      </c>
      <c r="F95" s="544">
        <f t="shared" si="14"/>
        <v>96316</v>
      </c>
    </row>
    <row r="96" spans="2:6" x14ac:dyDescent="0.2">
      <c r="B96" s="577">
        <v>28</v>
      </c>
      <c r="C96" s="547" t="s">
        <v>959</v>
      </c>
      <c r="D96" s="548">
        <f>D86+D91+D95</f>
        <v>609831</v>
      </c>
      <c r="E96" s="548">
        <f>E86+E91+E95</f>
        <v>0</v>
      </c>
      <c r="F96" s="548">
        <f t="shared" si="14"/>
        <v>609831</v>
      </c>
    </row>
    <row r="97" spans="2:7" hidden="1" x14ac:dyDescent="0.2">
      <c r="B97" s="577">
        <v>248</v>
      </c>
      <c r="C97" s="543" t="s">
        <v>960</v>
      </c>
      <c r="D97" s="544">
        <v>47661</v>
      </c>
      <c r="E97" s="544">
        <v>0</v>
      </c>
      <c r="F97" s="544">
        <f t="shared" si="14"/>
        <v>47661</v>
      </c>
    </row>
    <row r="98" spans="2:7" hidden="1" x14ac:dyDescent="0.2">
      <c r="B98" s="577">
        <v>249</v>
      </c>
      <c r="C98" s="543" t="s">
        <v>961</v>
      </c>
      <c r="D98" s="544">
        <v>27092</v>
      </c>
      <c r="E98" s="544">
        <v>0</v>
      </c>
      <c r="F98" s="544">
        <f t="shared" si="14"/>
        <v>27092</v>
      </c>
    </row>
    <row r="99" spans="2:7" hidden="1" x14ac:dyDescent="0.2">
      <c r="B99" s="577">
        <v>250</v>
      </c>
      <c r="C99" s="543" t="s">
        <v>962</v>
      </c>
      <c r="D99" s="544">
        <v>2554202</v>
      </c>
      <c r="E99" s="544">
        <v>0</v>
      </c>
      <c r="F99" s="544">
        <f t="shared" si="14"/>
        <v>2554202</v>
      </c>
    </row>
    <row r="100" spans="2:7" x14ac:dyDescent="0.2">
      <c r="B100" s="577">
        <v>30</v>
      </c>
      <c r="C100" s="547" t="s">
        <v>963</v>
      </c>
      <c r="D100" s="548">
        <v>3368597</v>
      </c>
      <c r="E100" s="548">
        <f>E97+E98+E99</f>
        <v>0</v>
      </c>
      <c r="F100" s="548">
        <f t="shared" si="14"/>
        <v>3368597</v>
      </c>
    </row>
    <row r="101" spans="2:7" x14ac:dyDescent="0.2">
      <c r="B101" s="574">
        <v>31</v>
      </c>
      <c r="C101" s="575" t="s">
        <v>964</v>
      </c>
      <c r="D101" s="576">
        <f>D81+D96+D100</f>
        <v>8753718</v>
      </c>
      <c r="E101" s="576">
        <f>E81+E96+E100</f>
        <v>0</v>
      </c>
      <c r="F101" s="576">
        <f t="shared" si="14"/>
        <v>8753718</v>
      </c>
      <c r="G101" s="541">
        <f>F101-F75</f>
        <v>0</v>
      </c>
    </row>
  </sheetData>
  <mergeCells count="2">
    <mergeCell ref="B3:F3"/>
    <mergeCell ref="B4:F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48C1-8FD8-4AD5-8CC0-5EEBC5A19B19}">
  <dimension ref="A1:I40"/>
  <sheetViews>
    <sheetView workbookViewId="0">
      <selection activeCell="A6" sqref="A6"/>
    </sheetView>
  </sheetViews>
  <sheetFormatPr defaultRowHeight="12.75" x14ac:dyDescent="0.2"/>
  <cols>
    <col min="1" max="1" width="8.140625" customWidth="1"/>
    <col min="2" max="2" width="65.85546875" customWidth="1"/>
    <col min="3" max="5" width="16" customWidth="1"/>
    <col min="6" max="6" width="3.85546875" customWidth="1"/>
    <col min="257" max="257" width="8.140625" customWidth="1"/>
    <col min="258" max="258" width="65.85546875" customWidth="1"/>
    <col min="259" max="261" width="16" customWidth="1"/>
    <col min="262" max="262" width="3.85546875" customWidth="1"/>
    <col min="263" max="263" width="0" hidden="1" customWidth="1"/>
    <col min="513" max="513" width="8.140625" customWidth="1"/>
    <col min="514" max="514" width="65.85546875" customWidth="1"/>
    <col min="515" max="517" width="16" customWidth="1"/>
    <col min="518" max="518" width="3.85546875" customWidth="1"/>
    <col min="519" max="519" width="0" hidden="1" customWidth="1"/>
    <col min="769" max="769" width="8.140625" customWidth="1"/>
    <col min="770" max="770" width="65.85546875" customWidth="1"/>
    <col min="771" max="773" width="16" customWidth="1"/>
    <col min="774" max="774" width="3.85546875" customWidth="1"/>
    <col min="775" max="775" width="0" hidden="1" customWidth="1"/>
    <col min="1025" max="1025" width="8.140625" customWidth="1"/>
    <col min="1026" max="1026" width="65.85546875" customWidth="1"/>
    <col min="1027" max="1029" width="16" customWidth="1"/>
    <col min="1030" max="1030" width="3.85546875" customWidth="1"/>
    <col min="1031" max="1031" width="0" hidden="1" customWidth="1"/>
    <col min="1281" max="1281" width="8.140625" customWidth="1"/>
    <col min="1282" max="1282" width="65.85546875" customWidth="1"/>
    <col min="1283" max="1285" width="16" customWidth="1"/>
    <col min="1286" max="1286" width="3.85546875" customWidth="1"/>
    <col min="1287" max="1287" width="0" hidden="1" customWidth="1"/>
    <col min="1537" max="1537" width="8.140625" customWidth="1"/>
    <col min="1538" max="1538" width="65.85546875" customWidth="1"/>
    <col min="1539" max="1541" width="16" customWidth="1"/>
    <col min="1542" max="1542" width="3.85546875" customWidth="1"/>
    <col min="1543" max="1543" width="0" hidden="1" customWidth="1"/>
    <col min="1793" max="1793" width="8.140625" customWidth="1"/>
    <col min="1794" max="1794" width="65.85546875" customWidth="1"/>
    <col min="1795" max="1797" width="16" customWidth="1"/>
    <col min="1798" max="1798" width="3.85546875" customWidth="1"/>
    <col min="1799" max="1799" width="0" hidden="1" customWidth="1"/>
    <col min="2049" max="2049" width="8.140625" customWidth="1"/>
    <col min="2050" max="2050" width="65.85546875" customWidth="1"/>
    <col min="2051" max="2053" width="16" customWidth="1"/>
    <col min="2054" max="2054" width="3.85546875" customWidth="1"/>
    <col min="2055" max="2055" width="0" hidden="1" customWidth="1"/>
    <col min="2305" max="2305" width="8.140625" customWidth="1"/>
    <col min="2306" max="2306" width="65.85546875" customWidth="1"/>
    <col min="2307" max="2309" width="16" customWidth="1"/>
    <col min="2310" max="2310" width="3.85546875" customWidth="1"/>
    <col min="2311" max="2311" width="0" hidden="1" customWidth="1"/>
    <col min="2561" max="2561" width="8.140625" customWidth="1"/>
    <col min="2562" max="2562" width="65.85546875" customWidth="1"/>
    <col min="2563" max="2565" width="16" customWidth="1"/>
    <col min="2566" max="2566" width="3.85546875" customWidth="1"/>
    <col min="2567" max="2567" width="0" hidden="1" customWidth="1"/>
    <col min="2817" max="2817" width="8.140625" customWidth="1"/>
    <col min="2818" max="2818" width="65.85546875" customWidth="1"/>
    <col min="2819" max="2821" width="16" customWidth="1"/>
    <col min="2822" max="2822" width="3.85546875" customWidth="1"/>
    <col min="2823" max="2823" width="0" hidden="1" customWidth="1"/>
    <col min="3073" max="3073" width="8.140625" customWidth="1"/>
    <col min="3074" max="3074" width="65.85546875" customWidth="1"/>
    <col min="3075" max="3077" width="16" customWidth="1"/>
    <col min="3078" max="3078" width="3.85546875" customWidth="1"/>
    <col min="3079" max="3079" width="0" hidden="1" customWidth="1"/>
    <col min="3329" max="3329" width="8.140625" customWidth="1"/>
    <col min="3330" max="3330" width="65.85546875" customWidth="1"/>
    <col min="3331" max="3333" width="16" customWidth="1"/>
    <col min="3334" max="3334" width="3.85546875" customWidth="1"/>
    <col min="3335" max="3335" width="0" hidden="1" customWidth="1"/>
    <col min="3585" max="3585" width="8.140625" customWidth="1"/>
    <col min="3586" max="3586" width="65.85546875" customWidth="1"/>
    <col min="3587" max="3589" width="16" customWidth="1"/>
    <col min="3590" max="3590" width="3.85546875" customWidth="1"/>
    <col min="3591" max="3591" width="0" hidden="1" customWidth="1"/>
    <col min="3841" max="3841" width="8.140625" customWidth="1"/>
    <col min="3842" max="3842" width="65.85546875" customWidth="1"/>
    <col min="3843" max="3845" width="16" customWidth="1"/>
    <col min="3846" max="3846" width="3.85546875" customWidth="1"/>
    <col min="3847" max="3847" width="0" hidden="1" customWidth="1"/>
    <col min="4097" max="4097" width="8.140625" customWidth="1"/>
    <col min="4098" max="4098" width="65.85546875" customWidth="1"/>
    <col min="4099" max="4101" width="16" customWidth="1"/>
    <col min="4102" max="4102" width="3.85546875" customWidth="1"/>
    <col min="4103" max="4103" width="0" hidden="1" customWidth="1"/>
    <col min="4353" max="4353" width="8.140625" customWidth="1"/>
    <col min="4354" max="4354" width="65.85546875" customWidth="1"/>
    <col min="4355" max="4357" width="16" customWidth="1"/>
    <col min="4358" max="4358" width="3.85546875" customWidth="1"/>
    <col min="4359" max="4359" width="0" hidden="1" customWidth="1"/>
    <col min="4609" max="4609" width="8.140625" customWidth="1"/>
    <col min="4610" max="4610" width="65.85546875" customWidth="1"/>
    <col min="4611" max="4613" width="16" customWidth="1"/>
    <col min="4614" max="4614" width="3.85546875" customWidth="1"/>
    <col min="4615" max="4615" width="0" hidden="1" customWidth="1"/>
    <col min="4865" max="4865" width="8.140625" customWidth="1"/>
    <col min="4866" max="4866" width="65.85546875" customWidth="1"/>
    <col min="4867" max="4869" width="16" customWidth="1"/>
    <col min="4870" max="4870" width="3.85546875" customWidth="1"/>
    <col min="4871" max="4871" width="0" hidden="1" customWidth="1"/>
    <col min="5121" max="5121" width="8.140625" customWidth="1"/>
    <col min="5122" max="5122" width="65.85546875" customWidth="1"/>
    <col min="5123" max="5125" width="16" customWidth="1"/>
    <col min="5126" max="5126" width="3.85546875" customWidth="1"/>
    <col min="5127" max="5127" width="0" hidden="1" customWidth="1"/>
    <col min="5377" max="5377" width="8.140625" customWidth="1"/>
    <col min="5378" max="5378" width="65.85546875" customWidth="1"/>
    <col min="5379" max="5381" width="16" customWidth="1"/>
    <col min="5382" max="5382" width="3.85546875" customWidth="1"/>
    <col min="5383" max="5383" width="0" hidden="1" customWidth="1"/>
    <col min="5633" max="5633" width="8.140625" customWidth="1"/>
    <col min="5634" max="5634" width="65.85546875" customWidth="1"/>
    <col min="5635" max="5637" width="16" customWidth="1"/>
    <col min="5638" max="5638" width="3.85546875" customWidth="1"/>
    <col min="5639" max="5639" width="0" hidden="1" customWidth="1"/>
    <col min="5889" max="5889" width="8.140625" customWidth="1"/>
    <col min="5890" max="5890" width="65.85546875" customWidth="1"/>
    <col min="5891" max="5893" width="16" customWidth="1"/>
    <col min="5894" max="5894" width="3.85546875" customWidth="1"/>
    <col min="5895" max="5895" width="0" hidden="1" customWidth="1"/>
    <col min="6145" max="6145" width="8.140625" customWidth="1"/>
    <col min="6146" max="6146" width="65.85546875" customWidth="1"/>
    <col min="6147" max="6149" width="16" customWidth="1"/>
    <col min="6150" max="6150" width="3.85546875" customWidth="1"/>
    <col min="6151" max="6151" width="0" hidden="1" customWidth="1"/>
    <col min="6401" max="6401" width="8.140625" customWidth="1"/>
    <col min="6402" max="6402" width="65.85546875" customWidth="1"/>
    <col min="6403" max="6405" width="16" customWidth="1"/>
    <col min="6406" max="6406" width="3.85546875" customWidth="1"/>
    <col min="6407" max="6407" width="0" hidden="1" customWidth="1"/>
    <col min="6657" max="6657" width="8.140625" customWidth="1"/>
    <col min="6658" max="6658" width="65.85546875" customWidth="1"/>
    <col min="6659" max="6661" width="16" customWidth="1"/>
    <col min="6662" max="6662" width="3.85546875" customWidth="1"/>
    <col min="6663" max="6663" width="0" hidden="1" customWidth="1"/>
    <col min="6913" max="6913" width="8.140625" customWidth="1"/>
    <col min="6914" max="6914" width="65.85546875" customWidth="1"/>
    <col min="6915" max="6917" width="16" customWidth="1"/>
    <col min="6918" max="6918" width="3.85546875" customWidth="1"/>
    <col min="6919" max="6919" width="0" hidden="1" customWidth="1"/>
    <col min="7169" max="7169" width="8.140625" customWidth="1"/>
    <col min="7170" max="7170" width="65.85546875" customWidth="1"/>
    <col min="7171" max="7173" width="16" customWidth="1"/>
    <col min="7174" max="7174" width="3.85546875" customWidth="1"/>
    <col min="7175" max="7175" width="0" hidden="1" customWidth="1"/>
    <col min="7425" max="7425" width="8.140625" customWidth="1"/>
    <col min="7426" max="7426" width="65.85546875" customWidth="1"/>
    <col min="7427" max="7429" width="16" customWidth="1"/>
    <col min="7430" max="7430" width="3.85546875" customWidth="1"/>
    <col min="7431" max="7431" width="0" hidden="1" customWidth="1"/>
    <col min="7681" max="7681" width="8.140625" customWidth="1"/>
    <col min="7682" max="7682" width="65.85546875" customWidth="1"/>
    <col min="7683" max="7685" width="16" customWidth="1"/>
    <col min="7686" max="7686" width="3.85546875" customWidth="1"/>
    <col min="7687" max="7687" width="0" hidden="1" customWidth="1"/>
    <col min="7937" max="7937" width="8.140625" customWidth="1"/>
    <col min="7938" max="7938" width="65.85546875" customWidth="1"/>
    <col min="7939" max="7941" width="16" customWidth="1"/>
    <col min="7942" max="7942" width="3.85546875" customWidth="1"/>
    <col min="7943" max="7943" width="0" hidden="1" customWidth="1"/>
    <col min="8193" max="8193" width="8.140625" customWidth="1"/>
    <col min="8194" max="8194" width="65.85546875" customWidth="1"/>
    <col min="8195" max="8197" width="16" customWidth="1"/>
    <col min="8198" max="8198" width="3.85546875" customWidth="1"/>
    <col min="8199" max="8199" width="0" hidden="1" customWidth="1"/>
    <col min="8449" max="8449" width="8.140625" customWidth="1"/>
    <col min="8450" max="8450" width="65.85546875" customWidth="1"/>
    <col min="8451" max="8453" width="16" customWidth="1"/>
    <col min="8454" max="8454" width="3.85546875" customWidth="1"/>
    <col min="8455" max="8455" width="0" hidden="1" customWidth="1"/>
    <col min="8705" max="8705" width="8.140625" customWidth="1"/>
    <col min="8706" max="8706" width="65.85546875" customWidth="1"/>
    <col min="8707" max="8709" width="16" customWidth="1"/>
    <col min="8710" max="8710" width="3.85546875" customWidth="1"/>
    <col min="8711" max="8711" width="0" hidden="1" customWidth="1"/>
    <col min="8961" max="8961" width="8.140625" customWidth="1"/>
    <col min="8962" max="8962" width="65.85546875" customWidth="1"/>
    <col min="8963" max="8965" width="16" customWidth="1"/>
    <col min="8966" max="8966" width="3.85546875" customWidth="1"/>
    <col min="8967" max="8967" width="0" hidden="1" customWidth="1"/>
    <col min="9217" max="9217" width="8.140625" customWidth="1"/>
    <col min="9218" max="9218" width="65.85546875" customWidth="1"/>
    <col min="9219" max="9221" width="16" customWidth="1"/>
    <col min="9222" max="9222" width="3.85546875" customWidth="1"/>
    <col min="9223" max="9223" width="0" hidden="1" customWidth="1"/>
    <col min="9473" max="9473" width="8.140625" customWidth="1"/>
    <col min="9474" max="9474" width="65.85546875" customWidth="1"/>
    <col min="9475" max="9477" width="16" customWidth="1"/>
    <col min="9478" max="9478" width="3.85546875" customWidth="1"/>
    <col min="9479" max="9479" width="0" hidden="1" customWidth="1"/>
    <col min="9729" max="9729" width="8.140625" customWidth="1"/>
    <col min="9730" max="9730" width="65.85546875" customWidth="1"/>
    <col min="9731" max="9733" width="16" customWidth="1"/>
    <col min="9734" max="9734" width="3.85546875" customWidth="1"/>
    <col min="9735" max="9735" width="0" hidden="1" customWidth="1"/>
    <col min="9985" max="9985" width="8.140625" customWidth="1"/>
    <col min="9986" max="9986" width="65.85546875" customWidth="1"/>
    <col min="9987" max="9989" width="16" customWidth="1"/>
    <col min="9990" max="9990" width="3.85546875" customWidth="1"/>
    <col min="9991" max="9991" width="0" hidden="1" customWidth="1"/>
    <col min="10241" max="10241" width="8.140625" customWidth="1"/>
    <col min="10242" max="10242" width="65.85546875" customWidth="1"/>
    <col min="10243" max="10245" width="16" customWidth="1"/>
    <col min="10246" max="10246" width="3.85546875" customWidth="1"/>
    <col min="10247" max="10247" width="0" hidden="1" customWidth="1"/>
    <col min="10497" max="10497" width="8.140625" customWidth="1"/>
    <col min="10498" max="10498" width="65.85546875" customWidth="1"/>
    <col min="10499" max="10501" width="16" customWidth="1"/>
    <col min="10502" max="10502" width="3.85546875" customWidth="1"/>
    <col min="10503" max="10503" width="0" hidden="1" customWidth="1"/>
    <col min="10753" max="10753" width="8.140625" customWidth="1"/>
    <col min="10754" max="10754" width="65.85546875" customWidth="1"/>
    <col min="10755" max="10757" width="16" customWidth="1"/>
    <col min="10758" max="10758" width="3.85546875" customWidth="1"/>
    <col min="10759" max="10759" width="0" hidden="1" customWidth="1"/>
    <col min="11009" max="11009" width="8.140625" customWidth="1"/>
    <col min="11010" max="11010" width="65.85546875" customWidth="1"/>
    <col min="11011" max="11013" width="16" customWidth="1"/>
    <col min="11014" max="11014" width="3.85546875" customWidth="1"/>
    <col min="11015" max="11015" width="0" hidden="1" customWidth="1"/>
    <col min="11265" max="11265" width="8.140625" customWidth="1"/>
    <col min="11266" max="11266" width="65.85546875" customWidth="1"/>
    <col min="11267" max="11269" width="16" customWidth="1"/>
    <col min="11270" max="11270" width="3.85546875" customWidth="1"/>
    <col min="11271" max="11271" width="0" hidden="1" customWidth="1"/>
    <col min="11521" max="11521" width="8.140625" customWidth="1"/>
    <col min="11522" max="11522" width="65.85546875" customWidth="1"/>
    <col min="11523" max="11525" width="16" customWidth="1"/>
    <col min="11526" max="11526" width="3.85546875" customWidth="1"/>
    <col min="11527" max="11527" width="0" hidden="1" customWidth="1"/>
    <col min="11777" max="11777" width="8.140625" customWidth="1"/>
    <col min="11778" max="11778" width="65.85546875" customWidth="1"/>
    <col min="11779" max="11781" width="16" customWidth="1"/>
    <col min="11782" max="11782" width="3.85546875" customWidth="1"/>
    <col min="11783" max="11783" width="0" hidden="1" customWidth="1"/>
    <col min="12033" max="12033" width="8.140625" customWidth="1"/>
    <col min="12034" max="12034" width="65.85546875" customWidth="1"/>
    <col min="12035" max="12037" width="16" customWidth="1"/>
    <col min="12038" max="12038" width="3.85546875" customWidth="1"/>
    <col min="12039" max="12039" width="0" hidden="1" customWidth="1"/>
    <col min="12289" max="12289" width="8.140625" customWidth="1"/>
    <col min="12290" max="12290" width="65.85546875" customWidth="1"/>
    <col min="12291" max="12293" width="16" customWidth="1"/>
    <col min="12294" max="12294" width="3.85546875" customWidth="1"/>
    <col min="12295" max="12295" width="0" hidden="1" customWidth="1"/>
    <col min="12545" max="12545" width="8.140625" customWidth="1"/>
    <col min="12546" max="12546" width="65.85546875" customWidth="1"/>
    <col min="12547" max="12549" width="16" customWidth="1"/>
    <col min="12550" max="12550" width="3.85546875" customWidth="1"/>
    <col min="12551" max="12551" width="0" hidden="1" customWidth="1"/>
    <col min="12801" max="12801" width="8.140625" customWidth="1"/>
    <col min="12802" max="12802" width="65.85546875" customWidth="1"/>
    <col min="12803" max="12805" width="16" customWidth="1"/>
    <col min="12806" max="12806" width="3.85546875" customWidth="1"/>
    <col min="12807" max="12807" width="0" hidden="1" customWidth="1"/>
    <col min="13057" max="13057" width="8.140625" customWidth="1"/>
    <col min="13058" max="13058" width="65.85546875" customWidth="1"/>
    <col min="13059" max="13061" width="16" customWidth="1"/>
    <col min="13062" max="13062" width="3.85546875" customWidth="1"/>
    <col min="13063" max="13063" width="0" hidden="1" customWidth="1"/>
    <col min="13313" max="13313" width="8.140625" customWidth="1"/>
    <col min="13314" max="13314" width="65.85546875" customWidth="1"/>
    <col min="13315" max="13317" width="16" customWidth="1"/>
    <col min="13318" max="13318" width="3.85546875" customWidth="1"/>
    <col min="13319" max="13319" width="0" hidden="1" customWidth="1"/>
    <col min="13569" max="13569" width="8.140625" customWidth="1"/>
    <col min="13570" max="13570" width="65.85546875" customWidth="1"/>
    <col min="13571" max="13573" width="16" customWidth="1"/>
    <col min="13574" max="13574" width="3.85546875" customWidth="1"/>
    <col min="13575" max="13575" width="0" hidden="1" customWidth="1"/>
    <col min="13825" max="13825" width="8.140625" customWidth="1"/>
    <col min="13826" max="13826" width="65.85546875" customWidth="1"/>
    <col min="13827" max="13829" width="16" customWidth="1"/>
    <col min="13830" max="13830" width="3.85546875" customWidth="1"/>
    <col min="13831" max="13831" width="0" hidden="1" customWidth="1"/>
    <col min="14081" max="14081" width="8.140625" customWidth="1"/>
    <col min="14082" max="14082" width="65.85546875" customWidth="1"/>
    <col min="14083" max="14085" width="16" customWidth="1"/>
    <col min="14086" max="14086" width="3.85546875" customWidth="1"/>
    <col min="14087" max="14087" width="0" hidden="1" customWidth="1"/>
    <col min="14337" max="14337" width="8.140625" customWidth="1"/>
    <col min="14338" max="14338" width="65.85546875" customWidth="1"/>
    <col min="14339" max="14341" width="16" customWidth="1"/>
    <col min="14342" max="14342" width="3.85546875" customWidth="1"/>
    <col min="14343" max="14343" width="0" hidden="1" customWidth="1"/>
    <col min="14593" max="14593" width="8.140625" customWidth="1"/>
    <col min="14594" max="14594" width="65.85546875" customWidth="1"/>
    <col min="14595" max="14597" width="16" customWidth="1"/>
    <col min="14598" max="14598" width="3.85546875" customWidth="1"/>
    <col min="14599" max="14599" width="0" hidden="1" customWidth="1"/>
    <col min="14849" max="14849" width="8.140625" customWidth="1"/>
    <col min="14850" max="14850" width="65.85546875" customWidth="1"/>
    <col min="14851" max="14853" width="16" customWidth="1"/>
    <col min="14854" max="14854" width="3.85546875" customWidth="1"/>
    <col min="14855" max="14855" width="0" hidden="1" customWidth="1"/>
    <col min="15105" max="15105" width="8.140625" customWidth="1"/>
    <col min="15106" max="15106" width="65.85546875" customWidth="1"/>
    <col min="15107" max="15109" width="16" customWidth="1"/>
    <col min="15110" max="15110" width="3.85546875" customWidth="1"/>
    <col min="15111" max="15111" width="0" hidden="1" customWidth="1"/>
    <col min="15361" max="15361" width="8.140625" customWidth="1"/>
    <col min="15362" max="15362" width="65.85546875" customWidth="1"/>
    <col min="15363" max="15365" width="16" customWidth="1"/>
    <col min="15366" max="15366" width="3.85546875" customWidth="1"/>
    <col min="15367" max="15367" width="0" hidden="1" customWidth="1"/>
    <col min="15617" max="15617" width="8.140625" customWidth="1"/>
    <col min="15618" max="15618" width="65.85546875" customWidth="1"/>
    <col min="15619" max="15621" width="16" customWidth="1"/>
    <col min="15622" max="15622" width="3.85546875" customWidth="1"/>
    <col min="15623" max="15623" width="0" hidden="1" customWidth="1"/>
    <col min="15873" max="15873" width="8.140625" customWidth="1"/>
    <col min="15874" max="15874" width="65.85546875" customWidth="1"/>
    <col min="15875" max="15877" width="16" customWidth="1"/>
    <col min="15878" max="15878" width="3.85546875" customWidth="1"/>
    <col min="15879" max="15879" width="0" hidden="1" customWidth="1"/>
    <col min="16129" max="16129" width="8.140625" customWidth="1"/>
    <col min="16130" max="16130" width="65.85546875" customWidth="1"/>
    <col min="16131" max="16133" width="16" customWidth="1"/>
    <col min="16134" max="16134" width="3.85546875" customWidth="1"/>
    <col min="16135" max="16135" width="0" hidden="1" customWidth="1"/>
  </cols>
  <sheetData>
    <row r="1" spans="1:8" s="530" customFormat="1" x14ac:dyDescent="0.2">
      <c r="E1" s="531" t="s">
        <v>819</v>
      </c>
    </row>
    <row r="2" spans="1:8" s="530" customFormat="1" x14ac:dyDescent="0.2">
      <c r="E2" s="532" t="str">
        <f>'1.Bev-kiad.'!L2</f>
        <v>a 9/2026.(V.29.) önkormányzati rendelethez</v>
      </c>
    </row>
    <row r="3" spans="1:8" s="530" customFormat="1" ht="19.5" x14ac:dyDescent="0.35">
      <c r="A3" s="694" t="s">
        <v>22</v>
      </c>
      <c r="B3" s="695"/>
      <c r="C3" s="695"/>
      <c r="D3" s="695"/>
      <c r="E3" s="695"/>
      <c r="F3" s="695"/>
      <c r="G3"/>
      <c r="H3"/>
    </row>
    <row r="4" spans="1:8" s="530" customFormat="1" ht="19.5" x14ac:dyDescent="0.35">
      <c r="A4" s="694" t="s">
        <v>998</v>
      </c>
      <c r="B4" s="695"/>
      <c r="C4" s="695"/>
      <c r="D4" s="695"/>
      <c r="E4" s="695"/>
      <c r="F4" s="695"/>
      <c r="G4"/>
      <c r="H4"/>
    </row>
    <row r="6" spans="1:8" ht="31.5" x14ac:dyDescent="0.2">
      <c r="A6" s="579"/>
      <c r="B6" s="561" t="s">
        <v>63</v>
      </c>
      <c r="C6" s="561" t="s">
        <v>858</v>
      </c>
      <c r="D6" s="561" t="s">
        <v>859</v>
      </c>
      <c r="E6" s="561" t="s">
        <v>860</v>
      </c>
    </row>
    <row r="7" spans="1:8" x14ac:dyDescent="0.2">
      <c r="A7" s="580" t="s">
        <v>826</v>
      </c>
      <c r="B7" s="581" t="s">
        <v>966</v>
      </c>
      <c r="C7" s="582">
        <v>833164</v>
      </c>
      <c r="D7" s="582">
        <v>0</v>
      </c>
      <c r="E7" s="582">
        <f>C7</f>
        <v>833164</v>
      </c>
    </row>
    <row r="8" spans="1:8" x14ac:dyDescent="0.2">
      <c r="A8" s="580" t="s">
        <v>828</v>
      </c>
      <c r="B8" s="581" t="s">
        <v>967</v>
      </c>
      <c r="C8" s="582">
        <v>25828</v>
      </c>
      <c r="D8" s="582">
        <v>0</v>
      </c>
      <c r="E8" s="582">
        <f t="shared" ref="E8:E9" si="0">C8</f>
        <v>25828</v>
      </c>
    </row>
    <row r="9" spans="1:8" x14ac:dyDescent="0.2">
      <c r="A9" s="580" t="s">
        <v>830</v>
      </c>
      <c r="B9" s="581" t="s">
        <v>968</v>
      </c>
      <c r="C9" s="582">
        <v>5358</v>
      </c>
      <c r="D9" s="582">
        <v>0</v>
      </c>
      <c r="E9" s="582">
        <f t="shared" si="0"/>
        <v>5358</v>
      </c>
    </row>
    <row r="10" spans="1:8" x14ac:dyDescent="0.2">
      <c r="A10" s="583" t="s">
        <v>832</v>
      </c>
      <c r="B10" s="584" t="s">
        <v>969</v>
      </c>
      <c r="C10" s="585">
        <f>SUM(C7:C9)</f>
        <v>864350</v>
      </c>
      <c r="D10" s="585">
        <f>SUM(D7:D9)</f>
        <v>0</v>
      </c>
      <c r="E10" s="585">
        <f>SUM(E7:E9)</f>
        <v>864350</v>
      </c>
    </row>
    <row r="11" spans="1:8" x14ac:dyDescent="0.2">
      <c r="A11" s="580" t="s">
        <v>866</v>
      </c>
      <c r="B11" s="581" t="s">
        <v>970</v>
      </c>
      <c r="C11" s="582">
        <v>956802</v>
      </c>
      <c r="D11" s="582">
        <v>-240067</v>
      </c>
      <c r="E11" s="582">
        <f>C11+D11</f>
        <v>716735</v>
      </c>
    </row>
    <row r="12" spans="1:8" x14ac:dyDescent="0.2">
      <c r="A12" s="580" t="s">
        <v>841</v>
      </c>
      <c r="B12" s="581" t="s">
        <v>971</v>
      </c>
      <c r="C12" s="582">
        <v>82256</v>
      </c>
      <c r="D12" s="582">
        <v>0</v>
      </c>
      <c r="E12" s="582">
        <f>C12</f>
        <v>82256</v>
      </c>
    </row>
    <row r="13" spans="1:8" x14ac:dyDescent="0.2">
      <c r="A13" s="580">
        <v>10</v>
      </c>
      <c r="B13" s="581" t="s">
        <v>972</v>
      </c>
      <c r="C13" s="582">
        <v>42485</v>
      </c>
      <c r="D13" s="582">
        <v>0</v>
      </c>
      <c r="E13" s="582">
        <f t="shared" ref="E13:E14" si="1">C13</f>
        <v>42485</v>
      </c>
    </row>
    <row r="14" spans="1:8" x14ac:dyDescent="0.2">
      <c r="A14" s="580">
        <v>11</v>
      </c>
      <c r="B14" s="581" t="s">
        <v>973</v>
      </c>
      <c r="C14" s="582">
        <v>16048</v>
      </c>
      <c r="D14" s="582">
        <v>0</v>
      </c>
      <c r="E14" s="582">
        <f t="shared" si="1"/>
        <v>16048</v>
      </c>
    </row>
    <row r="15" spans="1:8" x14ac:dyDescent="0.2">
      <c r="A15" s="583">
        <v>12</v>
      </c>
      <c r="B15" s="584" t="s">
        <v>974</v>
      </c>
      <c r="C15" s="585">
        <f>SUM(C11:C14)</f>
        <v>1097591</v>
      </c>
      <c r="D15" s="585">
        <f>SUM(D11:D14)</f>
        <v>-240067</v>
      </c>
      <c r="E15" s="585">
        <f>SUM(E11:E14)</f>
        <v>857524</v>
      </c>
    </row>
    <row r="16" spans="1:8" x14ac:dyDescent="0.2">
      <c r="A16" s="580">
        <v>13</v>
      </c>
      <c r="B16" s="581" t="s">
        <v>975</v>
      </c>
      <c r="C16" s="582">
        <v>7504</v>
      </c>
      <c r="D16" s="582">
        <v>0</v>
      </c>
      <c r="E16" s="582">
        <f>C16</f>
        <v>7504</v>
      </c>
    </row>
    <row r="17" spans="1:5" x14ac:dyDescent="0.2">
      <c r="A17" s="580">
        <v>14</v>
      </c>
      <c r="B17" s="581" t="s">
        <v>976</v>
      </c>
      <c r="C17" s="582">
        <v>238751</v>
      </c>
      <c r="D17" s="582">
        <v>0</v>
      </c>
      <c r="E17" s="582">
        <f t="shared" ref="E17:E19" si="2">C17</f>
        <v>238751</v>
      </c>
    </row>
    <row r="18" spans="1:5" hidden="1" x14ac:dyDescent="0.2">
      <c r="A18" s="580">
        <v>15</v>
      </c>
      <c r="B18" s="581" t="s">
        <v>977</v>
      </c>
      <c r="C18" s="582">
        <v>0</v>
      </c>
      <c r="D18" s="582">
        <v>0</v>
      </c>
      <c r="E18" s="582">
        <f t="shared" si="2"/>
        <v>0</v>
      </c>
    </row>
    <row r="19" spans="1:5" x14ac:dyDescent="0.2">
      <c r="A19" s="580">
        <v>16</v>
      </c>
      <c r="B19" s="581" t="s">
        <v>978</v>
      </c>
      <c r="C19" s="582">
        <v>7096</v>
      </c>
      <c r="D19" s="582">
        <v>0</v>
      </c>
      <c r="E19" s="582">
        <f t="shared" si="2"/>
        <v>7096</v>
      </c>
    </row>
    <row r="20" spans="1:5" x14ac:dyDescent="0.2">
      <c r="A20" s="583">
        <v>17</v>
      </c>
      <c r="B20" s="584" t="s">
        <v>979</v>
      </c>
      <c r="C20" s="585">
        <f>SUM(C16:C19)</f>
        <v>253351</v>
      </c>
      <c r="D20" s="585">
        <f>SUM(D16:D19)</f>
        <v>0</v>
      </c>
      <c r="E20" s="585">
        <f>SUM(E16:E19)</f>
        <v>253351</v>
      </c>
    </row>
    <row r="21" spans="1:5" x14ac:dyDescent="0.2">
      <c r="A21" s="580">
        <v>18</v>
      </c>
      <c r="B21" s="581" t="s">
        <v>980</v>
      </c>
      <c r="C21" s="582">
        <v>229986</v>
      </c>
      <c r="D21" s="582">
        <v>0</v>
      </c>
      <c r="E21" s="582">
        <f>C21</f>
        <v>229986</v>
      </c>
    </row>
    <row r="22" spans="1:5" x14ac:dyDescent="0.2">
      <c r="A22" s="580">
        <v>19</v>
      </c>
      <c r="B22" s="581" t="s">
        <v>981</v>
      </c>
      <c r="C22" s="582">
        <v>79710</v>
      </c>
      <c r="D22" s="582">
        <v>0</v>
      </c>
      <c r="E22" s="582">
        <f t="shared" ref="E22:E23" si="3">C22</f>
        <v>79710</v>
      </c>
    </row>
    <row r="23" spans="1:5" x14ac:dyDescent="0.2">
      <c r="A23" s="580">
        <v>20</v>
      </c>
      <c r="B23" s="581" t="s">
        <v>982</v>
      </c>
      <c r="C23" s="582">
        <v>38485</v>
      </c>
      <c r="D23" s="582">
        <v>0</v>
      </c>
      <c r="E23" s="582">
        <f t="shared" si="3"/>
        <v>38485</v>
      </c>
    </row>
    <row r="24" spans="1:5" x14ac:dyDescent="0.2">
      <c r="A24" s="583">
        <v>21</v>
      </c>
      <c r="B24" s="584" t="s">
        <v>983</v>
      </c>
      <c r="C24" s="585">
        <f>SUM(C21:C23)</f>
        <v>348181</v>
      </c>
      <c r="D24" s="585">
        <f>SUM(D21:D23)</f>
        <v>0</v>
      </c>
      <c r="E24" s="585">
        <f>SUM(E21:E23)</f>
        <v>348181</v>
      </c>
    </row>
    <row r="25" spans="1:5" x14ac:dyDescent="0.2">
      <c r="A25" s="580">
        <v>22</v>
      </c>
      <c r="B25" s="581" t="s">
        <v>984</v>
      </c>
      <c r="C25" s="582">
        <v>141088</v>
      </c>
      <c r="D25" s="582">
        <v>0</v>
      </c>
      <c r="E25" s="582">
        <f>C25</f>
        <v>141088</v>
      </c>
    </row>
    <row r="26" spans="1:5" x14ac:dyDescent="0.2">
      <c r="A26" s="580">
        <v>23</v>
      </c>
      <c r="B26" s="581" t="s">
        <v>985</v>
      </c>
      <c r="C26" s="582">
        <v>1132360</v>
      </c>
      <c r="D26" s="582">
        <v>-240067</v>
      </c>
      <c r="E26" s="582">
        <f>C26+D26</f>
        <v>892293</v>
      </c>
    </row>
    <row r="27" spans="1:5" x14ac:dyDescent="0.2">
      <c r="A27" s="583">
        <v>24</v>
      </c>
      <c r="B27" s="584" t="s">
        <v>986</v>
      </c>
      <c r="C27" s="585">
        <f>C10+C15-C20-C24-C25-C26</f>
        <v>86961</v>
      </c>
      <c r="D27" s="585">
        <f>D10+D15-D20-D24-D25-D26</f>
        <v>0</v>
      </c>
      <c r="E27" s="585">
        <f>E10+E15-E20-E24-E25-E26</f>
        <v>86961</v>
      </c>
    </row>
    <row r="28" spans="1:5" hidden="1" x14ac:dyDescent="0.2">
      <c r="A28" s="580">
        <v>25</v>
      </c>
      <c r="B28" s="581" t="s">
        <v>987</v>
      </c>
      <c r="C28" s="582">
        <v>0</v>
      </c>
      <c r="D28" s="582">
        <v>0</v>
      </c>
      <c r="E28" s="582">
        <v>0</v>
      </c>
    </row>
    <row r="29" spans="1:5" hidden="1" x14ac:dyDescent="0.2">
      <c r="A29" s="580">
        <v>26</v>
      </c>
      <c r="B29" s="581" t="s">
        <v>988</v>
      </c>
      <c r="C29" s="582">
        <v>0</v>
      </c>
      <c r="D29" s="582">
        <v>0</v>
      </c>
      <c r="E29" s="582">
        <v>0</v>
      </c>
    </row>
    <row r="30" spans="1:5" hidden="1" x14ac:dyDescent="0.2">
      <c r="A30" s="580">
        <v>28</v>
      </c>
      <c r="B30" s="581" t="s">
        <v>989</v>
      </c>
      <c r="C30" s="582">
        <v>0</v>
      </c>
      <c r="D30" s="582">
        <v>0</v>
      </c>
      <c r="E30" s="582">
        <f>C30</f>
        <v>0</v>
      </c>
    </row>
    <row r="31" spans="1:5" hidden="1" x14ac:dyDescent="0.2">
      <c r="A31" s="580">
        <v>29</v>
      </c>
      <c r="B31" s="581" t="s">
        <v>990</v>
      </c>
      <c r="C31" s="582">
        <v>0</v>
      </c>
      <c r="D31" s="582">
        <v>0</v>
      </c>
      <c r="E31" s="582">
        <v>0</v>
      </c>
    </row>
    <row r="32" spans="1:5" hidden="1" x14ac:dyDescent="0.2">
      <c r="A32" s="583">
        <v>32</v>
      </c>
      <c r="B32" s="584" t="s">
        <v>991</v>
      </c>
      <c r="C32" s="585">
        <f>SUM(C28:C31)</f>
        <v>0</v>
      </c>
      <c r="D32" s="585">
        <f>SUM(D28:D31)</f>
        <v>0</v>
      </c>
      <c r="E32" s="585">
        <f>SUM(E28:E31)</f>
        <v>0</v>
      </c>
    </row>
    <row r="33" spans="1:9" hidden="1" x14ac:dyDescent="0.2">
      <c r="A33" s="580">
        <v>33</v>
      </c>
      <c r="B33" s="581" t="s">
        <v>992</v>
      </c>
      <c r="C33" s="582">
        <v>0</v>
      </c>
      <c r="D33" s="582">
        <v>0</v>
      </c>
      <c r="E33" s="582">
        <v>0</v>
      </c>
    </row>
    <row r="34" spans="1:9" x14ac:dyDescent="0.2">
      <c r="A34" s="580">
        <v>35</v>
      </c>
      <c r="B34" s="581" t="s">
        <v>993</v>
      </c>
      <c r="C34" s="582">
        <v>35276</v>
      </c>
      <c r="D34" s="582">
        <v>0</v>
      </c>
      <c r="E34" s="582">
        <f>C34</f>
        <v>35276</v>
      </c>
    </row>
    <row r="35" spans="1:9" hidden="1" x14ac:dyDescent="0.2">
      <c r="A35" s="580">
        <v>39</v>
      </c>
      <c r="B35" s="581" t="s">
        <v>994</v>
      </c>
      <c r="C35" s="582">
        <v>0</v>
      </c>
      <c r="D35" s="582">
        <v>0</v>
      </c>
      <c r="E35" s="582">
        <v>0</v>
      </c>
    </row>
    <row r="36" spans="1:9" x14ac:dyDescent="0.2">
      <c r="A36" s="583">
        <v>42</v>
      </c>
      <c r="B36" s="584" t="s">
        <v>995</v>
      </c>
      <c r="C36" s="585">
        <f>SUM(C33:C35)</f>
        <v>35276</v>
      </c>
      <c r="D36" s="585">
        <f>SUM(D33:D35)</f>
        <v>0</v>
      </c>
      <c r="E36" s="585">
        <f>SUM(E33:E35)</f>
        <v>35276</v>
      </c>
    </row>
    <row r="37" spans="1:9" x14ac:dyDescent="0.2">
      <c r="A37" s="583">
        <v>43</v>
      </c>
      <c r="B37" s="584" t="s">
        <v>996</v>
      </c>
      <c r="C37" s="585">
        <v>-35276</v>
      </c>
      <c r="D37" s="585">
        <f>D32-D36</f>
        <v>0</v>
      </c>
      <c r="E37" s="585">
        <f>C37</f>
        <v>-35276</v>
      </c>
    </row>
    <row r="38" spans="1:9" x14ac:dyDescent="0.2">
      <c r="A38" s="583">
        <v>44</v>
      </c>
      <c r="B38" s="584" t="s">
        <v>997</v>
      </c>
      <c r="C38" s="585">
        <f>C27+C37</f>
        <v>51685</v>
      </c>
      <c r="D38" s="585">
        <f>D27+D37</f>
        <v>0</v>
      </c>
      <c r="E38" s="585">
        <f>E27+E37</f>
        <v>51685</v>
      </c>
      <c r="G38" s="70"/>
    </row>
    <row r="39" spans="1:9" x14ac:dyDescent="0.2">
      <c r="A39" s="2"/>
      <c r="B39" s="2"/>
      <c r="C39" s="2"/>
      <c r="D39" s="2"/>
      <c r="E39" s="2"/>
    </row>
    <row r="40" spans="1:9" x14ac:dyDescent="0.2">
      <c r="A40" s="2"/>
      <c r="B40" s="2"/>
      <c r="C40" s="2"/>
      <c r="D40" s="2"/>
      <c r="E40" s="2"/>
      <c r="F40" s="2"/>
      <c r="G40" s="2"/>
      <c r="H40" s="2"/>
      <c r="I40" s="2"/>
    </row>
  </sheetData>
  <mergeCells count="2">
    <mergeCell ref="A3:F3"/>
    <mergeCell ref="A4:F4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0327-8D9C-4924-8607-2FCDE52EB020}">
  <dimension ref="A1:M135"/>
  <sheetViews>
    <sheetView zoomScaleNormal="100" workbookViewId="0">
      <selection activeCell="A6" sqref="A6:C6"/>
    </sheetView>
  </sheetViews>
  <sheetFormatPr defaultRowHeight="12.75" x14ac:dyDescent="0.2"/>
  <cols>
    <col min="1" max="2" width="4.7109375" style="586" customWidth="1"/>
    <col min="3" max="3" width="62.28515625" style="586" customWidth="1"/>
    <col min="4" max="4" width="16.5703125" style="586" customWidth="1"/>
    <col min="5" max="5" width="16.140625" style="586" customWidth="1"/>
    <col min="6" max="6" width="7.28515625" style="588" customWidth="1"/>
    <col min="7" max="7" width="0" style="588" hidden="1" customWidth="1"/>
    <col min="8" max="8" width="12.7109375" style="588" hidden="1" customWidth="1"/>
    <col min="9" max="9" width="12.7109375" style="588" customWidth="1"/>
    <col min="10" max="12" width="9.140625" style="588"/>
    <col min="13" max="256" width="9.140625" style="586"/>
    <col min="257" max="258" width="4.7109375" style="586" customWidth="1"/>
    <col min="259" max="259" width="62.28515625" style="586" customWidth="1"/>
    <col min="260" max="260" width="16.5703125" style="586" customWidth="1"/>
    <col min="261" max="261" width="16.140625" style="586" customWidth="1"/>
    <col min="262" max="262" width="7.28515625" style="586" customWidth="1"/>
    <col min="263" max="263" width="9.140625" style="586"/>
    <col min="264" max="264" width="12.7109375" style="586" bestFit="1" customWidth="1"/>
    <col min="265" max="512" width="9.140625" style="586"/>
    <col min="513" max="514" width="4.7109375" style="586" customWidth="1"/>
    <col min="515" max="515" width="62.28515625" style="586" customWidth="1"/>
    <col min="516" max="516" width="16.5703125" style="586" customWidth="1"/>
    <col min="517" max="517" width="16.140625" style="586" customWidth="1"/>
    <col min="518" max="518" width="7.28515625" style="586" customWidth="1"/>
    <col min="519" max="519" width="9.140625" style="586"/>
    <col min="520" max="520" width="12.7109375" style="586" bestFit="1" customWidth="1"/>
    <col min="521" max="768" width="9.140625" style="586"/>
    <col min="769" max="770" width="4.7109375" style="586" customWidth="1"/>
    <col min="771" max="771" width="62.28515625" style="586" customWidth="1"/>
    <col min="772" max="772" width="16.5703125" style="586" customWidth="1"/>
    <col min="773" max="773" width="16.140625" style="586" customWidth="1"/>
    <col min="774" max="774" width="7.28515625" style="586" customWidth="1"/>
    <col min="775" max="775" width="9.140625" style="586"/>
    <col min="776" max="776" width="12.7109375" style="586" bestFit="1" customWidth="1"/>
    <col min="777" max="1024" width="9.140625" style="586"/>
    <col min="1025" max="1026" width="4.7109375" style="586" customWidth="1"/>
    <col min="1027" max="1027" width="62.28515625" style="586" customWidth="1"/>
    <col min="1028" max="1028" width="16.5703125" style="586" customWidth="1"/>
    <col min="1029" max="1029" width="16.140625" style="586" customWidth="1"/>
    <col min="1030" max="1030" width="7.28515625" style="586" customWidth="1"/>
    <col min="1031" max="1031" width="9.140625" style="586"/>
    <col min="1032" max="1032" width="12.7109375" style="586" bestFit="1" customWidth="1"/>
    <col min="1033" max="1280" width="9.140625" style="586"/>
    <col min="1281" max="1282" width="4.7109375" style="586" customWidth="1"/>
    <col min="1283" max="1283" width="62.28515625" style="586" customWidth="1"/>
    <col min="1284" max="1284" width="16.5703125" style="586" customWidth="1"/>
    <col min="1285" max="1285" width="16.140625" style="586" customWidth="1"/>
    <col min="1286" max="1286" width="7.28515625" style="586" customWidth="1"/>
    <col min="1287" max="1287" width="9.140625" style="586"/>
    <col min="1288" max="1288" width="12.7109375" style="586" bestFit="1" customWidth="1"/>
    <col min="1289" max="1536" width="9.140625" style="586"/>
    <col min="1537" max="1538" width="4.7109375" style="586" customWidth="1"/>
    <col min="1539" max="1539" width="62.28515625" style="586" customWidth="1"/>
    <col min="1540" max="1540" width="16.5703125" style="586" customWidth="1"/>
    <col min="1541" max="1541" width="16.140625" style="586" customWidth="1"/>
    <col min="1542" max="1542" width="7.28515625" style="586" customWidth="1"/>
    <col min="1543" max="1543" width="9.140625" style="586"/>
    <col min="1544" max="1544" width="12.7109375" style="586" bestFit="1" customWidth="1"/>
    <col min="1545" max="1792" width="9.140625" style="586"/>
    <col min="1793" max="1794" width="4.7109375" style="586" customWidth="1"/>
    <col min="1795" max="1795" width="62.28515625" style="586" customWidth="1"/>
    <col min="1796" max="1796" width="16.5703125" style="586" customWidth="1"/>
    <col min="1797" max="1797" width="16.140625" style="586" customWidth="1"/>
    <col min="1798" max="1798" width="7.28515625" style="586" customWidth="1"/>
    <col min="1799" max="1799" width="9.140625" style="586"/>
    <col min="1800" max="1800" width="12.7109375" style="586" bestFit="1" customWidth="1"/>
    <col min="1801" max="2048" width="9.140625" style="586"/>
    <col min="2049" max="2050" width="4.7109375" style="586" customWidth="1"/>
    <col min="2051" max="2051" width="62.28515625" style="586" customWidth="1"/>
    <col min="2052" max="2052" width="16.5703125" style="586" customWidth="1"/>
    <col min="2053" max="2053" width="16.140625" style="586" customWidth="1"/>
    <col min="2054" max="2054" width="7.28515625" style="586" customWidth="1"/>
    <col min="2055" max="2055" width="9.140625" style="586"/>
    <col min="2056" max="2056" width="12.7109375" style="586" bestFit="1" customWidth="1"/>
    <col min="2057" max="2304" width="9.140625" style="586"/>
    <col min="2305" max="2306" width="4.7109375" style="586" customWidth="1"/>
    <col min="2307" max="2307" width="62.28515625" style="586" customWidth="1"/>
    <col min="2308" max="2308" width="16.5703125" style="586" customWidth="1"/>
    <col min="2309" max="2309" width="16.140625" style="586" customWidth="1"/>
    <col min="2310" max="2310" width="7.28515625" style="586" customWidth="1"/>
    <col min="2311" max="2311" width="9.140625" style="586"/>
    <col min="2312" max="2312" width="12.7109375" style="586" bestFit="1" customWidth="1"/>
    <col min="2313" max="2560" width="9.140625" style="586"/>
    <col min="2561" max="2562" width="4.7109375" style="586" customWidth="1"/>
    <col min="2563" max="2563" width="62.28515625" style="586" customWidth="1"/>
    <col min="2564" max="2564" width="16.5703125" style="586" customWidth="1"/>
    <col min="2565" max="2565" width="16.140625" style="586" customWidth="1"/>
    <col min="2566" max="2566" width="7.28515625" style="586" customWidth="1"/>
    <col min="2567" max="2567" width="9.140625" style="586"/>
    <col min="2568" max="2568" width="12.7109375" style="586" bestFit="1" customWidth="1"/>
    <col min="2569" max="2816" width="9.140625" style="586"/>
    <col min="2817" max="2818" width="4.7109375" style="586" customWidth="1"/>
    <col min="2819" max="2819" width="62.28515625" style="586" customWidth="1"/>
    <col min="2820" max="2820" width="16.5703125" style="586" customWidth="1"/>
    <col min="2821" max="2821" width="16.140625" style="586" customWidth="1"/>
    <col min="2822" max="2822" width="7.28515625" style="586" customWidth="1"/>
    <col min="2823" max="2823" width="9.140625" style="586"/>
    <col min="2824" max="2824" width="12.7109375" style="586" bestFit="1" customWidth="1"/>
    <col min="2825" max="3072" width="9.140625" style="586"/>
    <col min="3073" max="3074" width="4.7109375" style="586" customWidth="1"/>
    <col min="3075" max="3075" width="62.28515625" style="586" customWidth="1"/>
    <col min="3076" max="3076" width="16.5703125" style="586" customWidth="1"/>
    <col min="3077" max="3077" width="16.140625" style="586" customWidth="1"/>
    <col min="3078" max="3078" width="7.28515625" style="586" customWidth="1"/>
    <col min="3079" max="3079" width="9.140625" style="586"/>
    <col min="3080" max="3080" width="12.7109375" style="586" bestFit="1" customWidth="1"/>
    <col min="3081" max="3328" width="9.140625" style="586"/>
    <col min="3329" max="3330" width="4.7109375" style="586" customWidth="1"/>
    <col min="3331" max="3331" width="62.28515625" style="586" customWidth="1"/>
    <col min="3332" max="3332" width="16.5703125" style="586" customWidth="1"/>
    <col min="3333" max="3333" width="16.140625" style="586" customWidth="1"/>
    <col min="3334" max="3334" width="7.28515625" style="586" customWidth="1"/>
    <col min="3335" max="3335" width="9.140625" style="586"/>
    <col min="3336" max="3336" width="12.7109375" style="586" bestFit="1" customWidth="1"/>
    <col min="3337" max="3584" width="9.140625" style="586"/>
    <col min="3585" max="3586" width="4.7109375" style="586" customWidth="1"/>
    <col min="3587" max="3587" width="62.28515625" style="586" customWidth="1"/>
    <col min="3588" max="3588" width="16.5703125" style="586" customWidth="1"/>
    <col min="3589" max="3589" width="16.140625" style="586" customWidth="1"/>
    <col min="3590" max="3590" width="7.28515625" style="586" customWidth="1"/>
    <col min="3591" max="3591" width="9.140625" style="586"/>
    <col min="3592" max="3592" width="12.7109375" style="586" bestFit="1" customWidth="1"/>
    <col min="3593" max="3840" width="9.140625" style="586"/>
    <col min="3841" max="3842" width="4.7109375" style="586" customWidth="1"/>
    <col min="3843" max="3843" width="62.28515625" style="586" customWidth="1"/>
    <col min="3844" max="3844" width="16.5703125" style="586" customWidth="1"/>
    <col min="3845" max="3845" width="16.140625" style="586" customWidth="1"/>
    <col min="3846" max="3846" width="7.28515625" style="586" customWidth="1"/>
    <col min="3847" max="3847" width="9.140625" style="586"/>
    <col min="3848" max="3848" width="12.7109375" style="586" bestFit="1" customWidth="1"/>
    <col min="3849" max="4096" width="9.140625" style="586"/>
    <col min="4097" max="4098" width="4.7109375" style="586" customWidth="1"/>
    <col min="4099" max="4099" width="62.28515625" style="586" customWidth="1"/>
    <col min="4100" max="4100" width="16.5703125" style="586" customWidth="1"/>
    <col min="4101" max="4101" width="16.140625" style="586" customWidth="1"/>
    <col min="4102" max="4102" width="7.28515625" style="586" customWidth="1"/>
    <col min="4103" max="4103" width="9.140625" style="586"/>
    <col min="4104" max="4104" width="12.7109375" style="586" bestFit="1" customWidth="1"/>
    <col min="4105" max="4352" width="9.140625" style="586"/>
    <col min="4353" max="4354" width="4.7109375" style="586" customWidth="1"/>
    <col min="4355" max="4355" width="62.28515625" style="586" customWidth="1"/>
    <col min="4356" max="4356" width="16.5703125" style="586" customWidth="1"/>
    <col min="4357" max="4357" width="16.140625" style="586" customWidth="1"/>
    <col min="4358" max="4358" width="7.28515625" style="586" customWidth="1"/>
    <col min="4359" max="4359" width="9.140625" style="586"/>
    <col min="4360" max="4360" width="12.7109375" style="586" bestFit="1" customWidth="1"/>
    <col min="4361" max="4608" width="9.140625" style="586"/>
    <col min="4609" max="4610" width="4.7109375" style="586" customWidth="1"/>
    <col min="4611" max="4611" width="62.28515625" style="586" customWidth="1"/>
    <col min="4612" max="4612" width="16.5703125" style="586" customWidth="1"/>
    <col min="4613" max="4613" width="16.140625" style="586" customWidth="1"/>
    <col min="4614" max="4614" width="7.28515625" style="586" customWidth="1"/>
    <col min="4615" max="4615" width="9.140625" style="586"/>
    <col min="4616" max="4616" width="12.7109375" style="586" bestFit="1" customWidth="1"/>
    <col min="4617" max="4864" width="9.140625" style="586"/>
    <col min="4865" max="4866" width="4.7109375" style="586" customWidth="1"/>
    <col min="4867" max="4867" width="62.28515625" style="586" customWidth="1"/>
    <col min="4868" max="4868" width="16.5703125" style="586" customWidth="1"/>
    <col min="4869" max="4869" width="16.140625" style="586" customWidth="1"/>
    <col min="4870" max="4870" width="7.28515625" style="586" customWidth="1"/>
    <col min="4871" max="4871" width="9.140625" style="586"/>
    <col min="4872" max="4872" width="12.7109375" style="586" bestFit="1" customWidth="1"/>
    <col min="4873" max="5120" width="9.140625" style="586"/>
    <col min="5121" max="5122" width="4.7109375" style="586" customWidth="1"/>
    <col min="5123" max="5123" width="62.28515625" style="586" customWidth="1"/>
    <col min="5124" max="5124" width="16.5703125" style="586" customWidth="1"/>
    <col min="5125" max="5125" width="16.140625" style="586" customWidth="1"/>
    <col min="5126" max="5126" width="7.28515625" style="586" customWidth="1"/>
    <col min="5127" max="5127" width="9.140625" style="586"/>
    <col min="5128" max="5128" width="12.7109375" style="586" bestFit="1" customWidth="1"/>
    <col min="5129" max="5376" width="9.140625" style="586"/>
    <col min="5377" max="5378" width="4.7109375" style="586" customWidth="1"/>
    <col min="5379" max="5379" width="62.28515625" style="586" customWidth="1"/>
    <col min="5380" max="5380" width="16.5703125" style="586" customWidth="1"/>
    <col min="5381" max="5381" width="16.140625" style="586" customWidth="1"/>
    <col min="5382" max="5382" width="7.28515625" style="586" customWidth="1"/>
    <col min="5383" max="5383" width="9.140625" style="586"/>
    <col min="5384" max="5384" width="12.7109375" style="586" bestFit="1" customWidth="1"/>
    <col min="5385" max="5632" width="9.140625" style="586"/>
    <col min="5633" max="5634" width="4.7109375" style="586" customWidth="1"/>
    <col min="5635" max="5635" width="62.28515625" style="586" customWidth="1"/>
    <col min="5636" max="5636" width="16.5703125" style="586" customWidth="1"/>
    <col min="5637" max="5637" width="16.140625" style="586" customWidth="1"/>
    <col min="5638" max="5638" width="7.28515625" style="586" customWidth="1"/>
    <col min="5639" max="5639" width="9.140625" style="586"/>
    <col min="5640" max="5640" width="12.7109375" style="586" bestFit="1" customWidth="1"/>
    <col min="5641" max="5888" width="9.140625" style="586"/>
    <col min="5889" max="5890" width="4.7109375" style="586" customWidth="1"/>
    <col min="5891" max="5891" width="62.28515625" style="586" customWidth="1"/>
    <col min="5892" max="5892" width="16.5703125" style="586" customWidth="1"/>
    <col min="5893" max="5893" width="16.140625" style="586" customWidth="1"/>
    <col min="5894" max="5894" width="7.28515625" style="586" customWidth="1"/>
    <col min="5895" max="5895" width="9.140625" style="586"/>
    <col min="5896" max="5896" width="12.7109375" style="586" bestFit="1" customWidth="1"/>
    <col min="5897" max="6144" width="9.140625" style="586"/>
    <col min="6145" max="6146" width="4.7109375" style="586" customWidth="1"/>
    <col min="6147" max="6147" width="62.28515625" style="586" customWidth="1"/>
    <col min="6148" max="6148" width="16.5703125" style="586" customWidth="1"/>
    <col min="6149" max="6149" width="16.140625" style="586" customWidth="1"/>
    <col min="6150" max="6150" width="7.28515625" style="586" customWidth="1"/>
    <col min="6151" max="6151" width="9.140625" style="586"/>
    <col min="6152" max="6152" width="12.7109375" style="586" bestFit="1" customWidth="1"/>
    <col min="6153" max="6400" width="9.140625" style="586"/>
    <col min="6401" max="6402" width="4.7109375" style="586" customWidth="1"/>
    <col min="6403" max="6403" width="62.28515625" style="586" customWidth="1"/>
    <col min="6404" max="6404" width="16.5703125" style="586" customWidth="1"/>
    <col min="6405" max="6405" width="16.140625" style="586" customWidth="1"/>
    <col min="6406" max="6406" width="7.28515625" style="586" customWidth="1"/>
    <col min="6407" max="6407" width="9.140625" style="586"/>
    <col min="6408" max="6408" width="12.7109375" style="586" bestFit="1" customWidth="1"/>
    <col min="6409" max="6656" width="9.140625" style="586"/>
    <col min="6657" max="6658" width="4.7109375" style="586" customWidth="1"/>
    <col min="6659" max="6659" width="62.28515625" style="586" customWidth="1"/>
    <col min="6660" max="6660" width="16.5703125" style="586" customWidth="1"/>
    <col min="6661" max="6661" width="16.140625" style="586" customWidth="1"/>
    <col min="6662" max="6662" width="7.28515625" style="586" customWidth="1"/>
    <col min="6663" max="6663" width="9.140625" style="586"/>
    <col min="6664" max="6664" width="12.7109375" style="586" bestFit="1" customWidth="1"/>
    <col min="6665" max="6912" width="9.140625" style="586"/>
    <col min="6913" max="6914" width="4.7109375" style="586" customWidth="1"/>
    <col min="6915" max="6915" width="62.28515625" style="586" customWidth="1"/>
    <col min="6916" max="6916" width="16.5703125" style="586" customWidth="1"/>
    <col min="6917" max="6917" width="16.140625" style="586" customWidth="1"/>
    <col min="6918" max="6918" width="7.28515625" style="586" customWidth="1"/>
    <col min="6919" max="6919" width="9.140625" style="586"/>
    <col min="6920" max="6920" width="12.7109375" style="586" bestFit="1" customWidth="1"/>
    <col min="6921" max="7168" width="9.140625" style="586"/>
    <col min="7169" max="7170" width="4.7109375" style="586" customWidth="1"/>
    <col min="7171" max="7171" width="62.28515625" style="586" customWidth="1"/>
    <col min="7172" max="7172" width="16.5703125" style="586" customWidth="1"/>
    <col min="7173" max="7173" width="16.140625" style="586" customWidth="1"/>
    <col min="7174" max="7174" width="7.28515625" style="586" customWidth="1"/>
    <col min="7175" max="7175" width="9.140625" style="586"/>
    <col min="7176" max="7176" width="12.7109375" style="586" bestFit="1" customWidth="1"/>
    <col min="7177" max="7424" width="9.140625" style="586"/>
    <col min="7425" max="7426" width="4.7109375" style="586" customWidth="1"/>
    <col min="7427" max="7427" width="62.28515625" style="586" customWidth="1"/>
    <col min="7428" max="7428" width="16.5703125" style="586" customWidth="1"/>
    <col min="7429" max="7429" width="16.140625" style="586" customWidth="1"/>
    <col min="7430" max="7430" width="7.28515625" style="586" customWidth="1"/>
    <col min="7431" max="7431" width="9.140625" style="586"/>
    <col min="7432" max="7432" width="12.7109375" style="586" bestFit="1" customWidth="1"/>
    <col min="7433" max="7680" width="9.140625" style="586"/>
    <col min="7681" max="7682" width="4.7109375" style="586" customWidth="1"/>
    <col min="7683" max="7683" width="62.28515625" style="586" customWidth="1"/>
    <col min="7684" max="7684" width="16.5703125" style="586" customWidth="1"/>
    <col min="7685" max="7685" width="16.140625" style="586" customWidth="1"/>
    <col min="7686" max="7686" width="7.28515625" style="586" customWidth="1"/>
    <col min="7687" max="7687" width="9.140625" style="586"/>
    <col min="7688" max="7688" width="12.7109375" style="586" bestFit="1" customWidth="1"/>
    <col min="7689" max="7936" width="9.140625" style="586"/>
    <col min="7937" max="7938" width="4.7109375" style="586" customWidth="1"/>
    <col min="7939" max="7939" width="62.28515625" style="586" customWidth="1"/>
    <col min="7940" max="7940" width="16.5703125" style="586" customWidth="1"/>
    <col min="7941" max="7941" width="16.140625" style="586" customWidth="1"/>
    <col min="7942" max="7942" width="7.28515625" style="586" customWidth="1"/>
    <col min="7943" max="7943" width="9.140625" style="586"/>
    <col min="7944" max="7944" width="12.7109375" style="586" bestFit="1" customWidth="1"/>
    <col min="7945" max="8192" width="9.140625" style="586"/>
    <col min="8193" max="8194" width="4.7109375" style="586" customWidth="1"/>
    <col min="8195" max="8195" width="62.28515625" style="586" customWidth="1"/>
    <col min="8196" max="8196" width="16.5703125" style="586" customWidth="1"/>
    <col min="8197" max="8197" width="16.140625" style="586" customWidth="1"/>
    <col min="8198" max="8198" width="7.28515625" style="586" customWidth="1"/>
    <col min="8199" max="8199" width="9.140625" style="586"/>
    <col min="8200" max="8200" width="12.7109375" style="586" bestFit="1" customWidth="1"/>
    <col min="8201" max="8448" width="9.140625" style="586"/>
    <col min="8449" max="8450" width="4.7109375" style="586" customWidth="1"/>
    <col min="8451" max="8451" width="62.28515625" style="586" customWidth="1"/>
    <col min="8452" max="8452" width="16.5703125" style="586" customWidth="1"/>
    <col min="8453" max="8453" width="16.140625" style="586" customWidth="1"/>
    <col min="8454" max="8454" width="7.28515625" style="586" customWidth="1"/>
    <col min="8455" max="8455" width="9.140625" style="586"/>
    <col min="8456" max="8456" width="12.7109375" style="586" bestFit="1" customWidth="1"/>
    <col min="8457" max="8704" width="9.140625" style="586"/>
    <col min="8705" max="8706" width="4.7109375" style="586" customWidth="1"/>
    <col min="8707" max="8707" width="62.28515625" style="586" customWidth="1"/>
    <col min="8708" max="8708" width="16.5703125" style="586" customWidth="1"/>
    <col min="8709" max="8709" width="16.140625" style="586" customWidth="1"/>
    <col min="8710" max="8710" width="7.28515625" style="586" customWidth="1"/>
    <col min="8711" max="8711" width="9.140625" style="586"/>
    <col min="8712" max="8712" width="12.7109375" style="586" bestFit="1" customWidth="1"/>
    <col min="8713" max="8960" width="9.140625" style="586"/>
    <col min="8961" max="8962" width="4.7109375" style="586" customWidth="1"/>
    <col min="8963" max="8963" width="62.28515625" style="586" customWidth="1"/>
    <col min="8964" max="8964" width="16.5703125" style="586" customWidth="1"/>
    <col min="8965" max="8965" width="16.140625" style="586" customWidth="1"/>
    <col min="8966" max="8966" width="7.28515625" style="586" customWidth="1"/>
    <col min="8967" max="8967" width="9.140625" style="586"/>
    <col min="8968" max="8968" width="12.7109375" style="586" bestFit="1" customWidth="1"/>
    <col min="8969" max="9216" width="9.140625" style="586"/>
    <col min="9217" max="9218" width="4.7109375" style="586" customWidth="1"/>
    <col min="9219" max="9219" width="62.28515625" style="586" customWidth="1"/>
    <col min="9220" max="9220" width="16.5703125" style="586" customWidth="1"/>
    <col min="9221" max="9221" width="16.140625" style="586" customWidth="1"/>
    <col min="9222" max="9222" width="7.28515625" style="586" customWidth="1"/>
    <col min="9223" max="9223" width="9.140625" style="586"/>
    <col min="9224" max="9224" width="12.7109375" style="586" bestFit="1" customWidth="1"/>
    <col min="9225" max="9472" width="9.140625" style="586"/>
    <col min="9473" max="9474" width="4.7109375" style="586" customWidth="1"/>
    <col min="9475" max="9475" width="62.28515625" style="586" customWidth="1"/>
    <col min="9476" max="9476" width="16.5703125" style="586" customWidth="1"/>
    <col min="9477" max="9477" width="16.140625" style="586" customWidth="1"/>
    <col min="9478" max="9478" width="7.28515625" style="586" customWidth="1"/>
    <col min="9479" max="9479" width="9.140625" style="586"/>
    <col min="9480" max="9480" width="12.7109375" style="586" bestFit="1" customWidth="1"/>
    <col min="9481" max="9728" width="9.140625" style="586"/>
    <col min="9729" max="9730" width="4.7109375" style="586" customWidth="1"/>
    <col min="9731" max="9731" width="62.28515625" style="586" customWidth="1"/>
    <col min="9732" max="9732" width="16.5703125" style="586" customWidth="1"/>
    <col min="9733" max="9733" width="16.140625" style="586" customWidth="1"/>
    <col min="9734" max="9734" width="7.28515625" style="586" customWidth="1"/>
    <col min="9735" max="9735" width="9.140625" style="586"/>
    <col min="9736" max="9736" width="12.7109375" style="586" bestFit="1" customWidth="1"/>
    <col min="9737" max="9984" width="9.140625" style="586"/>
    <col min="9985" max="9986" width="4.7109375" style="586" customWidth="1"/>
    <col min="9987" max="9987" width="62.28515625" style="586" customWidth="1"/>
    <col min="9988" max="9988" width="16.5703125" style="586" customWidth="1"/>
    <col min="9989" max="9989" width="16.140625" style="586" customWidth="1"/>
    <col min="9990" max="9990" width="7.28515625" style="586" customWidth="1"/>
    <col min="9991" max="9991" width="9.140625" style="586"/>
    <col min="9992" max="9992" width="12.7109375" style="586" bestFit="1" customWidth="1"/>
    <col min="9993" max="10240" width="9.140625" style="586"/>
    <col min="10241" max="10242" width="4.7109375" style="586" customWidth="1"/>
    <col min="10243" max="10243" width="62.28515625" style="586" customWidth="1"/>
    <col min="10244" max="10244" width="16.5703125" style="586" customWidth="1"/>
    <col min="10245" max="10245" width="16.140625" style="586" customWidth="1"/>
    <col min="10246" max="10246" width="7.28515625" style="586" customWidth="1"/>
    <col min="10247" max="10247" width="9.140625" style="586"/>
    <col min="10248" max="10248" width="12.7109375" style="586" bestFit="1" customWidth="1"/>
    <col min="10249" max="10496" width="9.140625" style="586"/>
    <col min="10497" max="10498" width="4.7109375" style="586" customWidth="1"/>
    <col min="10499" max="10499" width="62.28515625" style="586" customWidth="1"/>
    <col min="10500" max="10500" width="16.5703125" style="586" customWidth="1"/>
    <col min="10501" max="10501" width="16.140625" style="586" customWidth="1"/>
    <col min="10502" max="10502" width="7.28515625" style="586" customWidth="1"/>
    <col min="10503" max="10503" width="9.140625" style="586"/>
    <col min="10504" max="10504" width="12.7109375" style="586" bestFit="1" customWidth="1"/>
    <col min="10505" max="10752" width="9.140625" style="586"/>
    <col min="10753" max="10754" width="4.7109375" style="586" customWidth="1"/>
    <col min="10755" max="10755" width="62.28515625" style="586" customWidth="1"/>
    <col min="10756" max="10756" width="16.5703125" style="586" customWidth="1"/>
    <col min="10757" max="10757" width="16.140625" style="586" customWidth="1"/>
    <col min="10758" max="10758" width="7.28515625" style="586" customWidth="1"/>
    <col min="10759" max="10759" width="9.140625" style="586"/>
    <col min="10760" max="10760" width="12.7109375" style="586" bestFit="1" customWidth="1"/>
    <col min="10761" max="11008" width="9.140625" style="586"/>
    <col min="11009" max="11010" width="4.7109375" style="586" customWidth="1"/>
    <col min="11011" max="11011" width="62.28515625" style="586" customWidth="1"/>
    <col min="11012" max="11012" width="16.5703125" style="586" customWidth="1"/>
    <col min="11013" max="11013" width="16.140625" style="586" customWidth="1"/>
    <col min="11014" max="11014" width="7.28515625" style="586" customWidth="1"/>
    <col min="11015" max="11015" width="9.140625" style="586"/>
    <col min="11016" max="11016" width="12.7109375" style="586" bestFit="1" customWidth="1"/>
    <col min="11017" max="11264" width="9.140625" style="586"/>
    <col min="11265" max="11266" width="4.7109375" style="586" customWidth="1"/>
    <col min="11267" max="11267" width="62.28515625" style="586" customWidth="1"/>
    <col min="11268" max="11268" width="16.5703125" style="586" customWidth="1"/>
    <col min="11269" max="11269" width="16.140625" style="586" customWidth="1"/>
    <col min="11270" max="11270" width="7.28515625" style="586" customWidth="1"/>
    <col min="11271" max="11271" width="9.140625" style="586"/>
    <col min="11272" max="11272" width="12.7109375" style="586" bestFit="1" customWidth="1"/>
    <col min="11273" max="11520" width="9.140625" style="586"/>
    <col min="11521" max="11522" width="4.7109375" style="586" customWidth="1"/>
    <col min="11523" max="11523" width="62.28515625" style="586" customWidth="1"/>
    <col min="11524" max="11524" width="16.5703125" style="586" customWidth="1"/>
    <col min="11525" max="11525" width="16.140625" style="586" customWidth="1"/>
    <col min="11526" max="11526" width="7.28515625" style="586" customWidth="1"/>
    <col min="11527" max="11527" width="9.140625" style="586"/>
    <col min="11528" max="11528" width="12.7109375" style="586" bestFit="1" customWidth="1"/>
    <col min="11529" max="11776" width="9.140625" style="586"/>
    <col min="11777" max="11778" width="4.7109375" style="586" customWidth="1"/>
    <col min="11779" max="11779" width="62.28515625" style="586" customWidth="1"/>
    <col min="11780" max="11780" width="16.5703125" style="586" customWidth="1"/>
    <col min="11781" max="11781" width="16.140625" style="586" customWidth="1"/>
    <col min="11782" max="11782" width="7.28515625" style="586" customWidth="1"/>
    <col min="11783" max="11783" width="9.140625" style="586"/>
    <col min="11784" max="11784" width="12.7109375" style="586" bestFit="1" customWidth="1"/>
    <col min="11785" max="12032" width="9.140625" style="586"/>
    <col min="12033" max="12034" width="4.7109375" style="586" customWidth="1"/>
    <col min="12035" max="12035" width="62.28515625" style="586" customWidth="1"/>
    <col min="12036" max="12036" width="16.5703125" style="586" customWidth="1"/>
    <col min="12037" max="12037" width="16.140625" style="586" customWidth="1"/>
    <col min="12038" max="12038" width="7.28515625" style="586" customWidth="1"/>
    <col min="12039" max="12039" width="9.140625" style="586"/>
    <col min="12040" max="12040" width="12.7109375" style="586" bestFit="1" customWidth="1"/>
    <col min="12041" max="12288" width="9.140625" style="586"/>
    <col min="12289" max="12290" width="4.7109375" style="586" customWidth="1"/>
    <col min="12291" max="12291" width="62.28515625" style="586" customWidth="1"/>
    <col min="12292" max="12292" width="16.5703125" style="586" customWidth="1"/>
    <col min="12293" max="12293" width="16.140625" style="586" customWidth="1"/>
    <col min="12294" max="12294" width="7.28515625" style="586" customWidth="1"/>
    <col min="12295" max="12295" width="9.140625" style="586"/>
    <col min="12296" max="12296" width="12.7109375" style="586" bestFit="1" customWidth="1"/>
    <col min="12297" max="12544" width="9.140625" style="586"/>
    <col min="12545" max="12546" width="4.7109375" style="586" customWidth="1"/>
    <col min="12547" max="12547" width="62.28515625" style="586" customWidth="1"/>
    <col min="12548" max="12548" width="16.5703125" style="586" customWidth="1"/>
    <col min="12549" max="12549" width="16.140625" style="586" customWidth="1"/>
    <col min="12550" max="12550" width="7.28515625" style="586" customWidth="1"/>
    <col min="12551" max="12551" width="9.140625" style="586"/>
    <col min="12552" max="12552" width="12.7109375" style="586" bestFit="1" customWidth="1"/>
    <col min="12553" max="12800" width="9.140625" style="586"/>
    <col min="12801" max="12802" width="4.7109375" style="586" customWidth="1"/>
    <col min="12803" max="12803" width="62.28515625" style="586" customWidth="1"/>
    <col min="12804" max="12804" width="16.5703125" style="586" customWidth="1"/>
    <col min="12805" max="12805" width="16.140625" style="586" customWidth="1"/>
    <col min="12806" max="12806" width="7.28515625" style="586" customWidth="1"/>
    <col min="12807" max="12807" width="9.140625" style="586"/>
    <col min="12808" max="12808" width="12.7109375" style="586" bestFit="1" customWidth="1"/>
    <col min="12809" max="13056" width="9.140625" style="586"/>
    <col min="13057" max="13058" width="4.7109375" style="586" customWidth="1"/>
    <col min="13059" max="13059" width="62.28515625" style="586" customWidth="1"/>
    <col min="13060" max="13060" width="16.5703125" style="586" customWidth="1"/>
    <col min="13061" max="13061" width="16.140625" style="586" customWidth="1"/>
    <col min="13062" max="13062" width="7.28515625" style="586" customWidth="1"/>
    <col min="13063" max="13063" width="9.140625" style="586"/>
    <col min="13064" max="13064" width="12.7109375" style="586" bestFit="1" customWidth="1"/>
    <col min="13065" max="13312" width="9.140625" style="586"/>
    <col min="13313" max="13314" width="4.7109375" style="586" customWidth="1"/>
    <col min="13315" max="13315" width="62.28515625" style="586" customWidth="1"/>
    <col min="13316" max="13316" width="16.5703125" style="586" customWidth="1"/>
    <col min="13317" max="13317" width="16.140625" style="586" customWidth="1"/>
    <col min="13318" max="13318" width="7.28515625" style="586" customWidth="1"/>
    <col min="13319" max="13319" width="9.140625" style="586"/>
    <col min="13320" max="13320" width="12.7109375" style="586" bestFit="1" customWidth="1"/>
    <col min="13321" max="13568" width="9.140625" style="586"/>
    <col min="13569" max="13570" width="4.7109375" style="586" customWidth="1"/>
    <col min="13571" max="13571" width="62.28515625" style="586" customWidth="1"/>
    <col min="13572" max="13572" width="16.5703125" style="586" customWidth="1"/>
    <col min="13573" max="13573" width="16.140625" style="586" customWidth="1"/>
    <col min="13574" max="13574" width="7.28515625" style="586" customWidth="1"/>
    <col min="13575" max="13575" width="9.140625" style="586"/>
    <col min="13576" max="13576" width="12.7109375" style="586" bestFit="1" customWidth="1"/>
    <col min="13577" max="13824" width="9.140625" style="586"/>
    <col min="13825" max="13826" width="4.7109375" style="586" customWidth="1"/>
    <col min="13827" max="13827" width="62.28515625" style="586" customWidth="1"/>
    <col min="13828" max="13828" width="16.5703125" style="586" customWidth="1"/>
    <col min="13829" max="13829" width="16.140625" style="586" customWidth="1"/>
    <col min="13830" max="13830" width="7.28515625" style="586" customWidth="1"/>
    <col min="13831" max="13831" width="9.140625" style="586"/>
    <col min="13832" max="13832" width="12.7109375" style="586" bestFit="1" customWidth="1"/>
    <col min="13833" max="14080" width="9.140625" style="586"/>
    <col min="14081" max="14082" width="4.7109375" style="586" customWidth="1"/>
    <col min="14083" max="14083" width="62.28515625" style="586" customWidth="1"/>
    <col min="14084" max="14084" width="16.5703125" style="586" customWidth="1"/>
    <col min="14085" max="14085" width="16.140625" style="586" customWidth="1"/>
    <col min="14086" max="14086" width="7.28515625" style="586" customWidth="1"/>
    <col min="14087" max="14087" width="9.140625" style="586"/>
    <col min="14088" max="14088" width="12.7109375" style="586" bestFit="1" customWidth="1"/>
    <col min="14089" max="14336" width="9.140625" style="586"/>
    <col min="14337" max="14338" width="4.7109375" style="586" customWidth="1"/>
    <col min="14339" max="14339" width="62.28515625" style="586" customWidth="1"/>
    <col min="14340" max="14340" width="16.5703125" style="586" customWidth="1"/>
    <col min="14341" max="14341" width="16.140625" style="586" customWidth="1"/>
    <col min="14342" max="14342" width="7.28515625" style="586" customWidth="1"/>
    <col min="14343" max="14343" width="9.140625" style="586"/>
    <col min="14344" max="14344" width="12.7109375" style="586" bestFit="1" customWidth="1"/>
    <col min="14345" max="14592" width="9.140625" style="586"/>
    <col min="14593" max="14594" width="4.7109375" style="586" customWidth="1"/>
    <col min="14595" max="14595" width="62.28515625" style="586" customWidth="1"/>
    <col min="14596" max="14596" width="16.5703125" style="586" customWidth="1"/>
    <col min="14597" max="14597" width="16.140625" style="586" customWidth="1"/>
    <col min="14598" max="14598" width="7.28515625" style="586" customWidth="1"/>
    <col min="14599" max="14599" width="9.140625" style="586"/>
    <col min="14600" max="14600" width="12.7109375" style="586" bestFit="1" customWidth="1"/>
    <col min="14601" max="14848" width="9.140625" style="586"/>
    <col min="14849" max="14850" width="4.7109375" style="586" customWidth="1"/>
    <col min="14851" max="14851" width="62.28515625" style="586" customWidth="1"/>
    <col min="14852" max="14852" width="16.5703125" style="586" customWidth="1"/>
    <col min="14853" max="14853" width="16.140625" style="586" customWidth="1"/>
    <col min="14854" max="14854" width="7.28515625" style="586" customWidth="1"/>
    <col min="14855" max="14855" width="9.140625" style="586"/>
    <col min="14856" max="14856" width="12.7109375" style="586" bestFit="1" customWidth="1"/>
    <col min="14857" max="15104" width="9.140625" style="586"/>
    <col min="15105" max="15106" width="4.7109375" style="586" customWidth="1"/>
    <col min="15107" max="15107" width="62.28515625" style="586" customWidth="1"/>
    <col min="15108" max="15108" width="16.5703125" style="586" customWidth="1"/>
    <col min="15109" max="15109" width="16.140625" style="586" customWidth="1"/>
    <col min="15110" max="15110" width="7.28515625" style="586" customWidth="1"/>
    <col min="15111" max="15111" width="9.140625" style="586"/>
    <col min="15112" max="15112" width="12.7109375" style="586" bestFit="1" customWidth="1"/>
    <col min="15113" max="15360" width="9.140625" style="586"/>
    <col min="15361" max="15362" width="4.7109375" style="586" customWidth="1"/>
    <col min="15363" max="15363" width="62.28515625" style="586" customWidth="1"/>
    <col min="15364" max="15364" width="16.5703125" style="586" customWidth="1"/>
    <col min="15365" max="15365" width="16.140625" style="586" customWidth="1"/>
    <col min="15366" max="15366" width="7.28515625" style="586" customWidth="1"/>
    <col min="15367" max="15367" width="9.140625" style="586"/>
    <col min="15368" max="15368" width="12.7109375" style="586" bestFit="1" customWidth="1"/>
    <col min="15369" max="15616" width="9.140625" style="586"/>
    <col min="15617" max="15618" width="4.7109375" style="586" customWidth="1"/>
    <col min="15619" max="15619" width="62.28515625" style="586" customWidth="1"/>
    <col min="15620" max="15620" width="16.5703125" style="586" customWidth="1"/>
    <col min="15621" max="15621" width="16.140625" style="586" customWidth="1"/>
    <col min="15622" max="15622" width="7.28515625" style="586" customWidth="1"/>
    <col min="15623" max="15623" width="9.140625" style="586"/>
    <col min="15624" max="15624" width="12.7109375" style="586" bestFit="1" customWidth="1"/>
    <col min="15625" max="15872" width="9.140625" style="586"/>
    <col min="15873" max="15874" width="4.7109375" style="586" customWidth="1"/>
    <col min="15875" max="15875" width="62.28515625" style="586" customWidth="1"/>
    <col min="15876" max="15876" width="16.5703125" style="586" customWidth="1"/>
    <col min="15877" max="15877" width="16.140625" style="586" customWidth="1"/>
    <col min="15878" max="15878" width="7.28515625" style="586" customWidth="1"/>
    <col min="15879" max="15879" width="9.140625" style="586"/>
    <col min="15880" max="15880" width="12.7109375" style="586" bestFit="1" customWidth="1"/>
    <col min="15881" max="16128" width="9.140625" style="586"/>
    <col min="16129" max="16130" width="4.7109375" style="586" customWidth="1"/>
    <col min="16131" max="16131" width="62.28515625" style="586" customWidth="1"/>
    <col min="16132" max="16132" width="16.5703125" style="586" customWidth="1"/>
    <col min="16133" max="16133" width="16.140625" style="586" customWidth="1"/>
    <col min="16134" max="16134" width="7.28515625" style="586" customWidth="1"/>
    <col min="16135" max="16135" width="9.140625" style="586"/>
    <col min="16136" max="16136" width="12.7109375" style="586" bestFit="1" customWidth="1"/>
    <col min="16137" max="16384" width="9.140625" style="586"/>
  </cols>
  <sheetData>
    <row r="1" spans="1:8" x14ac:dyDescent="0.2">
      <c r="E1" s="587" t="s">
        <v>999</v>
      </c>
    </row>
    <row r="2" spans="1:8" x14ac:dyDescent="0.2">
      <c r="E2" s="589" t="str">
        <f>'1.Bev-kiad.'!L2</f>
        <v>a 9/2026.(V.29.) önkormányzati rendelethez</v>
      </c>
    </row>
    <row r="3" spans="1:8" ht="23.25" customHeight="1" x14ac:dyDescent="0.35">
      <c r="A3" s="805" t="s">
        <v>22</v>
      </c>
      <c r="B3" s="805"/>
      <c r="C3" s="805"/>
      <c r="D3" s="805"/>
      <c r="E3" s="805"/>
      <c r="F3" s="590"/>
      <c r="G3" s="590"/>
      <c r="H3" s="590"/>
    </row>
    <row r="4" spans="1:8" ht="21" customHeight="1" x14ac:dyDescent="0.35">
      <c r="A4" s="805" t="s">
        <v>1074</v>
      </c>
      <c r="B4" s="805"/>
      <c r="C4" s="805"/>
      <c r="D4" s="805"/>
      <c r="E4" s="805"/>
      <c r="F4" s="590"/>
      <c r="G4" s="590"/>
      <c r="H4" s="590"/>
    </row>
    <row r="5" spans="1:8" ht="13.5" customHeight="1" thickBot="1" x14ac:dyDescent="0.25">
      <c r="E5" s="591" t="s">
        <v>336</v>
      </c>
    </row>
    <row r="6" spans="1:8" ht="19.5" customHeight="1" x14ac:dyDescent="0.2">
      <c r="A6" s="807" t="s">
        <v>1000</v>
      </c>
      <c r="B6" s="808"/>
      <c r="C6" s="808"/>
      <c r="D6" s="809" t="s">
        <v>1075</v>
      </c>
      <c r="E6" s="810"/>
    </row>
    <row r="7" spans="1:8" ht="15" customHeight="1" thickBot="1" x14ac:dyDescent="0.25">
      <c r="A7" s="592"/>
      <c r="B7" s="593"/>
      <c r="C7" s="593"/>
      <c r="D7" s="594" t="s">
        <v>1001</v>
      </c>
      <c r="E7" s="595" t="s">
        <v>1002</v>
      </c>
    </row>
    <row r="8" spans="1:8" ht="22.5" customHeight="1" x14ac:dyDescent="0.2">
      <c r="A8" s="596" t="s">
        <v>1003</v>
      </c>
      <c r="B8" s="811" t="s">
        <v>1004</v>
      </c>
      <c r="C8" s="811"/>
      <c r="D8" s="597">
        <f>SUM(D9+D18+D64)</f>
        <v>7976625</v>
      </c>
      <c r="E8" s="597">
        <f>SUM(E9+E18+E64)</f>
        <v>9439317</v>
      </c>
    </row>
    <row r="9" spans="1:8" ht="12.75" customHeight="1" x14ac:dyDescent="0.2">
      <c r="A9" s="598"/>
      <c r="B9" s="598" t="s">
        <v>1005</v>
      </c>
      <c r="C9" s="599" t="s">
        <v>1006</v>
      </c>
      <c r="D9" s="600">
        <f>D11+D17</f>
        <v>0</v>
      </c>
      <c r="E9" s="600">
        <f>E11+E17</f>
        <v>0</v>
      </c>
    </row>
    <row r="10" spans="1:8" x14ac:dyDescent="0.2">
      <c r="A10" s="598"/>
      <c r="B10" s="598"/>
      <c r="C10" s="598" t="s">
        <v>1007</v>
      </c>
      <c r="D10" s="601"/>
      <c r="E10" s="600"/>
    </row>
    <row r="11" spans="1:8" ht="12.75" customHeight="1" x14ac:dyDescent="0.2">
      <c r="A11" s="598"/>
      <c r="B11" s="598"/>
      <c r="C11" s="602" t="s">
        <v>1008</v>
      </c>
      <c r="D11" s="601">
        <f>D13+D16</f>
        <v>0</v>
      </c>
      <c r="E11" s="601">
        <f>E13+E16</f>
        <v>0</v>
      </c>
    </row>
    <row r="12" spans="1:8" ht="12.75" customHeight="1" x14ac:dyDescent="0.2">
      <c r="A12" s="598"/>
      <c r="B12" s="598"/>
      <c r="C12" s="598" t="s">
        <v>1009</v>
      </c>
      <c r="D12" s="601"/>
      <c r="E12" s="600"/>
    </row>
    <row r="13" spans="1:8" ht="12.75" customHeight="1" x14ac:dyDescent="0.2">
      <c r="A13" s="598"/>
      <c r="B13" s="598"/>
      <c r="C13" s="602" t="s">
        <v>1010</v>
      </c>
      <c r="D13" s="601"/>
      <c r="E13" s="600"/>
    </row>
    <row r="14" spans="1:8" ht="12.75" customHeight="1" x14ac:dyDescent="0.2">
      <c r="A14" s="598"/>
      <c r="B14" s="598"/>
      <c r="C14" s="602" t="s">
        <v>1011</v>
      </c>
      <c r="D14" s="601"/>
      <c r="E14" s="600"/>
    </row>
    <row r="15" spans="1:8" x14ac:dyDescent="0.2">
      <c r="A15" s="598"/>
      <c r="B15" s="598"/>
      <c r="C15" s="603" t="s">
        <v>1012</v>
      </c>
      <c r="D15" s="601"/>
      <c r="E15" s="600"/>
    </row>
    <row r="16" spans="1:8" ht="12.75" customHeight="1" x14ac:dyDescent="0.2">
      <c r="A16" s="598"/>
      <c r="B16" s="598"/>
      <c r="C16" s="602" t="s">
        <v>1013</v>
      </c>
      <c r="D16" s="601">
        <v>0</v>
      </c>
      <c r="E16" s="601">
        <v>0</v>
      </c>
    </row>
    <row r="17" spans="1:6" ht="12.75" customHeight="1" x14ac:dyDescent="0.2">
      <c r="A17" s="598"/>
      <c r="B17" s="598"/>
      <c r="C17" s="602" t="s">
        <v>1014</v>
      </c>
      <c r="D17" s="601">
        <v>0</v>
      </c>
      <c r="E17" s="601">
        <v>0</v>
      </c>
    </row>
    <row r="18" spans="1:6" ht="12.75" customHeight="1" x14ac:dyDescent="0.2">
      <c r="A18" s="598"/>
      <c r="B18" s="598" t="s">
        <v>1015</v>
      </c>
      <c r="C18" s="599" t="s">
        <v>1016</v>
      </c>
      <c r="D18" s="600">
        <f>SUM(D19+D28+D37+D46+D55)</f>
        <v>7826679</v>
      </c>
      <c r="E18" s="600">
        <f>SUM(E19+E28+E37+E46+E55)</f>
        <v>9289371</v>
      </c>
    </row>
    <row r="19" spans="1:6" ht="12.75" customHeight="1" x14ac:dyDescent="0.2">
      <c r="A19" s="604"/>
      <c r="B19" s="604"/>
      <c r="C19" s="599" t="s">
        <v>1017</v>
      </c>
      <c r="D19" s="600">
        <f>SUM(D21+D27)</f>
        <v>6755317</v>
      </c>
      <c r="E19" s="600">
        <f>SUM(E21+E27)</f>
        <v>8162442</v>
      </c>
      <c r="F19" s="605"/>
    </row>
    <row r="20" spans="1:6" x14ac:dyDescent="0.2">
      <c r="A20" s="604"/>
      <c r="B20" s="604"/>
      <c r="C20" s="598" t="s">
        <v>1018</v>
      </c>
      <c r="D20" s="601"/>
      <c r="E20" s="600"/>
    </row>
    <row r="21" spans="1:6" ht="12.75" customHeight="1" x14ac:dyDescent="0.2">
      <c r="A21" s="604"/>
      <c r="B21" s="604"/>
      <c r="C21" s="602" t="s">
        <v>1008</v>
      </c>
      <c r="D21" s="601">
        <f>SUM(D23+D26)</f>
        <v>6012579</v>
      </c>
      <c r="E21" s="601">
        <f>SUM(E23+E26)</f>
        <v>7372712</v>
      </c>
    </row>
    <row r="22" spans="1:6" ht="12.75" customHeight="1" x14ac:dyDescent="0.2">
      <c r="A22" s="604"/>
      <c r="B22" s="604"/>
      <c r="C22" s="598" t="s">
        <v>1019</v>
      </c>
      <c r="D22" s="601"/>
      <c r="E22" s="600"/>
    </row>
    <row r="23" spans="1:6" ht="12.75" customHeight="1" x14ac:dyDescent="0.2">
      <c r="A23" s="604"/>
      <c r="B23" s="604"/>
      <c r="C23" s="602" t="s">
        <v>1010</v>
      </c>
      <c r="D23" s="601">
        <f>D24</f>
        <v>4195215</v>
      </c>
      <c r="E23" s="601">
        <f>E24</f>
        <v>5411605</v>
      </c>
    </row>
    <row r="24" spans="1:6" ht="12.75" customHeight="1" x14ac:dyDescent="0.2">
      <c r="A24" s="604"/>
      <c r="B24" s="604"/>
      <c r="C24" s="602" t="s">
        <v>1020</v>
      </c>
      <c r="D24" s="606">
        <v>4195215</v>
      </c>
      <c r="E24" s="606">
        <v>5411605</v>
      </c>
    </row>
    <row r="25" spans="1:6" x14ac:dyDescent="0.2">
      <c r="A25" s="604"/>
      <c r="B25" s="604"/>
      <c r="C25" s="602" t="s">
        <v>1021</v>
      </c>
      <c r="D25" s="606"/>
      <c r="E25" s="607"/>
    </row>
    <row r="26" spans="1:6" ht="12.75" customHeight="1" x14ac:dyDescent="0.2">
      <c r="A26" s="604"/>
      <c r="B26" s="604"/>
      <c r="C26" s="602" t="s">
        <v>1013</v>
      </c>
      <c r="D26" s="601">
        <v>1817364</v>
      </c>
      <c r="E26" s="601">
        <v>1961107</v>
      </c>
    </row>
    <row r="27" spans="1:6" ht="12.75" customHeight="1" x14ac:dyDescent="0.2">
      <c r="A27" s="604"/>
      <c r="B27" s="604"/>
      <c r="C27" s="602" t="s">
        <v>1022</v>
      </c>
      <c r="D27" s="601">
        <v>742738</v>
      </c>
      <c r="E27" s="601">
        <v>789730</v>
      </c>
    </row>
    <row r="28" spans="1:6" ht="12.75" customHeight="1" x14ac:dyDescent="0.2">
      <c r="A28" s="598"/>
      <c r="B28" s="598"/>
      <c r="C28" s="599" t="s">
        <v>1023</v>
      </c>
      <c r="D28" s="600">
        <f>SUM(D30+D36)</f>
        <v>59016</v>
      </c>
      <c r="E28" s="600">
        <f>SUM(E30+E36)</f>
        <v>114583</v>
      </c>
    </row>
    <row r="29" spans="1:6" ht="12.75" customHeight="1" x14ac:dyDescent="0.2">
      <c r="A29" s="598"/>
      <c r="B29" s="598"/>
      <c r="C29" s="598" t="s">
        <v>1024</v>
      </c>
      <c r="D29" s="601"/>
      <c r="E29" s="600"/>
    </row>
    <row r="30" spans="1:6" ht="12.75" customHeight="1" x14ac:dyDescent="0.2">
      <c r="A30" s="598"/>
      <c r="B30" s="598"/>
      <c r="C30" s="602" t="s">
        <v>1008</v>
      </c>
      <c r="D30" s="601">
        <f>D32+D35</f>
        <v>228</v>
      </c>
      <c r="E30" s="601">
        <f>E32+E35</f>
        <v>2671</v>
      </c>
    </row>
    <row r="31" spans="1:6" ht="12.75" customHeight="1" x14ac:dyDescent="0.2">
      <c r="A31" s="598"/>
      <c r="B31" s="598"/>
      <c r="C31" s="598" t="s">
        <v>1019</v>
      </c>
      <c r="D31" s="601"/>
      <c r="E31" s="600"/>
    </row>
    <row r="32" spans="1:6" ht="12.75" customHeight="1" x14ac:dyDescent="0.2">
      <c r="A32" s="598"/>
      <c r="B32" s="598"/>
      <c r="C32" s="602" t="s">
        <v>1010</v>
      </c>
      <c r="D32" s="601"/>
      <c r="E32" s="600"/>
    </row>
    <row r="33" spans="1:5" ht="12.75" customHeight="1" x14ac:dyDescent="0.2">
      <c r="A33" s="598"/>
      <c r="B33" s="598"/>
      <c r="C33" s="602" t="s">
        <v>1020</v>
      </c>
      <c r="D33" s="601"/>
      <c r="E33" s="600"/>
    </row>
    <row r="34" spans="1:5" x14ac:dyDescent="0.2">
      <c r="A34" s="598"/>
      <c r="B34" s="598"/>
      <c r="C34" s="602" t="s">
        <v>1021</v>
      </c>
      <c r="D34" s="601"/>
      <c r="E34" s="600"/>
    </row>
    <row r="35" spans="1:5" ht="12.75" customHeight="1" x14ac:dyDescent="0.2">
      <c r="A35" s="598"/>
      <c r="B35" s="598"/>
      <c r="C35" s="602" t="s">
        <v>1013</v>
      </c>
      <c r="D35" s="601">
        <v>228</v>
      </c>
      <c r="E35" s="601">
        <v>2671</v>
      </c>
    </row>
    <row r="36" spans="1:5" ht="12.75" customHeight="1" x14ac:dyDescent="0.2">
      <c r="A36" s="598"/>
      <c r="B36" s="598"/>
      <c r="C36" s="602" t="s">
        <v>1022</v>
      </c>
      <c r="D36" s="601">
        <v>58788</v>
      </c>
      <c r="E36" s="601">
        <v>111912</v>
      </c>
    </row>
    <row r="37" spans="1:5" ht="12.75" customHeight="1" x14ac:dyDescent="0.2">
      <c r="A37" s="598"/>
      <c r="B37" s="598"/>
      <c r="C37" s="599" t="s">
        <v>1025</v>
      </c>
      <c r="D37" s="600">
        <v>0</v>
      </c>
      <c r="E37" s="600">
        <v>0</v>
      </c>
    </row>
    <row r="38" spans="1:5" ht="12.75" customHeight="1" x14ac:dyDescent="0.2">
      <c r="A38" s="598"/>
      <c r="B38" s="598"/>
      <c r="C38" s="598" t="s">
        <v>1024</v>
      </c>
      <c r="D38" s="601"/>
      <c r="E38" s="600"/>
    </row>
    <row r="39" spans="1:5" ht="12.75" customHeight="1" x14ac:dyDescent="0.2">
      <c r="A39" s="598"/>
      <c r="B39" s="598"/>
      <c r="C39" s="602" t="s">
        <v>1008</v>
      </c>
      <c r="D39" s="601"/>
      <c r="E39" s="600"/>
    </row>
    <row r="40" spans="1:5" ht="12.75" customHeight="1" x14ac:dyDescent="0.2">
      <c r="A40" s="598"/>
      <c r="B40" s="598"/>
      <c r="C40" s="598" t="s">
        <v>1019</v>
      </c>
      <c r="D40" s="601"/>
      <c r="E40" s="600"/>
    </row>
    <row r="41" spans="1:5" ht="12.75" customHeight="1" x14ac:dyDescent="0.2">
      <c r="A41" s="598"/>
      <c r="B41" s="598"/>
      <c r="C41" s="602" t="s">
        <v>1010</v>
      </c>
      <c r="D41" s="601"/>
      <c r="E41" s="600"/>
    </row>
    <row r="42" spans="1:5" ht="12.75" customHeight="1" x14ac:dyDescent="0.2">
      <c r="A42" s="598"/>
      <c r="B42" s="598"/>
      <c r="C42" s="602" t="s">
        <v>1020</v>
      </c>
      <c r="D42" s="601"/>
      <c r="E42" s="600"/>
    </row>
    <row r="43" spans="1:5" x14ac:dyDescent="0.2">
      <c r="A43" s="598"/>
      <c r="B43" s="598"/>
      <c r="C43" s="602" t="s">
        <v>1021</v>
      </c>
      <c r="D43" s="601"/>
      <c r="E43" s="600"/>
    </row>
    <row r="44" spans="1:5" ht="12.75" customHeight="1" x14ac:dyDescent="0.2">
      <c r="A44" s="598"/>
      <c r="B44" s="598"/>
      <c r="C44" s="602" t="s">
        <v>1013</v>
      </c>
      <c r="D44" s="601"/>
      <c r="E44" s="600"/>
    </row>
    <row r="45" spans="1:5" ht="12.75" customHeight="1" x14ac:dyDescent="0.2">
      <c r="A45" s="608"/>
      <c r="B45" s="608"/>
      <c r="C45" s="602" t="s">
        <v>1022</v>
      </c>
      <c r="D45" s="601"/>
      <c r="E45" s="609"/>
    </row>
    <row r="46" spans="1:5" ht="12.75" customHeight="1" x14ac:dyDescent="0.2">
      <c r="A46" s="598"/>
      <c r="B46" s="608"/>
      <c r="C46" s="599" t="s">
        <v>1026</v>
      </c>
      <c r="D46" s="600">
        <f>SUM(D48+D54)</f>
        <v>1012346</v>
      </c>
      <c r="E46" s="600">
        <f>SUM(E48+E54)</f>
        <v>1012346</v>
      </c>
    </row>
    <row r="47" spans="1:5" ht="12.75" customHeight="1" x14ac:dyDescent="0.2">
      <c r="A47" s="598"/>
      <c r="B47" s="608"/>
      <c r="C47" s="598" t="s">
        <v>1024</v>
      </c>
      <c r="D47" s="601"/>
      <c r="E47" s="609"/>
    </row>
    <row r="48" spans="1:5" ht="12.75" customHeight="1" x14ac:dyDescent="0.2">
      <c r="A48" s="598"/>
      <c r="B48" s="608"/>
      <c r="C48" s="602" t="s">
        <v>1008</v>
      </c>
      <c r="D48" s="601"/>
      <c r="E48" s="610"/>
    </row>
    <row r="49" spans="1:5" ht="12.75" customHeight="1" x14ac:dyDescent="0.2">
      <c r="A49" s="598"/>
      <c r="B49" s="608"/>
      <c r="C49" s="598" t="s">
        <v>1019</v>
      </c>
      <c r="D49" s="601"/>
      <c r="E49" s="609"/>
    </row>
    <row r="50" spans="1:5" ht="12.75" customHeight="1" x14ac:dyDescent="0.2">
      <c r="A50" s="598"/>
      <c r="B50" s="608"/>
      <c r="C50" s="602" t="s">
        <v>1010</v>
      </c>
      <c r="D50" s="601"/>
      <c r="E50" s="609"/>
    </row>
    <row r="51" spans="1:5" ht="12.75" customHeight="1" x14ac:dyDescent="0.2">
      <c r="A51" s="598"/>
      <c r="B51" s="608"/>
      <c r="C51" s="602" t="s">
        <v>1020</v>
      </c>
      <c r="D51" s="601"/>
      <c r="E51" s="609"/>
    </row>
    <row r="52" spans="1:5" x14ac:dyDescent="0.2">
      <c r="A52" s="598"/>
      <c r="B52" s="608"/>
      <c r="C52" s="602" t="s">
        <v>1021</v>
      </c>
      <c r="D52" s="601"/>
      <c r="E52" s="609"/>
    </row>
    <row r="53" spans="1:5" ht="12.75" customHeight="1" x14ac:dyDescent="0.2">
      <c r="A53" s="598"/>
      <c r="B53" s="608"/>
      <c r="C53" s="602" t="s">
        <v>1013</v>
      </c>
      <c r="D53" s="601"/>
      <c r="E53" s="610"/>
    </row>
    <row r="54" spans="1:5" ht="12.75" customHeight="1" x14ac:dyDescent="0.2">
      <c r="A54" s="598"/>
      <c r="B54" s="608"/>
      <c r="C54" s="602" t="s">
        <v>1027</v>
      </c>
      <c r="D54" s="601">
        <v>1012346</v>
      </c>
      <c r="E54" s="611">
        <f>D54</f>
        <v>1012346</v>
      </c>
    </row>
    <row r="55" spans="1:5" ht="12.75" customHeight="1" x14ac:dyDescent="0.2">
      <c r="A55" s="598"/>
      <c r="B55" s="598"/>
      <c r="C55" s="599" t="s">
        <v>1028</v>
      </c>
      <c r="D55" s="600"/>
      <c r="E55" s="609"/>
    </row>
    <row r="56" spans="1:5" x14ac:dyDescent="0.2">
      <c r="A56" s="598"/>
      <c r="B56" s="598"/>
      <c r="C56" s="598" t="s">
        <v>1024</v>
      </c>
      <c r="D56" s="601"/>
      <c r="E56" s="609"/>
    </row>
    <row r="57" spans="1:5" ht="12.75" customHeight="1" x14ac:dyDescent="0.2">
      <c r="A57" s="598"/>
      <c r="B57" s="598"/>
      <c r="C57" s="602" t="s">
        <v>1008</v>
      </c>
      <c r="D57" s="601"/>
      <c r="E57" s="609"/>
    </row>
    <row r="58" spans="1:5" ht="12.75" customHeight="1" x14ac:dyDescent="0.2">
      <c r="A58" s="598"/>
      <c r="B58" s="598"/>
      <c r="C58" s="598" t="s">
        <v>1019</v>
      </c>
      <c r="D58" s="601"/>
      <c r="E58" s="609"/>
    </row>
    <row r="59" spans="1:5" ht="12.75" customHeight="1" x14ac:dyDescent="0.2">
      <c r="A59" s="598"/>
      <c r="B59" s="598"/>
      <c r="C59" s="602" t="s">
        <v>1010</v>
      </c>
      <c r="D59" s="601"/>
      <c r="E59" s="609"/>
    </row>
    <row r="60" spans="1:5" ht="12.75" customHeight="1" x14ac:dyDescent="0.2">
      <c r="A60" s="598"/>
      <c r="B60" s="598"/>
      <c r="C60" s="602" t="s">
        <v>1020</v>
      </c>
      <c r="D60" s="601"/>
      <c r="E60" s="609"/>
    </row>
    <row r="61" spans="1:5" x14ac:dyDescent="0.2">
      <c r="A61" s="598"/>
      <c r="B61" s="598"/>
      <c r="C61" s="602" t="s">
        <v>1021</v>
      </c>
      <c r="D61" s="601"/>
      <c r="E61" s="609"/>
    </row>
    <row r="62" spans="1:5" ht="12.75" customHeight="1" x14ac:dyDescent="0.2">
      <c r="A62" s="598"/>
      <c r="B62" s="598"/>
      <c r="C62" s="602" t="s">
        <v>1013</v>
      </c>
      <c r="D62" s="601"/>
      <c r="E62" s="609"/>
    </row>
    <row r="63" spans="1:5" ht="12.75" customHeight="1" x14ac:dyDescent="0.2">
      <c r="A63" s="598"/>
      <c r="B63" s="598"/>
      <c r="C63" s="602" t="s">
        <v>1027</v>
      </c>
      <c r="D63" s="601"/>
      <c r="E63" s="609"/>
    </row>
    <row r="64" spans="1:5" ht="12.75" customHeight="1" x14ac:dyDescent="0.2">
      <c r="A64" s="598"/>
      <c r="B64" s="599" t="s">
        <v>1029</v>
      </c>
      <c r="C64" s="612" t="s">
        <v>1030</v>
      </c>
      <c r="D64" s="600">
        <f>SUM(D67+D73)</f>
        <v>149946</v>
      </c>
      <c r="E64" s="600">
        <f>SUM(E67+E73)</f>
        <v>149946</v>
      </c>
    </row>
    <row r="65" spans="1:5" ht="12.75" customHeight="1" x14ac:dyDescent="0.2">
      <c r="A65" s="598"/>
      <c r="B65" s="598"/>
      <c r="C65" s="598" t="s">
        <v>1031</v>
      </c>
      <c r="D65" s="601">
        <f>D67+D73</f>
        <v>149946</v>
      </c>
      <c r="E65" s="601">
        <f>E67+E73</f>
        <v>149946</v>
      </c>
    </row>
    <row r="66" spans="1:5" ht="12.75" customHeight="1" x14ac:dyDescent="0.2">
      <c r="A66" s="598"/>
      <c r="B66" s="598"/>
      <c r="C66" s="598" t="s">
        <v>1024</v>
      </c>
      <c r="D66" s="601"/>
      <c r="E66" s="609"/>
    </row>
    <row r="67" spans="1:5" ht="12.75" customHeight="1" x14ac:dyDescent="0.2">
      <c r="A67" s="608"/>
      <c r="B67" s="608"/>
      <c r="C67" s="602" t="s">
        <v>1008</v>
      </c>
      <c r="D67" s="601"/>
      <c r="E67" s="609"/>
    </row>
    <row r="68" spans="1:5" ht="12.75" customHeight="1" x14ac:dyDescent="0.2">
      <c r="A68" s="608"/>
      <c r="B68" s="608"/>
      <c r="C68" s="598" t="s">
        <v>1019</v>
      </c>
      <c r="D68" s="601"/>
      <c r="E68" s="609"/>
    </row>
    <row r="69" spans="1:5" ht="12.75" customHeight="1" x14ac:dyDescent="0.2">
      <c r="A69" s="608"/>
      <c r="B69" s="608"/>
      <c r="C69" s="602" t="s">
        <v>1010</v>
      </c>
      <c r="D69" s="601"/>
      <c r="E69" s="609"/>
    </row>
    <row r="70" spans="1:5" ht="12.75" customHeight="1" x14ac:dyDescent="0.2">
      <c r="A70" s="608"/>
      <c r="B70" s="608"/>
      <c r="C70" s="602" t="s">
        <v>1020</v>
      </c>
      <c r="D70" s="601"/>
      <c r="E70" s="609"/>
    </row>
    <row r="71" spans="1:5" ht="17.25" customHeight="1" x14ac:dyDescent="0.2">
      <c r="A71" s="608"/>
      <c r="B71" s="608"/>
      <c r="C71" s="602" t="s">
        <v>1021</v>
      </c>
      <c r="D71" s="601"/>
      <c r="E71" s="609"/>
    </row>
    <row r="72" spans="1:5" ht="12.75" customHeight="1" x14ac:dyDescent="0.2">
      <c r="A72" s="608"/>
      <c r="B72" s="608"/>
      <c r="C72" s="602" t="s">
        <v>1013</v>
      </c>
      <c r="D72" s="601"/>
      <c r="E72" s="609"/>
    </row>
    <row r="73" spans="1:5" ht="12.75" customHeight="1" x14ac:dyDescent="0.2">
      <c r="A73" s="608"/>
      <c r="B73" s="608"/>
      <c r="C73" s="602" t="s">
        <v>1027</v>
      </c>
      <c r="D73" s="601">
        <v>149946</v>
      </c>
      <c r="E73" s="611">
        <f>D73</f>
        <v>149946</v>
      </c>
    </row>
    <row r="74" spans="1:5" ht="12.75" customHeight="1" x14ac:dyDescent="0.2">
      <c r="A74" s="608"/>
      <c r="B74" s="608"/>
      <c r="C74" s="598" t="s">
        <v>1032</v>
      </c>
      <c r="D74" s="601"/>
      <c r="E74" s="609"/>
    </row>
    <row r="75" spans="1:5" ht="12.75" customHeight="1" x14ac:dyDescent="0.2">
      <c r="A75" s="608"/>
      <c r="B75" s="608"/>
      <c r="C75" s="598" t="s">
        <v>1024</v>
      </c>
      <c r="D75" s="601"/>
      <c r="E75" s="609"/>
    </row>
    <row r="76" spans="1:5" ht="12.75" customHeight="1" x14ac:dyDescent="0.2">
      <c r="A76" s="608"/>
      <c r="B76" s="608"/>
      <c r="C76" s="602" t="s">
        <v>1008</v>
      </c>
      <c r="D76" s="601"/>
      <c r="E76" s="609"/>
    </row>
    <row r="77" spans="1:5" ht="12.75" customHeight="1" x14ac:dyDescent="0.2">
      <c r="A77" s="608"/>
      <c r="B77" s="608"/>
      <c r="C77" s="598" t="s">
        <v>1033</v>
      </c>
      <c r="D77" s="601"/>
      <c r="E77" s="609"/>
    </row>
    <row r="78" spans="1:5" ht="12.75" customHeight="1" x14ac:dyDescent="0.2">
      <c r="A78" s="608"/>
      <c r="B78" s="608"/>
      <c r="C78" s="602" t="s">
        <v>1010</v>
      </c>
      <c r="D78" s="601"/>
      <c r="E78" s="609"/>
    </row>
    <row r="79" spans="1:5" ht="12.75" customHeight="1" x14ac:dyDescent="0.2">
      <c r="A79" s="608"/>
      <c r="B79" s="608"/>
      <c r="C79" s="602" t="s">
        <v>1020</v>
      </c>
      <c r="D79" s="601"/>
      <c r="E79" s="609"/>
    </row>
    <row r="80" spans="1:5" x14ac:dyDescent="0.2">
      <c r="A80" s="608"/>
      <c r="B80" s="608"/>
      <c r="C80" s="602" t="s">
        <v>1021</v>
      </c>
      <c r="D80" s="601"/>
      <c r="E80" s="609"/>
    </row>
    <row r="81" spans="1:13" ht="12.75" customHeight="1" x14ac:dyDescent="0.2">
      <c r="A81" s="608"/>
      <c r="B81" s="608"/>
      <c r="C81" s="602" t="s">
        <v>1013</v>
      </c>
      <c r="D81" s="601"/>
      <c r="E81" s="609"/>
    </row>
    <row r="82" spans="1:13" ht="12.75" customHeight="1" x14ac:dyDescent="0.2">
      <c r="A82" s="608"/>
      <c r="B82" s="608"/>
      <c r="C82" s="602" t="s">
        <v>1022</v>
      </c>
      <c r="D82" s="601"/>
      <c r="E82" s="609"/>
    </row>
    <row r="83" spans="1:13" ht="12.75" customHeight="1" x14ac:dyDescent="0.2">
      <c r="A83" s="608"/>
      <c r="B83" s="608"/>
      <c r="C83" s="598" t="s">
        <v>1034</v>
      </c>
      <c r="D83" s="601"/>
      <c r="E83" s="609"/>
    </row>
    <row r="84" spans="1:13" ht="12.75" customHeight="1" x14ac:dyDescent="0.2">
      <c r="A84" s="608"/>
      <c r="B84" s="608"/>
      <c r="C84" s="598" t="s">
        <v>1024</v>
      </c>
      <c r="D84" s="601"/>
      <c r="E84" s="609"/>
    </row>
    <row r="85" spans="1:13" ht="12.75" customHeight="1" x14ac:dyDescent="0.2">
      <c r="A85" s="608"/>
      <c r="B85" s="608"/>
      <c r="C85" s="602" t="s">
        <v>1008</v>
      </c>
      <c r="D85" s="601"/>
      <c r="E85" s="609"/>
    </row>
    <row r="86" spans="1:13" ht="12.75" customHeight="1" x14ac:dyDescent="0.2">
      <c r="A86" s="608"/>
      <c r="B86" s="608"/>
      <c r="C86" s="598" t="s">
        <v>1019</v>
      </c>
      <c r="D86" s="601"/>
      <c r="E86" s="609"/>
    </row>
    <row r="87" spans="1:13" ht="12.75" customHeight="1" x14ac:dyDescent="0.2">
      <c r="A87" s="608"/>
      <c r="B87" s="608"/>
      <c r="C87" s="602" t="s">
        <v>1010</v>
      </c>
      <c r="D87" s="601"/>
      <c r="E87" s="609"/>
    </row>
    <row r="88" spans="1:13" ht="12.75" customHeight="1" x14ac:dyDescent="0.2">
      <c r="A88" s="608"/>
      <c r="B88" s="608"/>
      <c r="C88" s="602" t="s">
        <v>1020</v>
      </c>
      <c r="D88" s="601"/>
      <c r="E88" s="609"/>
    </row>
    <row r="89" spans="1:13" x14ac:dyDescent="0.2">
      <c r="A89" s="608"/>
      <c r="B89" s="608"/>
      <c r="C89" s="602" t="s">
        <v>1021</v>
      </c>
      <c r="D89" s="601"/>
      <c r="E89" s="609"/>
    </row>
    <row r="90" spans="1:13" ht="12.75" customHeight="1" x14ac:dyDescent="0.2">
      <c r="A90" s="608"/>
      <c r="B90" s="608"/>
      <c r="C90" s="602" t="s">
        <v>1013</v>
      </c>
      <c r="D90" s="601"/>
      <c r="E90" s="609"/>
    </row>
    <row r="91" spans="1:13" ht="12.75" customHeight="1" x14ac:dyDescent="0.2">
      <c r="A91" s="608"/>
      <c r="B91" s="608"/>
      <c r="C91" s="602" t="s">
        <v>1027</v>
      </c>
      <c r="D91" s="601"/>
      <c r="E91" s="609"/>
    </row>
    <row r="92" spans="1:13" ht="14.25" customHeight="1" x14ac:dyDescent="0.2">
      <c r="A92" s="604"/>
      <c r="B92" s="598" t="s">
        <v>1035</v>
      </c>
      <c r="C92" s="613" t="s">
        <v>1036</v>
      </c>
      <c r="D92" s="601"/>
      <c r="E92" s="600"/>
      <c r="F92" s="614"/>
      <c r="G92" s="614"/>
      <c r="H92" s="614"/>
      <c r="I92" s="614"/>
      <c r="J92" s="614"/>
      <c r="K92" s="614"/>
      <c r="L92" s="615"/>
      <c r="M92" s="615"/>
    </row>
    <row r="93" spans="1:13" ht="12.75" customHeight="1" x14ac:dyDescent="0.2">
      <c r="A93" s="616" t="s">
        <v>1037</v>
      </c>
      <c r="B93" s="616"/>
      <c r="C93" s="616" t="s">
        <v>1038</v>
      </c>
      <c r="D93" s="600">
        <f>SUM(D94:D95)</f>
        <v>1253</v>
      </c>
      <c r="E93" s="600">
        <f>SUM(E94:E95)</f>
        <v>1253</v>
      </c>
    </row>
    <row r="94" spans="1:13" ht="12.75" customHeight="1" x14ac:dyDescent="0.2">
      <c r="A94" s="608"/>
      <c r="B94" s="598" t="s">
        <v>1005</v>
      </c>
      <c r="C94" s="598" t="s">
        <v>1039</v>
      </c>
      <c r="D94" s="601">
        <f>'12.Mérleg_konsz'!D21</f>
        <v>1093</v>
      </c>
      <c r="E94" s="611">
        <f>D94</f>
        <v>1093</v>
      </c>
    </row>
    <row r="95" spans="1:13" ht="12.75" customHeight="1" x14ac:dyDescent="0.2">
      <c r="A95" s="608"/>
      <c r="B95" s="598" t="s">
        <v>1015</v>
      </c>
      <c r="C95" s="598" t="s">
        <v>1040</v>
      </c>
      <c r="D95" s="601">
        <f>'12.Mérleg_konsz'!D24</f>
        <v>160</v>
      </c>
      <c r="E95" s="611">
        <f>D95</f>
        <v>160</v>
      </c>
    </row>
    <row r="96" spans="1:13" ht="12.75" customHeight="1" x14ac:dyDescent="0.2">
      <c r="A96" s="617" t="s">
        <v>1041</v>
      </c>
      <c r="B96" s="599"/>
      <c r="C96" s="616" t="s">
        <v>1042</v>
      </c>
      <c r="D96" s="600">
        <f>'12.Mérleg_konsz'!D33</f>
        <v>590673</v>
      </c>
      <c r="E96" s="609">
        <f>D96</f>
        <v>590673</v>
      </c>
    </row>
    <row r="97" spans="1:8" ht="12.75" customHeight="1" x14ac:dyDescent="0.2">
      <c r="A97" s="617" t="s">
        <v>1043</v>
      </c>
      <c r="B97" s="599"/>
      <c r="C97" s="616" t="s">
        <v>1044</v>
      </c>
      <c r="D97" s="600">
        <f>'12.Mérleg_konsz'!D63</f>
        <v>184035</v>
      </c>
      <c r="E97" s="609">
        <f t="shared" ref="E97:E102" si="0">D97</f>
        <v>184035</v>
      </c>
    </row>
    <row r="98" spans="1:8" ht="12.75" hidden="1" customHeight="1" x14ac:dyDescent="0.2">
      <c r="A98" s="618"/>
      <c r="B98" s="598" t="s">
        <v>1005</v>
      </c>
      <c r="C98" s="598" t="s">
        <v>1045</v>
      </c>
      <c r="D98" s="601"/>
      <c r="E98" s="609">
        <f t="shared" si="0"/>
        <v>0</v>
      </c>
    </row>
    <row r="99" spans="1:8" ht="12.75" hidden="1" customHeight="1" x14ac:dyDescent="0.2">
      <c r="A99" s="618"/>
      <c r="B99" s="598" t="s">
        <v>1015</v>
      </c>
      <c r="C99" s="598" t="s">
        <v>1046</v>
      </c>
      <c r="D99" s="601"/>
      <c r="E99" s="609">
        <f t="shared" si="0"/>
        <v>0</v>
      </c>
    </row>
    <row r="100" spans="1:8" ht="12.75" hidden="1" customHeight="1" x14ac:dyDescent="0.2">
      <c r="A100" s="618"/>
      <c r="B100" s="598" t="s">
        <v>1029</v>
      </c>
      <c r="C100" s="598" t="s">
        <v>1047</v>
      </c>
      <c r="D100" s="601"/>
      <c r="E100" s="609">
        <f t="shared" si="0"/>
        <v>0</v>
      </c>
    </row>
    <row r="101" spans="1:8" ht="12.75" customHeight="1" x14ac:dyDescent="0.2">
      <c r="A101" s="617" t="s">
        <v>1048</v>
      </c>
      <c r="B101" s="599"/>
      <c r="C101" s="616" t="s">
        <v>1049</v>
      </c>
      <c r="D101" s="600">
        <f>'12.Mérleg_konsz'!D71</f>
        <v>1064</v>
      </c>
      <c r="E101" s="609">
        <f t="shared" si="0"/>
        <v>1064</v>
      </c>
    </row>
    <row r="102" spans="1:8" ht="12.75" customHeight="1" x14ac:dyDescent="0.2">
      <c r="A102" s="617" t="s">
        <v>1050</v>
      </c>
      <c r="B102" s="599"/>
      <c r="C102" s="616" t="s">
        <v>1051</v>
      </c>
      <c r="D102" s="600">
        <f>'12.Mérleg_konsz'!D74</f>
        <v>68</v>
      </c>
      <c r="E102" s="609">
        <f t="shared" si="0"/>
        <v>68</v>
      </c>
    </row>
    <row r="103" spans="1:8" ht="21.75" customHeight="1" x14ac:dyDescent="0.2">
      <c r="A103" s="806" t="s">
        <v>1052</v>
      </c>
      <c r="B103" s="806"/>
      <c r="C103" s="806"/>
      <c r="D103" s="619">
        <f>SUM(D8+D93+D96+D97+D101+D102)</f>
        <v>8753718</v>
      </c>
      <c r="E103" s="619">
        <f>SUM(E8+E93+E96+E97+E101+E102)</f>
        <v>10216410</v>
      </c>
      <c r="G103" s="588">
        <f>'12.Mérleg_konsz'!D75</f>
        <v>8753718</v>
      </c>
      <c r="H103" s="588" t="s">
        <v>1076</v>
      </c>
    </row>
    <row r="104" spans="1:8" ht="16.5" customHeight="1" x14ac:dyDescent="0.2">
      <c r="A104" s="620"/>
      <c r="E104" s="621"/>
      <c r="G104" s="644">
        <f>G103-D102-D101-D97-D96-D93-D46</f>
        <v>6964279</v>
      </c>
      <c r="H104" s="645">
        <f>E103+E108-D102-D101-D97-D96-D93-D46</f>
        <v>8788802</v>
      </c>
    </row>
    <row r="105" spans="1:8" ht="26.25" customHeight="1" x14ac:dyDescent="0.2">
      <c r="A105" s="812" t="s">
        <v>1053</v>
      </c>
      <c r="B105" s="812"/>
      <c r="C105" s="812"/>
      <c r="D105" s="812"/>
      <c r="E105" s="812"/>
      <c r="G105" s="644" t="s">
        <v>1077</v>
      </c>
      <c r="H105" s="645" t="s">
        <v>1078</v>
      </c>
    </row>
    <row r="106" spans="1:8" ht="13.5" thickBot="1" x14ac:dyDescent="0.25">
      <c r="B106" s="622"/>
      <c r="C106" s="622"/>
      <c r="D106" s="622"/>
      <c r="E106" s="623" t="s">
        <v>336</v>
      </c>
    </row>
    <row r="107" spans="1:8" ht="26.25" customHeight="1" thickBot="1" x14ac:dyDescent="0.25">
      <c r="A107" s="813" t="s">
        <v>63</v>
      </c>
      <c r="B107" s="814"/>
      <c r="C107" s="814"/>
      <c r="D107" s="815"/>
      <c r="E107" s="624" t="s">
        <v>1075</v>
      </c>
    </row>
    <row r="108" spans="1:8" ht="13.5" customHeight="1" x14ac:dyDescent="0.2">
      <c r="A108" s="625" t="s">
        <v>1054</v>
      </c>
      <c r="B108" s="816" t="s">
        <v>1055</v>
      </c>
      <c r="C108" s="816"/>
      <c r="D108" s="626"/>
      <c r="E108" s="627">
        <v>361831</v>
      </c>
    </row>
    <row r="109" spans="1:8" ht="13.5" customHeight="1" x14ac:dyDescent="0.2">
      <c r="A109" s="628" t="s">
        <v>1056</v>
      </c>
      <c r="B109" s="817" t="s">
        <v>1057</v>
      </c>
      <c r="C109" s="817"/>
      <c r="D109" s="818"/>
      <c r="E109" s="820">
        <v>59240</v>
      </c>
    </row>
    <row r="110" spans="1:8" ht="13.5" customHeight="1" x14ac:dyDescent="0.2">
      <c r="A110" s="628" t="s">
        <v>1058</v>
      </c>
      <c r="B110" s="817" t="s">
        <v>1059</v>
      </c>
      <c r="C110" s="817"/>
      <c r="D110" s="819"/>
      <c r="E110" s="821"/>
    </row>
    <row r="111" spans="1:8" ht="13.5" customHeight="1" x14ac:dyDescent="0.2">
      <c r="A111" s="628" t="s">
        <v>1060</v>
      </c>
      <c r="B111" s="817" t="s">
        <v>1061</v>
      </c>
      <c r="C111" s="817"/>
      <c r="D111" s="608"/>
      <c r="E111" s="601">
        <v>0</v>
      </c>
    </row>
    <row r="112" spans="1:8" ht="12.75" customHeight="1" x14ac:dyDescent="0.2">
      <c r="A112" s="628" t="s">
        <v>1062</v>
      </c>
      <c r="B112" s="817" t="s">
        <v>1063</v>
      </c>
      <c r="C112" s="817"/>
      <c r="D112" s="608"/>
      <c r="E112" s="601">
        <v>158156</v>
      </c>
    </row>
    <row r="113" spans="1:5" ht="13.5" customHeight="1" x14ac:dyDescent="0.2">
      <c r="A113" s="824" t="s">
        <v>1064</v>
      </c>
      <c r="B113" s="824"/>
      <c r="C113" s="824"/>
      <c r="D113" s="629"/>
      <c r="E113" s="600">
        <f>SUM(E108:E112)</f>
        <v>579227</v>
      </c>
    </row>
    <row r="114" spans="1:5" ht="15.75" x14ac:dyDescent="0.2">
      <c r="A114" s="630"/>
    </row>
    <row r="115" spans="1:5" ht="15.75" x14ac:dyDescent="0.2">
      <c r="A115" s="825" t="s">
        <v>1065</v>
      </c>
      <c r="B115" s="825"/>
      <c r="C115" s="825"/>
      <c r="D115" s="825"/>
      <c r="E115" s="825"/>
    </row>
    <row r="116" spans="1:5" ht="15.75" x14ac:dyDescent="0.2">
      <c r="A116" s="825" t="s">
        <v>1066</v>
      </c>
      <c r="B116" s="825"/>
      <c r="C116" s="825"/>
      <c r="D116" s="825"/>
      <c r="E116" s="825"/>
    </row>
    <row r="117" spans="1:5" ht="15.75" x14ac:dyDescent="0.2">
      <c r="A117" s="825" t="s">
        <v>1067</v>
      </c>
      <c r="B117" s="825"/>
      <c r="C117" s="825"/>
      <c r="D117" s="825"/>
      <c r="E117" s="825"/>
    </row>
    <row r="118" spans="1:5" ht="15.75" x14ac:dyDescent="0.2">
      <c r="A118" s="631"/>
      <c r="B118" s="631"/>
      <c r="C118" s="631"/>
      <c r="D118" s="632" t="s">
        <v>1068</v>
      </c>
      <c r="E118" s="632" t="s">
        <v>1069</v>
      </c>
    </row>
    <row r="119" spans="1:5" x14ac:dyDescent="0.2">
      <c r="A119" s="633" t="s">
        <v>1054</v>
      </c>
      <c r="B119" s="822" t="s">
        <v>1070</v>
      </c>
      <c r="C119" s="822"/>
      <c r="D119" s="634"/>
      <c r="E119" s="635" t="s">
        <v>59</v>
      </c>
    </row>
    <row r="120" spans="1:5" x14ac:dyDescent="0.2">
      <c r="A120" s="633"/>
      <c r="B120" s="636"/>
      <c r="C120" s="637"/>
      <c r="D120" s="637"/>
      <c r="E120" s="635"/>
    </row>
    <row r="121" spans="1:5" hidden="1" x14ac:dyDescent="0.2">
      <c r="A121" s="633"/>
      <c r="B121" s="636"/>
      <c r="C121" s="637"/>
      <c r="D121" s="637"/>
      <c r="E121" s="635"/>
    </row>
    <row r="122" spans="1:5" x14ac:dyDescent="0.2">
      <c r="A122" s="638"/>
      <c r="B122" s="638"/>
      <c r="C122" s="639"/>
      <c r="D122" s="639"/>
      <c r="E122" s="640"/>
    </row>
    <row r="123" spans="1:5" x14ac:dyDescent="0.2">
      <c r="A123" s="633" t="s">
        <v>1056</v>
      </c>
      <c r="B123" s="822" t="s">
        <v>1071</v>
      </c>
      <c r="C123" s="822"/>
      <c r="D123" s="634"/>
      <c r="E123" s="635" t="s">
        <v>59</v>
      </c>
    </row>
    <row r="124" spans="1:5" x14ac:dyDescent="0.2">
      <c r="A124" s="633"/>
      <c r="B124" s="636"/>
      <c r="C124" s="637"/>
      <c r="D124" s="637"/>
      <c r="E124" s="635"/>
    </row>
    <row r="125" spans="1:5" hidden="1" x14ac:dyDescent="0.2">
      <c r="A125" s="633"/>
      <c r="B125" s="636"/>
      <c r="C125" s="637"/>
      <c r="D125" s="637"/>
      <c r="E125" s="635"/>
    </row>
    <row r="126" spans="1:5" x14ac:dyDescent="0.2">
      <c r="A126" s="638"/>
      <c r="B126" s="641"/>
      <c r="C126" s="641"/>
      <c r="D126" s="641"/>
      <c r="E126" s="640"/>
    </row>
    <row r="127" spans="1:5" x14ac:dyDescent="0.2">
      <c r="A127" s="633" t="s">
        <v>1058</v>
      </c>
      <c r="B127" s="822" t="s">
        <v>1072</v>
      </c>
      <c r="C127" s="822"/>
      <c r="D127" s="634"/>
      <c r="E127" s="635" t="s">
        <v>59</v>
      </c>
    </row>
    <row r="128" spans="1:5" x14ac:dyDescent="0.2">
      <c r="A128" s="633"/>
      <c r="B128" s="642"/>
      <c r="C128" s="642"/>
      <c r="D128" s="642"/>
      <c r="E128" s="635"/>
    </row>
    <row r="129" spans="1:5" hidden="1" x14ac:dyDescent="0.2">
      <c r="A129" s="633"/>
      <c r="B129" s="642"/>
      <c r="C129" s="642"/>
      <c r="D129" s="642"/>
      <c r="E129" s="635"/>
    </row>
    <row r="130" spans="1:5" ht="11.25" customHeight="1" x14ac:dyDescent="0.2">
      <c r="A130" s="638"/>
      <c r="B130" s="638"/>
      <c r="C130" s="641"/>
      <c r="D130" s="641"/>
      <c r="E130" s="640"/>
    </row>
    <row r="131" spans="1:5" ht="13.5" customHeight="1" x14ac:dyDescent="0.2">
      <c r="A131" s="633" t="s">
        <v>1060</v>
      </c>
      <c r="B131" s="823" t="s">
        <v>1073</v>
      </c>
      <c r="C131" s="823"/>
      <c r="D131" s="599"/>
      <c r="E131" s="635" t="s">
        <v>59</v>
      </c>
    </row>
    <row r="132" spans="1:5" x14ac:dyDescent="0.2">
      <c r="A132" s="633"/>
      <c r="B132" s="633"/>
      <c r="C132" s="643"/>
      <c r="D132" s="643"/>
      <c r="E132" s="635"/>
    </row>
    <row r="133" spans="1:5" hidden="1" x14ac:dyDescent="0.2">
      <c r="A133" s="633"/>
      <c r="B133" s="633"/>
      <c r="C133" s="636"/>
      <c r="D133" s="636"/>
      <c r="E133" s="635"/>
    </row>
    <row r="134" spans="1:5" ht="15.75" x14ac:dyDescent="0.2">
      <c r="A134" s="630"/>
    </row>
    <row r="135" spans="1:5" ht="15.75" x14ac:dyDescent="0.2">
      <c r="A135" s="630"/>
    </row>
  </sheetData>
  <mergeCells count="23">
    <mergeCell ref="B119:C119"/>
    <mergeCell ref="B123:C123"/>
    <mergeCell ref="B127:C127"/>
    <mergeCell ref="B131:C131"/>
    <mergeCell ref="B111:C111"/>
    <mergeCell ref="B112:C112"/>
    <mergeCell ref="A113:C113"/>
    <mergeCell ref="A115:E115"/>
    <mergeCell ref="A116:E116"/>
    <mergeCell ref="A117:E117"/>
    <mergeCell ref="A105:E105"/>
    <mergeCell ref="A107:D107"/>
    <mergeCell ref="B108:C108"/>
    <mergeCell ref="B109:C109"/>
    <mergeCell ref="D109:D110"/>
    <mergeCell ref="E109:E110"/>
    <mergeCell ref="B110:C110"/>
    <mergeCell ref="A103:C103"/>
    <mergeCell ref="A3:E3"/>
    <mergeCell ref="A4:E4"/>
    <mergeCell ref="A6:C6"/>
    <mergeCell ref="D6:E6"/>
    <mergeCell ref="B8:C8"/>
  </mergeCells>
  <pageMargins left="0.7" right="0.7" top="0.75" bottom="0.75" header="0.3" footer="0.3"/>
  <pageSetup paperSize="9" scale="85" orientation="portrait" r:id="rId1"/>
  <rowBreaks count="1" manualBreakCount="1">
    <brk id="6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7F0F-618C-41A0-AC04-D510884CC75D}">
  <dimension ref="A1:G26"/>
  <sheetViews>
    <sheetView workbookViewId="0">
      <selection activeCell="A7" sqref="A7"/>
    </sheetView>
  </sheetViews>
  <sheetFormatPr defaultRowHeight="12.75" x14ac:dyDescent="0.2"/>
  <cols>
    <col min="1" max="1" width="63.28515625" customWidth="1"/>
    <col min="2" max="2" width="17.28515625" customWidth="1"/>
    <col min="3" max="3" width="10.42578125" style="9" customWidth="1"/>
    <col min="4" max="4" width="9.42578125" style="9" hidden="1" customWidth="1"/>
    <col min="5" max="5" width="9.140625" hidden="1" customWidth="1"/>
    <col min="6" max="6" width="9.140625" customWidth="1"/>
    <col min="7" max="7" width="9.7109375" customWidth="1"/>
    <col min="257" max="257" width="63.28515625" customWidth="1"/>
    <col min="258" max="258" width="17.28515625" customWidth="1"/>
    <col min="259" max="259" width="10.42578125" customWidth="1"/>
    <col min="260" max="261" width="0" hidden="1" customWidth="1"/>
    <col min="513" max="513" width="63.28515625" customWidth="1"/>
    <col min="514" max="514" width="17.28515625" customWidth="1"/>
    <col min="515" max="515" width="10.42578125" customWidth="1"/>
    <col min="516" max="517" width="0" hidden="1" customWidth="1"/>
    <col min="769" max="769" width="63.28515625" customWidth="1"/>
    <col min="770" max="770" width="17.28515625" customWidth="1"/>
    <col min="771" max="771" width="10.42578125" customWidth="1"/>
    <col min="772" max="773" width="0" hidden="1" customWidth="1"/>
    <col min="1025" max="1025" width="63.28515625" customWidth="1"/>
    <col min="1026" max="1026" width="17.28515625" customWidth="1"/>
    <col min="1027" max="1027" width="10.42578125" customWidth="1"/>
    <col min="1028" max="1029" width="0" hidden="1" customWidth="1"/>
    <col min="1281" max="1281" width="63.28515625" customWidth="1"/>
    <col min="1282" max="1282" width="17.28515625" customWidth="1"/>
    <col min="1283" max="1283" width="10.42578125" customWidth="1"/>
    <col min="1284" max="1285" width="0" hidden="1" customWidth="1"/>
    <col min="1537" max="1537" width="63.28515625" customWidth="1"/>
    <col min="1538" max="1538" width="17.28515625" customWidth="1"/>
    <col min="1539" max="1539" width="10.42578125" customWidth="1"/>
    <col min="1540" max="1541" width="0" hidden="1" customWidth="1"/>
    <col min="1793" max="1793" width="63.28515625" customWidth="1"/>
    <col min="1794" max="1794" width="17.28515625" customWidth="1"/>
    <col min="1795" max="1795" width="10.42578125" customWidth="1"/>
    <col min="1796" max="1797" width="0" hidden="1" customWidth="1"/>
    <col min="2049" max="2049" width="63.28515625" customWidth="1"/>
    <col min="2050" max="2050" width="17.28515625" customWidth="1"/>
    <col min="2051" max="2051" width="10.42578125" customWidth="1"/>
    <col min="2052" max="2053" width="0" hidden="1" customWidth="1"/>
    <col min="2305" max="2305" width="63.28515625" customWidth="1"/>
    <col min="2306" max="2306" width="17.28515625" customWidth="1"/>
    <col min="2307" max="2307" width="10.42578125" customWidth="1"/>
    <col min="2308" max="2309" width="0" hidden="1" customWidth="1"/>
    <col min="2561" max="2561" width="63.28515625" customWidth="1"/>
    <col min="2562" max="2562" width="17.28515625" customWidth="1"/>
    <col min="2563" max="2563" width="10.42578125" customWidth="1"/>
    <col min="2564" max="2565" width="0" hidden="1" customWidth="1"/>
    <col min="2817" max="2817" width="63.28515625" customWidth="1"/>
    <col min="2818" max="2818" width="17.28515625" customWidth="1"/>
    <col min="2819" max="2819" width="10.42578125" customWidth="1"/>
    <col min="2820" max="2821" width="0" hidden="1" customWidth="1"/>
    <col min="3073" max="3073" width="63.28515625" customWidth="1"/>
    <col min="3074" max="3074" width="17.28515625" customWidth="1"/>
    <col min="3075" max="3075" width="10.42578125" customWidth="1"/>
    <col min="3076" max="3077" width="0" hidden="1" customWidth="1"/>
    <col min="3329" max="3329" width="63.28515625" customWidth="1"/>
    <col min="3330" max="3330" width="17.28515625" customWidth="1"/>
    <col min="3331" max="3331" width="10.42578125" customWidth="1"/>
    <col min="3332" max="3333" width="0" hidden="1" customWidth="1"/>
    <col min="3585" max="3585" width="63.28515625" customWidth="1"/>
    <col min="3586" max="3586" width="17.28515625" customWidth="1"/>
    <col min="3587" max="3587" width="10.42578125" customWidth="1"/>
    <col min="3588" max="3589" width="0" hidden="1" customWidth="1"/>
    <col min="3841" max="3841" width="63.28515625" customWidth="1"/>
    <col min="3842" max="3842" width="17.28515625" customWidth="1"/>
    <col min="3843" max="3843" width="10.42578125" customWidth="1"/>
    <col min="3844" max="3845" width="0" hidden="1" customWidth="1"/>
    <col min="4097" max="4097" width="63.28515625" customWidth="1"/>
    <col min="4098" max="4098" width="17.28515625" customWidth="1"/>
    <col min="4099" max="4099" width="10.42578125" customWidth="1"/>
    <col min="4100" max="4101" width="0" hidden="1" customWidth="1"/>
    <col min="4353" max="4353" width="63.28515625" customWidth="1"/>
    <col min="4354" max="4354" width="17.28515625" customWidth="1"/>
    <col min="4355" max="4355" width="10.42578125" customWidth="1"/>
    <col min="4356" max="4357" width="0" hidden="1" customWidth="1"/>
    <col min="4609" max="4609" width="63.28515625" customWidth="1"/>
    <col min="4610" max="4610" width="17.28515625" customWidth="1"/>
    <col min="4611" max="4611" width="10.42578125" customWidth="1"/>
    <col min="4612" max="4613" width="0" hidden="1" customWidth="1"/>
    <col min="4865" max="4865" width="63.28515625" customWidth="1"/>
    <col min="4866" max="4866" width="17.28515625" customWidth="1"/>
    <col min="4867" max="4867" width="10.42578125" customWidth="1"/>
    <col min="4868" max="4869" width="0" hidden="1" customWidth="1"/>
    <col min="5121" max="5121" width="63.28515625" customWidth="1"/>
    <col min="5122" max="5122" width="17.28515625" customWidth="1"/>
    <col min="5123" max="5123" width="10.42578125" customWidth="1"/>
    <col min="5124" max="5125" width="0" hidden="1" customWidth="1"/>
    <col min="5377" max="5377" width="63.28515625" customWidth="1"/>
    <col min="5378" max="5378" width="17.28515625" customWidth="1"/>
    <col min="5379" max="5379" width="10.42578125" customWidth="1"/>
    <col min="5380" max="5381" width="0" hidden="1" customWidth="1"/>
    <col min="5633" max="5633" width="63.28515625" customWidth="1"/>
    <col min="5634" max="5634" width="17.28515625" customWidth="1"/>
    <col min="5635" max="5635" width="10.42578125" customWidth="1"/>
    <col min="5636" max="5637" width="0" hidden="1" customWidth="1"/>
    <col min="5889" max="5889" width="63.28515625" customWidth="1"/>
    <col min="5890" max="5890" width="17.28515625" customWidth="1"/>
    <col min="5891" max="5891" width="10.42578125" customWidth="1"/>
    <col min="5892" max="5893" width="0" hidden="1" customWidth="1"/>
    <col min="6145" max="6145" width="63.28515625" customWidth="1"/>
    <col min="6146" max="6146" width="17.28515625" customWidth="1"/>
    <col min="6147" max="6147" width="10.42578125" customWidth="1"/>
    <col min="6148" max="6149" width="0" hidden="1" customWidth="1"/>
    <col min="6401" max="6401" width="63.28515625" customWidth="1"/>
    <col min="6402" max="6402" width="17.28515625" customWidth="1"/>
    <col min="6403" max="6403" width="10.42578125" customWidth="1"/>
    <col min="6404" max="6405" width="0" hidden="1" customWidth="1"/>
    <col min="6657" max="6657" width="63.28515625" customWidth="1"/>
    <col min="6658" max="6658" width="17.28515625" customWidth="1"/>
    <col min="6659" max="6659" width="10.42578125" customWidth="1"/>
    <col min="6660" max="6661" width="0" hidden="1" customWidth="1"/>
    <col min="6913" max="6913" width="63.28515625" customWidth="1"/>
    <col min="6914" max="6914" width="17.28515625" customWidth="1"/>
    <col min="6915" max="6915" width="10.42578125" customWidth="1"/>
    <col min="6916" max="6917" width="0" hidden="1" customWidth="1"/>
    <col min="7169" max="7169" width="63.28515625" customWidth="1"/>
    <col min="7170" max="7170" width="17.28515625" customWidth="1"/>
    <col min="7171" max="7171" width="10.42578125" customWidth="1"/>
    <col min="7172" max="7173" width="0" hidden="1" customWidth="1"/>
    <col min="7425" max="7425" width="63.28515625" customWidth="1"/>
    <col min="7426" max="7426" width="17.28515625" customWidth="1"/>
    <col min="7427" max="7427" width="10.42578125" customWidth="1"/>
    <col min="7428" max="7429" width="0" hidden="1" customWidth="1"/>
    <col min="7681" max="7681" width="63.28515625" customWidth="1"/>
    <col min="7682" max="7682" width="17.28515625" customWidth="1"/>
    <col min="7683" max="7683" width="10.42578125" customWidth="1"/>
    <col min="7684" max="7685" width="0" hidden="1" customWidth="1"/>
    <col min="7937" max="7937" width="63.28515625" customWidth="1"/>
    <col min="7938" max="7938" width="17.28515625" customWidth="1"/>
    <col min="7939" max="7939" width="10.42578125" customWidth="1"/>
    <col min="7940" max="7941" width="0" hidden="1" customWidth="1"/>
    <col min="8193" max="8193" width="63.28515625" customWidth="1"/>
    <col min="8194" max="8194" width="17.28515625" customWidth="1"/>
    <col min="8195" max="8195" width="10.42578125" customWidth="1"/>
    <col min="8196" max="8197" width="0" hidden="1" customWidth="1"/>
    <col min="8449" max="8449" width="63.28515625" customWidth="1"/>
    <col min="8450" max="8450" width="17.28515625" customWidth="1"/>
    <col min="8451" max="8451" width="10.42578125" customWidth="1"/>
    <col min="8452" max="8453" width="0" hidden="1" customWidth="1"/>
    <col min="8705" max="8705" width="63.28515625" customWidth="1"/>
    <col min="8706" max="8706" width="17.28515625" customWidth="1"/>
    <col min="8707" max="8707" width="10.42578125" customWidth="1"/>
    <col min="8708" max="8709" width="0" hidden="1" customWidth="1"/>
    <col min="8961" max="8961" width="63.28515625" customWidth="1"/>
    <col min="8962" max="8962" width="17.28515625" customWidth="1"/>
    <col min="8963" max="8963" width="10.42578125" customWidth="1"/>
    <col min="8964" max="8965" width="0" hidden="1" customWidth="1"/>
    <col min="9217" max="9217" width="63.28515625" customWidth="1"/>
    <col min="9218" max="9218" width="17.28515625" customWidth="1"/>
    <col min="9219" max="9219" width="10.42578125" customWidth="1"/>
    <col min="9220" max="9221" width="0" hidden="1" customWidth="1"/>
    <col min="9473" max="9473" width="63.28515625" customWidth="1"/>
    <col min="9474" max="9474" width="17.28515625" customWidth="1"/>
    <col min="9475" max="9475" width="10.42578125" customWidth="1"/>
    <col min="9476" max="9477" width="0" hidden="1" customWidth="1"/>
    <col min="9729" max="9729" width="63.28515625" customWidth="1"/>
    <col min="9730" max="9730" width="17.28515625" customWidth="1"/>
    <col min="9731" max="9731" width="10.42578125" customWidth="1"/>
    <col min="9732" max="9733" width="0" hidden="1" customWidth="1"/>
    <col min="9985" max="9985" width="63.28515625" customWidth="1"/>
    <col min="9986" max="9986" width="17.28515625" customWidth="1"/>
    <col min="9987" max="9987" width="10.42578125" customWidth="1"/>
    <col min="9988" max="9989" width="0" hidden="1" customWidth="1"/>
    <col min="10241" max="10241" width="63.28515625" customWidth="1"/>
    <col min="10242" max="10242" width="17.28515625" customWidth="1"/>
    <col min="10243" max="10243" width="10.42578125" customWidth="1"/>
    <col min="10244" max="10245" width="0" hidden="1" customWidth="1"/>
    <col min="10497" max="10497" width="63.28515625" customWidth="1"/>
    <col min="10498" max="10498" width="17.28515625" customWidth="1"/>
    <col min="10499" max="10499" width="10.42578125" customWidth="1"/>
    <col min="10500" max="10501" width="0" hidden="1" customWidth="1"/>
    <col min="10753" max="10753" width="63.28515625" customWidth="1"/>
    <col min="10754" max="10754" width="17.28515625" customWidth="1"/>
    <col min="10755" max="10755" width="10.42578125" customWidth="1"/>
    <col min="10756" max="10757" width="0" hidden="1" customWidth="1"/>
    <col min="11009" max="11009" width="63.28515625" customWidth="1"/>
    <col min="11010" max="11010" width="17.28515625" customWidth="1"/>
    <col min="11011" max="11011" width="10.42578125" customWidth="1"/>
    <col min="11012" max="11013" width="0" hidden="1" customWidth="1"/>
    <col min="11265" max="11265" width="63.28515625" customWidth="1"/>
    <col min="11266" max="11266" width="17.28515625" customWidth="1"/>
    <col min="11267" max="11267" width="10.42578125" customWidth="1"/>
    <col min="11268" max="11269" width="0" hidden="1" customWidth="1"/>
    <col min="11521" max="11521" width="63.28515625" customWidth="1"/>
    <col min="11522" max="11522" width="17.28515625" customWidth="1"/>
    <col min="11523" max="11523" width="10.42578125" customWidth="1"/>
    <col min="11524" max="11525" width="0" hidden="1" customWidth="1"/>
    <col min="11777" max="11777" width="63.28515625" customWidth="1"/>
    <col min="11778" max="11778" width="17.28515625" customWidth="1"/>
    <col min="11779" max="11779" width="10.42578125" customWidth="1"/>
    <col min="11780" max="11781" width="0" hidden="1" customWidth="1"/>
    <col min="12033" max="12033" width="63.28515625" customWidth="1"/>
    <col min="12034" max="12034" width="17.28515625" customWidth="1"/>
    <col min="12035" max="12035" width="10.42578125" customWidth="1"/>
    <col min="12036" max="12037" width="0" hidden="1" customWidth="1"/>
    <col min="12289" max="12289" width="63.28515625" customWidth="1"/>
    <col min="12290" max="12290" width="17.28515625" customWidth="1"/>
    <col min="12291" max="12291" width="10.42578125" customWidth="1"/>
    <col min="12292" max="12293" width="0" hidden="1" customWidth="1"/>
    <col min="12545" max="12545" width="63.28515625" customWidth="1"/>
    <col min="12546" max="12546" width="17.28515625" customWidth="1"/>
    <col min="12547" max="12547" width="10.42578125" customWidth="1"/>
    <col min="12548" max="12549" width="0" hidden="1" customWidth="1"/>
    <col min="12801" max="12801" width="63.28515625" customWidth="1"/>
    <col min="12802" max="12802" width="17.28515625" customWidth="1"/>
    <col min="12803" max="12803" width="10.42578125" customWidth="1"/>
    <col min="12804" max="12805" width="0" hidden="1" customWidth="1"/>
    <col min="13057" max="13057" width="63.28515625" customWidth="1"/>
    <col min="13058" max="13058" width="17.28515625" customWidth="1"/>
    <col min="13059" max="13059" width="10.42578125" customWidth="1"/>
    <col min="13060" max="13061" width="0" hidden="1" customWidth="1"/>
    <col min="13313" max="13313" width="63.28515625" customWidth="1"/>
    <col min="13314" max="13314" width="17.28515625" customWidth="1"/>
    <col min="13315" max="13315" width="10.42578125" customWidth="1"/>
    <col min="13316" max="13317" width="0" hidden="1" customWidth="1"/>
    <col min="13569" max="13569" width="63.28515625" customWidth="1"/>
    <col min="13570" max="13570" width="17.28515625" customWidth="1"/>
    <col min="13571" max="13571" width="10.42578125" customWidth="1"/>
    <col min="13572" max="13573" width="0" hidden="1" customWidth="1"/>
    <col min="13825" max="13825" width="63.28515625" customWidth="1"/>
    <col min="13826" max="13826" width="17.28515625" customWidth="1"/>
    <col min="13827" max="13827" width="10.42578125" customWidth="1"/>
    <col min="13828" max="13829" width="0" hidden="1" customWidth="1"/>
    <col min="14081" max="14081" width="63.28515625" customWidth="1"/>
    <col min="14082" max="14082" width="17.28515625" customWidth="1"/>
    <col min="14083" max="14083" width="10.42578125" customWidth="1"/>
    <col min="14084" max="14085" width="0" hidden="1" customWidth="1"/>
    <col min="14337" max="14337" width="63.28515625" customWidth="1"/>
    <col min="14338" max="14338" width="17.28515625" customWidth="1"/>
    <col min="14339" max="14339" width="10.42578125" customWidth="1"/>
    <col min="14340" max="14341" width="0" hidden="1" customWidth="1"/>
    <col min="14593" max="14593" width="63.28515625" customWidth="1"/>
    <col min="14594" max="14594" width="17.28515625" customWidth="1"/>
    <col min="14595" max="14595" width="10.42578125" customWidth="1"/>
    <col min="14596" max="14597" width="0" hidden="1" customWidth="1"/>
    <col min="14849" max="14849" width="63.28515625" customWidth="1"/>
    <col min="14850" max="14850" width="17.28515625" customWidth="1"/>
    <col min="14851" max="14851" width="10.42578125" customWidth="1"/>
    <col min="14852" max="14853" width="0" hidden="1" customWidth="1"/>
    <col min="15105" max="15105" width="63.28515625" customWidth="1"/>
    <col min="15106" max="15106" width="17.28515625" customWidth="1"/>
    <col min="15107" max="15107" width="10.42578125" customWidth="1"/>
    <col min="15108" max="15109" width="0" hidden="1" customWidth="1"/>
    <col min="15361" max="15361" width="63.28515625" customWidth="1"/>
    <col min="15362" max="15362" width="17.28515625" customWidth="1"/>
    <col min="15363" max="15363" width="10.42578125" customWidth="1"/>
    <col min="15364" max="15365" width="0" hidden="1" customWidth="1"/>
    <col min="15617" max="15617" width="63.28515625" customWidth="1"/>
    <col min="15618" max="15618" width="17.28515625" customWidth="1"/>
    <col min="15619" max="15619" width="10.42578125" customWidth="1"/>
    <col min="15620" max="15621" width="0" hidden="1" customWidth="1"/>
    <col min="15873" max="15873" width="63.28515625" customWidth="1"/>
    <col min="15874" max="15874" width="17.28515625" customWidth="1"/>
    <col min="15875" max="15875" width="10.42578125" customWidth="1"/>
    <col min="15876" max="15877" width="0" hidden="1" customWidth="1"/>
    <col min="16129" max="16129" width="63.28515625" customWidth="1"/>
    <col min="16130" max="16130" width="17.28515625" customWidth="1"/>
    <col min="16131" max="16131" width="10.42578125" customWidth="1"/>
    <col min="16132" max="16133" width="0" hidden="1" customWidth="1"/>
  </cols>
  <sheetData>
    <row r="1" spans="1:7" x14ac:dyDescent="0.2">
      <c r="A1" s="3"/>
      <c r="B1" s="77" t="s">
        <v>1079</v>
      </c>
    </row>
    <row r="2" spans="1:7" x14ac:dyDescent="0.2">
      <c r="A2" s="3"/>
      <c r="B2" s="646" t="str">
        <f>'1.Bev-kiad.'!L2</f>
        <v>a 9/2026.(V.29.) önkormányzati rendelethez</v>
      </c>
    </row>
    <row r="3" spans="1:7" x14ac:dyDescent="0.2">
      <c r="A3" s="3"/>
      <c r="B3" s="646"/>
    </row>
    <row r="4" spans="1:7" ht="59.25" customHeight="1" x14ac:dyDescent="0.25">
      <c r="A4" s="826" t="s">
        <v>1086</v>
      </c>
      <c r="B4" s="827"/>
    </row>
    <row r="5" spans="1:7" x14ac:dyDescent="0.2">
      <c r="A5" s="3"/>
      <c r="B5" s="77"/>
    </row>
    <row r="6" spans="1:7" ht="13.5" thickBot="1" x14ac:dyDescent="0.25">
      <c r="A6" s="3"/>
      <c r="B6" s="77" t="s">
        <v>0</v>
      </c>
    </row>
    <row r="7" spans="1:7" ht="13.5" thickBot="1" x14ac:dyDescent="0.25">
      <c r="A7" s="647" t="s">
        <v>63</v>
      </c>
      <c r="B7" s="648" t="s">
        <v>41</v>
      </c>
    </row>
    <row r="8" spans="1:7" ht="15.95" customHeight="1" x14ac:dyDescent="0.2">
      <c r="A8" s="649" t="s">
        <v>1087</v>
      </c>
      <c r="B8" s="650">
        <v>453207</v>
      </c>
    </row>
    <row r="9" spans="1:7" ht="15.95" customHeight="1" x14ac:dyDescent="0.2">
      <c r="A9" s="651" t="s">
        <v>1080</v>
      </c>
      <c r="B9" s="652">
        <f>E10</f>
        <v>1930641</v>
      </c>
      <c r="D9" s="33"/>
    </row>
    <row r="10" spans="1:7" ht="16.5" customHeight="1" x14ac:dyDescent="0.2">
      <c r="A10" s="651" t="s">
        <v>1081</v>
      </c>
      <c r="B10" s="652">
        <f>SUM(B8:B9)</f>
        <v>2383848</v>
      </c>
      <c r="D10" s="33">
        <f>'1.Bev-kiad.'!L64</f>
        <v>2383848</v>
      </c>
      <c r="E10" s="70">
        <f>D10-B8</f>
        <v>1930641</v>
      </c>
      <c r="G10" s="70"/>
    </row>
    <row r="11" spans="1:7" ht="16.5" customHeight="1" x14ac:dyDescent="0.2">
      <c r="A11" s="651" t="s">
        <v>1082</v>
      </c>
      <c r="B11" s="652">
        <f>'1.Bev-kiad.'!L90</f>
        <v>1888235</v>
      </c>
      <c r="D11" s="33"/>
      <c r="G11" s="70"/>
    </row>
    <row r="12" spans="1:7" ht="16.5" customHeight="1" x14ac:dyDescent="0.2">
      <c r="A12" s="651" t="s">
        <v>1083</v>
      </c>
      <c r="B12" s="652">
        <f>SUM(B10-B11)</f>
        <v>495613</v>
      </c>
      <c r="C12" s="33"/>
      <c r="D12" s="33">
        <f>'11.Maradvány'!E15</f>
        <v>495613</v>
      </c>
    </row>
    <row r="13" spans="1:7" ht="15.95" customHeight="1" x14ac:dyDescent="0.2">
      <c r="A13" s="651" t="s">
        <v>1084</v>
      </c>
      <c r="B13" s="652">
        <v>0</v>
      </c>
      <c r="D13" s="33"/>
    </row>
    <row r="14" spans="1:7" ht="15.95" customHeight="1" x14ac:dyDescent="0.2">
      <c r="A14" s="653" t="s">
        <v>1088</v>
      </c>
      <c r="B14" s="650">
        <f>'12.Mérleg_konsz'!D33</f>
        <v>590673</v>
      </c>
      <c r="C14" s="654"/>
    </row>
    <row r="15" spans="1:7" ht="16.5" customHeight="1" thickBot="1" x14ac:dyDescent="0.25">
      <c r="A15" s="655" t="s">
        <v>1085</v>
      </c>
      <c r="B15" s="656">
        <f>SUM(B14-B8)</f>
        <v>137466</v>
      </c>
    </row>
    <row r="16" spans="1:7" ht="18" customHeight="1" x14ac:dyDescent="0.2">
      <c r="C16" s="33"/>
      <c r="D16" s="33"/>
    </row>
    <row r="17" spans="3:4" ht="15.95" customHeight="1" x14ac:dyDescent="0.2">
      <c r="C17"/>
      <c r="D17"/>
    </row>
    <row r="18" spans="3:4" ht="15.95" customHeight="1" x14ac:dyDescent="0.2"/>
    <row r="19" spans="3:4" ht="15.95" customHeight="1" x14ac:dyDescent="0.2"/>
    <row r="20" spans="3:4" ht="15.95" customHeight="1" x14ac:dyDescent="0.2"/>
    <row r="21" spans="3:4" ht="15.95" customHeight="1" x14ac:dyDescent="0.2"/>
    <row r="22" spans="3:4" ht="15" customHeight="1" x14ac:dyDescent="0.2"/>
    <row r="23" spans="3:4" ht="14.1" customHeight="1" x14ac:dyDescent="0.2"/>
    <row r="24" spans="3:4" ht="14.1" customHeight="1" x14ac:dyDescent="0.2"/>
    <row r="25" spans="3:4" ht="14.1" customHeight="1" x14ac:dyDescent="0.2"/>
    <row r="26" spans="3:4" ht="14.1" customHeight="1" x14ac:dyDescent="0.2"/>
  </sheetData>
  <mergeCells count="1">
    <mergeCell ref="A4:B4"/>
  </mergeCells>
  <pageMargins left="0.7" right="0.7" top="0.75" bottom="0.75" header="0.3" footer="0.3"/>
  <pageSetup paperSize="9" scale="10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094F-29C5-4CCD-9C73-540EB39C6AC3}">
  <dimension ref="A1:C16"/>
  <sheetViews>
    <sheetView zoomScaleNormal="100" workbookViewId="0">
      <selection activeCell="A17" sqref="A17"/>
    </sheetView>
  </sheetViews>
  <sheetFormatPr defaultRowHeight="12.75" x14ac:dyDescent="0.2"/>
  <cols>
    <col min="1" max="1" width="69" customWidth="1"/>
    <col min="2" max="2" width="16" customWidth="1"/>
    <col min="3" max="3" width="12.28515625" customWidth="1"/>
    <col min="257" max="257" width="69" customWidth="1"/>
    <col min="258" max="258" width="16" customWidth="1"/>
    <col min="259" max="259" width="12.28515625" customWidth="1"/>
    <col min="513" max="513" width="69" customWidth="1"/>
    <col min="514" max="514" width="16" customWidth="1"/>
    <col min="515" max="515" width="12.28515625" customWidth="1"/>
    <col min="769" max="769" width="69" customWidth="1"/>
    <col min="770" max="770" width="16" customWidth="1"/>
    <col min="771" max="771" width="12.28515625" customWidth="1"/>
    <col min="1025" max="1025" width="69" customWidth="1"/>
    <col min="1026" max="1026" width="16" customWidth="1"/>
    <col min="1027" max="1027" width="12.28515625" customWidth="1"/>
    <col min="1281" max="1281" width="69" customWidth="1"/>
    <col min="1282" max="1282" width="16" customWidth="1"/>
    <col min="1283" max="1283" width="12.28515625" customWidth="1"/>
    <col min="1537" max="1537" width="69" customWidth="1"/>
    <col min="1538" max="1538" width="16" customWidth="1"/>
    <col min="1539" max="1539" width="12.28515625" customWidth="1"/>
    <col min="1793" max="1793" width="69" customWidth="1"/>
    <col min="1794" max="1794" width="16" customWidth="1"/>
    <col min="1795" max="1795" width="12.28515625" customWidth="1"/>
    <col min="2049" max="2049" width="69" customWidth="1"/>
    <col min="2050" max="2050" width="16" customWidth="1"/>
    <col min="2051" max="2051" width="12.28515625" customWidth="1"/>
    <col min="2305" max="2305" width="69" customWidth="1"/>
    <col min="2306" max="2306" width="16" customWidth="1"/>
    <col min="2307" max="2307" width="12.28515625" customWidth="1"/>
    <col min="2561" max="2561" width="69" customWidth="1"/>
    <col min="2562" max="2562" width="16" customWidth="1"/>
    <col min="2563" max="2563" width="12.28515625" customWidth="1"/>
    <col min="2817" max="2817" width="69" customWidth="1"/>
    <col min="2818" max="2818" width="16" customWidth="1"/>
    <col min="2819" max="2819" width="12.28515625" customWidth="1"/>
    <col min="3073" max="3073" width="69" customWidth="1"/>
    <col min="3074" max="3074" width="16" customWidth="1"/>
    <col min="3075" max="3075" width="12.28515625" customWidth="1"/>
    <col min="3329" max="3329" width="69" customWidth="1"/>
    <col min="3330" max="3330" width="16" customWidth="1"/>
    <col min="3331" max="3331" width="12.28515625" customWidth="1"/>
    <col min="3585" max="3585" width="69" customWidth="1"/>
    <col min="3586" max="3586" width="16" customWidth="1"/>
    <col min="3587" max="3587" width="12.28515625" customWidth="1"/>
    <col min="3841" max="3841" width="69" customWidth="1"/>
    <col min="3842" max="3842" width="16" customWidth="1"/>
    <col min="3843" max="3843" width="12.28515625" customWidth="1"/>
    <col min="4097" max="4097" width="69" customWidth="1"/>
    <col min="4098" max="4098" width="16" customWidth="1"/>
    <col min="4099" max="4099" width="12.28515625" customWidth="1"/>
    <col min="4353" max="4353" width="69" customWidth="1"/>
    <col min="4354" max="4354" width="16" customWidth="1"/>
    <col min="4355" max="4355" width="12.28515625" customWidth="1"/>
    <col min="4609" max="4609" width="69" customWidth="1"/>
    <col min="4610" max="4610" width="16" customWidth="1"/>
    <col min="4611" max="4611" width="12.28515625" customWidth="1"/>
    <col min="4865" max="4865" width="69" customWidth="1"/>
    <col min="4866" max="4866" width="16" customWidth="1"/>
    <col min="4867" max="4867" width="12.28515625" customWidth="1"/>
    <col min="5121" max="5121" width="69" customWidth="1"/>
    <col min="5122" max="5122" width="16" customWidth="1"/>
    <col min="5123" max="5123" width="12.28515625" customWidth="1"/>
    <col min="5377" max="5377" width="69" customWidth="1"/>
    <col min="5378" max="5378" width="16" customWidth="1"/>
    <col min="5379" max="5379" width="12.28515625" customWidth="1"/>
    <col min="5633" max="5633" width="69" customWidth="1"/>
    <col min="5634" max="5634" width="16" customWidth="1"/>
    <col min="5635" max="5635" width="12.28515625" customWidth="1"/>
    <col min="5889" max="5889" width="69" customWidth="1"/>
    <col min="5890" max="5890" width="16" customWidth="1"/>
    <col min="5891" max="5891" width="12.28515625" customWidth="1"/>
    <col min="6145" max="6145" width="69" customWidth="1"/>
    <col min="6146" max="6146" width="16" customWidth="1"/>
    <col min="6147" max="6147" width="12.28515625" customWidth="1"/>
    <col min="6401" max="6401" width="69" customWidth="1"/>
    <col min="6402" max="6402" width="16" customWidth="1"/>
    <col min="6403" max="6403" width="12.28515625" customWidth="1"/>
    <col min="6657" max="6657" width="69" customWidth="1"/>
    <col min="6658" max="6658" width="16" customWidth="1"/>
    <col min="6659" max="6659" width="12.28515625" customWidth="1"/>
    <col min="6913" max="6913" width="69" customWidth="1"/>
    <col min="6914" max="6914" width="16" customWidth="1"/>
    <col min="6915" max="6915" width="12.28515625" customWidth="1"/>
    <col min="7169" max="7169" width="69" customWidth="1"/>
    <col min="7170" max="7170" width="16" customWidth="1"/>
    <col min="7171" max="7171" width="12.28515625" customWidth="1"/>
    <col min="7425" max="7425" width="69" customWidth="1"/>
    <col min="7426" max="7426" width="16" customWidth="1"/>
    <col min="7427" max="7427" width="12.28515625" customWidth="1"/>
    <col min="7681" max="7681" width="69" customWidth="1"/>
    <col min="7682" max="7682" width="16" customWidth="1"/>
    <col min="7683" max="7683" width="12.28515625" customWidth="1"/>
    <col min="7937" max="7937" width="69" customWidth="1"/>
    <col min="7938" max="7938" width="16" customWidth="1"/>
    <col min="7939" max="7939" width="12.28515625" customWidth="1"/>
    <col min="8193" max="8193" width="69" customWidth="1"/>
    <col min="8194" max="8194" width="16" customWidth="1"/>
    <col min="8195" max="8195" width="12.28515625" customWidth="1"/>
    <col min="8449" max="8449" width="69" customWidth="1"/>
    <col min="8450" max="8450" width="16" customWidth="1"/>
    <col min="8451" max="8451" width="12.28515625" customWidth="1"/>
    <col min="8705" max="8705" width="69" customWidth="1"/>
    <col min="8706" max="8706" width="16" customWidth="1"/>
    <col min="8707" max="8707" width="12.28515625" customWidth="1"/>
    <col min="8961" max="8961" width="69" customWidth="1"/>
    <col min="8962" max="8962" width="16" customWidth="1"/>
    <col min="8963" max="8963" width="12.28515625" customWidth="1"/>
    <col min="9217" max="9217" width="69" customWidth="1"/>
    <col min="9218" max="9218" width="16" customWidth="1"/>
    <col min="9219" max="9219" width="12.28515625" customWidth="1"/>
    <col min="9473" max="9473" width="69" customWidth="1"/>
    <col min="9474" max="9474" width="16" customWidth="1"/>
    <col min="9475" max="9475" width="12.28515625" customWidth="1"/>
    <col min="9729" max="9729" width="69" customWidth="1"/>
    <col min="9730" max="9730" width="16" customWidth="1"/>
    <col min="9731" max="9731" width="12.28515625" customWidth="1"/>
    <col min="9985" max="9985" width="69" customWidth="1"/>
    <col min="9986" max="9986" width="16" customWidth="1"/>
    <col min="9987" max="9987" width="12.28515625" customWidth="1"/>
    <col min="10241" max="10241" width="69" customWidth="1"/>
    <col min="10242" max="10242" width="16" customWidth="1"/>
    <col min="10243" max="10243" width="12.28515625" customWidth="1"/>
    <col min="10497" max="10497" width="69" customWidth="1"/>
    <col min="10498" max="10498" width="16" customWidth="1"/>
    <col min="10499" max="10499" width="12.28515625" customWidth="1"/>
    <col min="10753" max="10753" width="69" customWidth="1"/>
    <col min="10754" max="10754" width="16" customWidth="1"/>
    <col min="10755" max="10755" width="12.28515625" customWidth="1"/>
    <col min="11009" max="11009" width="69" customWidth="1"/>
    <col min="11010" max="11010" width="16" customWidth="1"/>
    <col min="11011" max="11011" width="12.28515625" customWidth="1"/>
    <col min="11265" max="11265" width="69" customWidth="1"/>
    <col min="11266" max="11266" width="16" customWidth="1"/>
    <col min="11267" max="11267" width="12.28515625" customWidth="1"/>
    <col min="11521" max="11521" width="69" customWidth="1"/>
    <col min="11522" max="11522" width="16" customWidth="1"/>
    <col min="11523" max="11523" width="12.28515625" customWidth="1"/>
    <col min="11777" max="11777" width="69" customWidth="1"/>
    <col min="11778" max="11778" width="16" customWidth="1"/>
    <col min="11779" max="11779" width="12.28515625" customWidth="1"/>
    <col min="12033" max="12033" width="69" customWidth="1"/>
    <col min="12034" max="12034" width="16" customWidth="1"/>
    <col min="12035" max="12035" width="12.28515625" customWidth="1"/>
    <col min="12289" max="12289" width="69" customWidth="1"/>
    <col min="12290" max="12290" width="16" customWidth="1"/>
    <col min="12291" max="12291" width="12.28515625" customWidth="1"/>
    <col min="12545" max="12545" width="69" customWidth="1"/>
    <col min="12546" max="12546" width="16" customWidth="1"/>
    <col min="12547" max="12547" width="12.28515625" customWidth="1"/>
    <col min="12801" max="12801" width="69" customWidth="1"/>
    <col min="12802" max="12802" width="16" customWidth="1"/>
    <col min="12803" max="12803" width="12.28515625" customWidth="1"/>
    <col min="13057" max="13057" width="69" customWidth="1"/>
    <col min="13058" max="13058" width="16" customWidth="1"/>
    <col min="13059" max="13059" width="12.28515625" customWidth="1"/>
    <col min="13313" max="13313" width="69" customWidth="1"/>
    <col min="13314" max="13314" width="16" customWidth="1"/>
    <col min="13315" max="13315" width="12.28515625" customWidth="1"/>
    <col min="13569" max="13569" width="69" customWidth="1"/>
    <col min="13570" max="13570" width="16" customWidth="1"/>
    <col min="13571" max="13571" width="12.28515625" customWidth="1"/>
    <col min="13825" max="13825" width="69" customWidth="1"/>
    <col min="13826" max="13826" width="16" customWidth="1"/>
    <col min="13827" max="13827" width="12.28515625" customWidth="1"/>
    <col min="14081" max="14081" width="69" customWidth="1"/>
    <col min="14082" max="14082" width="16" customWidth="1"/>
    <col min="14083" max="14083" width="12.28515625" customWidth="1"/>
    <col min="14337" max="14337" width="69" customWidth="1"/>
    <col min="14338" max="14338" width="16" customWidth="1"/>
    <col min="14339" max="14339" width="12.28515625" customWidth="1"/>
    <col min="14593" max="14593" width="69" customWidth="1"/>
    <col min="14594" max="14594" width="16" customWidth="1"/>
    <col min="14595" max="14595" width="12.28515625" customWidth="1"/>
    <col min="14849" max="14849" width="69" customWidth="1"/>
    <col min="14850" max="14850" width="16" customWidth="1"/>
    <col min="14851" max="14851" width="12.28515625" customWidth="1"/>
    <col min="15105" max="15105" width="69" customWidth="1"/>
    <col min="15106" max="15106" width="16" customWidth="1"/>
    <col min="15107" max="15107" width="12.28515625" customWidth="1"/>
    <col min="15361" max="15361" width="69" customWidth="1"/>
    <col min="15362" max="15362" width="16" customWidth="1"/>
    <col min="15363" max="15363" width="12.28515625" customWidth="1"/>
    <col min="15617" max="15617" width="69" customWidth="1"/>
    <col min="15618" max="15618" width="16" customWidth="1"/>
    <col min="15619" max="15619" width="12.28515625" customWidth="1"/>
    <col min="15873" max="15873" width="69" customWidth="1"/>
    <col min="15874" max="15874" width="16" customWidth="1"/>
    <col min="15875" max="15875" width="12.28515625" customWidth="1"/>
    <col min="16129" max="16129" width="69" customWidth="1"/>
    <col min="16130" max="16130" width="16" customWidth="1"/>
    <col min="16131" max="16131" width="12.28515625" customWidth="1"/>
  </cols>
  <sheetData>
    <row r="1" spans="1:3" x14ac:dyDescent="0.2">
      <c r="A1" s="3"/>
      <c r="C1" s="77" t="s">
        <v>1089</v>
      </c>
    </row>
    <row r="2" spans="1:3" x14ac:dyDescent="0.2">
      <c r="A2" s="3"/>
      <c r="C2" s="646" t="str">
        <f>'1.Bev-kiad.'!L2</f>
        <v>a 9/2026.(V.29.) önkormányzati rendelethez</v>
      </c>
    </row>
    <row r="3" spans="1:3" x14ac:dyDescent="0.2">
      <c r="A3" s="3"/>
      <c r="B3" s="646"/>
    </row>
    <row r="4" spans="1:3" ht="59.25" customHeight="1" x14ac:dyDescent="0.25">
      <c r="A4" s="826" t="s">
        <v>1098</v>
      </c>
      <c r="B4" s="826"/>
      <c r="C4" s="826"/>
    </row>
    <row r="5" spans="1:3" x14ac:dyDescent="0.2">
      <c r="A5" s="3"/>
      <c r="B5" s="77"/>
    </row>
    <row r="6" spans="1:3" ht="13.5" thickBot="1" x14ac:dyDescent="0.25">
      <c r="A6" s="3"/>
      <c r="B6" s="77"/>
    </row>
    <row r="7" spans="1:3" ht="13.5" thickBot="1" x14ac:dyDescent="0.25">
      <c r="A7" s="647" t="s">
        <v>63</v>
      </c>
      <c r="B7" s="657" t="s">
        <v>0</v>
      </c>
      <c r="C7" s="657" t="s">
        <v>1090</v>
      </c>
    </row>
    <row r="8" spans="1:3" ht="25.5" x14ac:dyDescent="0.2">
      <c r="A8" s="658" t="s">
        <v>1091</v>
      </c>
      <c r="B8" s="659">
        <f>SUM(B9)</f>
        <v>0</v>
      </c>
      <c r="C8" s="660"/>
    </row>
    <row r="9" spans="1:3" x14ac:dyDescent="0.2">
      <c r="A9" s="661" t="s">
        <v>1092</v>
      </c>
      <c r="B9" s="54">
        <v>0</v>
      </c>
      <c r="C9" s="662"/>
    </row>
    <row r="10" spans="1:3" ht="25.5" x14ac:dyDescent="0.2">
      <c r="A10" s="663" t="s">
        <v>1093</v>
      </c>
      <c r="B10" s="87">
        <f>SUM(B11)</f>
        <v>3000</v>
      </c>
      <c r="C10" s="664"/>
    </row>
    <row r="11" spans="1:3" x14ac:dyDescent="0.2">
      <c r="A11" s="661" t="s">
        <v>1092</v>
      </c>
      <c r="B11" s="54">
        <v>3000</v>
      </c>
      <c r="C11" s="662">
        <v>100</v>
      </c>
    </row>
    <row r="12" spans="1:3" s="260" customFormat="1" x14ac:dyDescent="0.2">
      <c r="A12" s="665" t="s">
        <v>1094</v>
      </c>
      <c r="B12" s="666">
        <f>SUM(B13:B15)</f>
        <v>146946</v>
      </c>
      <c r="C12" s="667"/>
    </row>
    <row r="13" spans="1:3" x14ac:dyDescent="0.2">
      <c r="A13" s="661" t="s">
        <v>1095</v>
      </c>
      <c r="B13" s="54">
        <f>83780+63120</f>
        <v>146900</v>
      </c>
      <c r="C13" s="668">
        <v>1.37</v>
      </c>
    </row>
    <row r="14" spans="1:3" x14ac:dyDescent="0.2">
      <c r="A14" s="661" t="s">
        <v>1096</v>
      </c>
      <c r="B14" s="54">
        <v>36</v>
      </c>
      <c r="C14" s="668">
        <v>1.21</v>
      </c>
    </row>
    <row r="15" spans="1:3" ht="13.5" thickBot="1" x14ac:dyDescent="0.25">
      <c r="A15" s="669" t="s">
        <v>1097</v>
      </c>
      <c r="B15" s="670">
        <v>10</v>
      </c>
      <c r="C15" s="671">
        <v>0</v>
      </c>
    </row>
    <row r="16" spans="1:3" x14ac:dyDescent="0.2">
      <c r="A16" s="49"/>
      <c r="B16" s="672"/>
    </row>
  </sheetData>
  <mergeCells count="1">
    <mergeCell ref="A4:C4"/>
  </mergeCells>
  <pageMargins left="0.7" right="0.7" top="0.75" bottom="0.75" header="0.3" footer="0.3"/>
  <pageSetup paperSize="9" scale="9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43"/>
  <sheetViews>
    <sheetView zoomScaleNormal="100" workbookViewId="0">
      <selection activeCell="F2" sqref="F2"/>
    </sheetView>
  </sheetViews>
  <sheetFormatPr defaultRowHeight="12.75" x14ac:dyDescent="0.2"/>
  <cols>
    <col min="1" max="1" width="6.28515625" style="2" customWidth="1"/>
    <col min="2" max="2" width="68.140625" customWidth="1"/>
    <col min="3" max="6" width="13.7109375" style="33" customWidth="1"/>
    <col min="8" max="8" width="13" customWidth="1"/>
  </cols>
  <sheetData>
    <row r="1" spans="1:14" ht="15" customHeight="1" x14ac:dyDescent="0.3">
      <c r="A1" s="51"/>
      <c r="B1" s="144"/>
      <c r="D1" s="145"/>
      <c r="E1" s="145"/>
      <c r="F1" s="145" t="s">
        <v>1099</v>
      </c>
      <c r="G1" s="2"/>
      <c r="H1" s="2"/>
      <c r="I1" s="2"/>
      <c r="J1" s="2"/>
      <c r="K1" s="2"/>
      <c r="L1" s="2"/>
      <c r="M1" s="2"/>
      <c r="N1" s="2"/>
    </row>
    <row r="2" spans="1:14" ht="15" customHeight="1" x14ac:dyDescent="0.3">
      <c r="A2" s="51"/>
      <c r="B2" s="144"/>
      <c r="D2" s="145"/>
      <c r="E2" s="145"/>
      <c r="F2" s="145" t="str">
        <f>'1.Bev-kiad.'!L2</f>
        <v>a 9/2026.(V.29.) önkormányzati rendelethez</v>
      </c>
      <c r="G2" s="2"/>
      <c r="H2" s="2"/>
      <c r="I2" s="2"/>
      <c r="J2" s="2"/>
      <c r="K2" s="2"/>
      <c r="L2" s="2"/>
      <c r="M2" s="2"/>
      <c r="N2" s="2"/>
    </row>
    <row r="3" spans="1:14" ht="15" customHeight="1" x14ac:dyDescent="0.3">
      <c r="A3" s="51"/>
      <c r="B3" s="144"/>
      <c r="D3" s="145"/>
      <c r="E3" s="145"/>
      <c r="G3" s="2"/>
      <c r="H3" s="2"/>
      <c r="I3" s="2"/>
      <c r="J3" s="2"/>
      <c r="K3" s="2"/>
      <c r="L3" s="2"/>
      <c r="M3" s="2"/>
      <c r="N3" s="2"/>
    </row>
    <row r="4" spans="1:14" ht="19.5" x14ac:dyDescent="0.35">
      <c r="A4" s="694" t="s">
        <v>22</v>
      </c>
      <c r="B4" s="694"/>
      <c r="C4" s="695"/>
      <c r="D4" s="695"/>
      <c r="E4" s="695"/>
      <c r="F4" s="695"/>
      <c r="G4" s="2"/>
      <c r="H4" s="2"/>
      <c r="I4" s="2"/>
      <c r="J4" s="2"/>
      <c r="K4" s="2"/>
      <c r="L4" s="2"/>
      <c r="M4" s="2"/>
      <c r="N4" s="2"/>
    </row>
    <row r="5" spans="1:14" ht="19.5" x14ac:dyDescent="0.35">
      <c r="A5" s="694" t="s">
        <v>745</v>
      </c>
      <c r="B5" s="694"/>
      <c r="C5" s="695"/>
      <c r="D5" s="695"/>
      <c r="E5" s="695"/>
      <c r="F5" s="695"/>
      <c r="G5" s="2"/>
      <c r="H5" s="2"/>
      <c r="I5" s="2"/>
      <c r="J5" s="2"/>
      <c r="K5" s="2"/>
      <c r="L5" s="2"/>
      <c r="M5" s="2"/>
      <c r="N5" s="2"/>
    </row>
    <row r="6" spans="1:14" ht="13.5" thickBot="1" x14ac:dyDescent="0.25">
      <c r="A6" s="51"/>
      <c r="B6" s="51"/>
      <c r="D6" s="145"/>
      <c r="E6" s="145"/>
      <c r="F6" s="145" t="s">
        <v>0</v>
      </c>
      <c r="G6" s="2"/>
      <c r="H6" s="2"/>
      <c r="I6" s="2"/>
      <c r="J6" s="2"/>
      <c r="K6" s="2"/>
      <c r="L6" s="2"/>
      <c r="M6" s="2"/>
      <c r="N6" s="2"/>
    </row>
    <row r="7" spans="1:14" ht="53.25" customHeight="1" thickBot="1" x14ac:dyDescent="0.25">
      <c r="A7" s="180" t="s">
        <v>72</v>
      </c>
      <c r="B7" s="41" t="s">
        <v>295</v>
      </c>
      <c r="C7" s="41" t="s">
        <v>1100</v>
      </c>
      <c r="D7" s="41" t="s">
        <v>563</v>
      </c>
      <c r="E7" s="41" t="s">
        <v>592</v>
      </c>
      <c r="F7" s="41" t="s">
        <v>746</v>
      </c>
      <c r="G7" s="2"/>
      <c r="H7" s="2"/>
      <c r="I7" s="2"/>
      <c r="J7" s="2"/>
      <c r="K7" s="2"/>
      <c r="L7" s="2"/>
      <c r="M7" s="2"/>
      <c r="N7" s="2"/>
    </row>
    <row r="8" spans="1:14" ht="22.5" customHeight="1" x14ac:dyDescent="0.2">
      <c r="A8" s="115" t="s">
        <v>280</v>
      </c>
      <c r="B8" s="186" t="s">
        <v>267</v>
      </c>
      <c r="C8" s="138">
        <f>SUM(C9:C50)</f>
        <v>1995619</v>
      </c>
      <c r="D8" s="138">
        <f>SUM(D9:D50)</f>
        <v>2584205</v>
      </c>
      <c r="E8" s="138">
        <f>SUM(E9:E50)</f>
        <v>1865295</v>
      </c>
      <c r="F8" s="138">
        <f>SUM(F9:F50)</f>
        <v>1877295</v>
      </c>
      <c r="G8" s="2"/>
      <c r="H8" s="2"/>
      <c r="I8" s="2"/>
      <c r="J8" s="2"/>
      <c r="K8" s="2"/>
      <c r="L8" s="2"/>
      <c r="M8" s="2"/>
      <c r="N8" s="2"/>
    </row>
    <row r="9" spans="1:14" ht="18" customHeight="1" x14ac:dyDescent="0.25">
      <c r="A9" s="14" t="s">
        <v>74</v>
      </c>
      <c r="B9" s="22" t="s">
        <v>174</v>
      </c>
      <c r="C9" s="34">
        <f>SUM('1.Bev-kiad.'!L10)</f>
        <v>769186</v>
      </c>
      <c r="D9" s="34">
        <v>895072</v>
      </c>
      <c r="E9" s="34">
        <v>900000</v>
      </c>
      <c r="F9" s="34">
        <v>910000</v>
      </c>
      <c r="G9" s="2"/>
      <c r="H9" s="2"/>
      <c r="I9" s="2"/>
      <c r="J9" s="2"/>
      <c r="K9" s="2"/>
      <c r="L9" s="2"/>
      <c r="M9" s="2"/>
      <c r="N9" s="2"/>
    </row>
    <row r="10" spans="1:14" ht="13.5" hidden="1" customHeight="1" x14ac:dyDescent="0.2">
      <c r="A10" s="8" t="s">
        <v>75</v>
      </c>
      <c r="B10" s="8" t="s">
        <v>83</v>
      </c>
      <c r="C10" s="5"/>
      <c r="D10" s="5"/>
      <c r="E10" s="5"/>
      <c r="F10" s="5"/>
      <c r="G10" s="2"/>
      <c r="H10" s="2"/>
      <c r="I10" s="2"/>
      <c r="J10" s="2"/>
      <c r="K10" s="2"/>
      <c r="L10" s="2"/>
      <c r="M10" s="2"/>
      <c r="N10" s="2"/>
    </row>
    <row r="11" spans="1:14" ht="13.5" hidden="1" customHeight="1" x14ac:dyDescent="0.2">
      <c r="A11" s="8" t="s">
        <v>124</v>
      </c>
      <c r="B11" s="8" t="s">
        <v>125</v>
      </c>
      <c r="C11" s="5"/>
      <c r="D11" s="5"/>
      <c r="E11" s="5"/>
      <c r="F11" s="5"/>
      <c r="G11" s="2"/>
      <c r="H11" s="2"/>
      <c r="I11" s="2"/>
      <c r="J11" s="2"/>
      <c r="K11" s="2"/>
      <c r="L11" s="2"/>
      <c r="M11" s="2"/>
      <c r="N11" s="2"/>
    </row>
    <row r="12" spans="1:14" ht="13.5" hidden="1" customHeight="1" x14ac:dyDescent="0.2">
      <c r="A12" s="8" t="s">
        <v>76</v>
      </c>
      <c r="B12" s="8" t="s">
        <v>80</v>
      </c>
      <c r="C12" s="6"/>
      <c r="D12" s="6"/>
      <c r="E12" s="6"/>
      <c r="F12" s="6"/>
      <c r="G12" s="2"/>
      <c r="H12" s="2"/>
      <c r="I12" s="2"/>
      <c r="J12" s="2"/>
      <c r="K12" s="2"/>
      <c r="L12" s="2"/>
      <c r="M12" s="2"/>
      <c r="N12" s="2"/>
    </row>
    <row r="13" spans="1:14" ht="13.5" hidden="1" customHeight="1" x14ac:dyDescent="0.2">
      <c r="A13" s="8" t="s">
        <v>77</v>
      </c>
      <c r="B13" s="8" t="s">
        <v>81</v>
      </c>
      <c r="C13" s="11"/>
      <c r="D13" s="11"/>
      <c r="E13" s="11"/>
      <c r="F13" s="11"/>
      <c r="G13" s="2"/>
      <c r="H13" s="2"/>
      <c r="I13" s="2"/>
      <c r="J13" s="2"/>
      <c r="K13" s="2"/>
      <c r="L13" s="2"/>
      <c r="M13" s="2"/>
      <c r="N13" s="2"/>
    </row>
    <row r="14" spans="1:14" ht="13.5" hidden="1" customHeight="1" x14ac:dyDescent="0.2">
      <c r="A14" s="8" t="s">
        <v>78</v>
      </c>
      <c r="B14" s="8" t="s">
        <v>82</v>
      </c>
      <c r="C14" s="13"/>
      <c r="D14" s="13"/>
      <c r="E14" s="13"/>
      <c r="F14" s="13"/>
      <c r="G14" s="2"/>
      <c r="H14" s="2"/>
      <c r="I14" s="2"/>
      <c r="J14" s="2"/>
      <c r="K14" s="2"/>
      <c r="L14" s="2"/>
      <c r="M14" s="2"/>
      <c r="N14" s="2"/>
    </row>
    <row r="15" spans="1:14" ht="12.75" hidden="1" customHeight="1" x14ac:dyDescent="0.2">
      <c r="A15" s="8" t="s">
        <v>79</v>
      </c>
      <c r="B15" s="8" t="s">
        <v>84</v>
      </c>
      <c r="C15" s="13"/>
      <c r="D15" s="13"/>
      <c r="E15" s="13"/>
      <c r="F15" s="13"/>
      <c r="G15" s="2"/>
      <c r="H15" s="2"/>
      <c r="I15" s="2"/>
      <c r="J15" s="2"/>
      <c r="K15" s="2"/>
      <c r="L15" s="2"/>
      <c r="M15" s="2"/>
      <c r="N15" s="2"/>
    </row>
    <row r="16" spans="1:14" ht="18" customHeight="1" x14ac:dyDescent="0.25">
      <c r="A16" s="14" t="s">
        <v>85</v>
      </c>
      <c r="B16" s="22" t="s">
        <v>175</v>
      </c>
      <c r="C16" s="38">
        <f>SUM('1.Bev-kiad.'!L17)</f>
        <v>394384</v>
      </c>
      <c r="D16" s="38">
        <v>526642</v>
      </c>
      <c r="E16" s="38">
        <v>0</v>
      </c>
      <c r="F16" s="38">
        <v>0</v>
      </c>
      <c r="G16" s="2"/>
      <c r="H16" s="2"/>
      <c r="I16" s="2"/>
      <c r="J16" s="2"/>
      <c r="K16" s="2"/>
      <c r="L16" s="2"/>
      <c r="M16" s="2"/>
      <c r="N16" s="2"/>
    </row>
    <row r="17" spans="1:14" ht="12.75" hidden="1" customHeight="1" x14ac:dyDescent="0.2">
      <c r="A17" s="8" t="s">
        <v>86</v>
      </c>
      <c r="B17" s="8" t="s">
        <v>93</v>
      </c>
      <c r="C17" s="5"/>
      <c r="D17" s="5"/>
      <c r="E17" s="5"/>
      <c r="F17" s="5"/>
      <c r="G17" s="2"/>
      <c r="H17" s="2"/>
      <c r="I17" s="2"/>
      <c r="J17" s="2"/>
      <c r="K17" s="2"/>
      <c r="L17" s="2"/>
      <c r="M17" s="2"/>
      <c r="N17" s="2"/>
    </row>
    <row r="18" spans="1:14" ht="12.75" hidden="1" customHeight="1" x14ac:dyDescent="0.2">
      <c r="A18" s="8" t="s">
        <v>126</v>
      </c>
      <c r="B18" s="8" t="s">
        <v>127</v>
      </c>
      <c r="C18" s="13"/>
      <c r="D18" s="13"/>
      <c r="E18" s="13"/>
      <c r="F18" s="13"/>
      <c r="G18" s="2"/>
      <c r="H18" s="2"/>
      <c r="I18" s="2"/>
      <c r="J18" s="2"/>
      <c r="K18" s="2"/>
      <c r="L18" s="2"/>
      <c r="M18" s="2"/>
      <c r="N18" s="2"/>
    </row>
    <row r="19" spans="1:14" ht="12.75" hidden="1" customHeight="1" x14ac:dyDescent="0.2">
      <c r="A19" s="8" t="s">
        <v>87</v>
      </c>
      <c r="B19" s="8" t="s">
        <v>90</v>
      </c>
      <c r="C19" s="13"/>
      <c r="D19" s="13"/>
      <c r="E19" s="13"/>
      <c r="F19" s="13"/>
      <c r="G19" s="2"/>
      <c r="H19" s="2"/>
      <c r="I19" s="2"/>
      <c r="J19" s="2"/>
      <c r="K19" s="2"/>
      <c r="L19" s="2"/>
      <c r="M19" s="2"/>
      <c r="N19" s="2"/>
    </row>
    <row r="20" spans="1:14" ht="12.75" hidden="1" customHeight="1" x14ac:dyDescent="0.2">
      <c r="A20" s="8" t="s">
        <v>88</v>
      </c>
      <c r="B20" s="8" t="s">
        <v>91</v>
      </c>
      <c r="C20" s="13"/>
      <c r="D20" s="13"/>
      <c r="E20" s="13"/>
      <c r="F20" s="13"/>
      <c r="G20" s="2"/>
      <c r="H20" s="2"/>
      <c r="I20" s="2"/>
      <c r="J20" s="2"/>
      <c r="K20" s="2"/>
      <c r="L20" s="2"/>
      <c r="M20" s="2"/>
      <c r="N20" s="2"/>
    </row>
    <row r="21" spans="1:14" ht="12.75" hidden="1" customHeight="1" x14ac:dyDescent="0.2">
      <c r="A21" s="8" t="s">
        <v>89</v>
      </c>
      <c r="B21" s="8" t="s">
        <v>92</v>
      </c>
      <c r="C21" s="13"/>
      <c r="D21" s="13"/>
      <c r="E21" s="13"/>
      <c r="F21" s="13"/>
      <c r="G21" s="2"/>
      <c r="H21" s="2"/>
      <c r="I21" s="2"/>
      <c r="J21" s="2"/>
      <c r="K21" s="2"/>
      <c r="L21" s="2"/>
      <c r="M21" s="2"/>
      <c r="N21" s="2"/>
    </row>
    <row r="22" spans="1:14" ht="18" customHeight="1" x14ac:dyDescent="0.25">
      <c r="A22" s="14" t="s">
        <v>94</v>
      </c>
      <c r="B22" s="22" t="s">
        <v>69</v>
      </c>
      <c r="C22" s="38">
        <f>SUM('1.Bev-kiad.'!L23)</f>
        <v>738279</v>
      </c>
      <c r="D22" s="38">
        <v>875000</v>
      </c>
      <c r="E22" s="38">
        <v>875000</v>
      </c>
      <c r="F22" s="38">
        <v>875000</v>
      </c>
      <c r="G22" s="2"/>
      <c r="H22" s="7"/>
      <c r="I22" s="2"/>
      <c r="J22" s="2"/>
      <c r="K22" s="2"/>
      <c r="L22" s="2"/>
      <c r="M22" s="2"/>
      <c r="N22" s="2"/>
    </row>
    <row r="23" spans="1:14" ht="12.75" hidden="1" customHeight="1" x14ac:dyDescent="0.2">
      <c r="A23" s="8" t="s">
        <v>95</v>
      </c>
      <c r="B23" s="8" t="s">
        <v>101</v>
      </c>
      <c r="C23" s="13"/>
      <c r="D23" s="13"/>
      <c r="E23" s="13"/>
      <c r="F23" s="13"/>
      <c r="G23" s="2"/>
      <c r="H23" s="2"/>
      <c r="I23" s="2"/>
      <c r="J23" s="2"/>
      <c r="K23" s="2"/>
      <c r="L23" s="2"/>
      <c r="M23" s="2"/>
      <c r="N23" s="2"/>
    </row>
    <row r="24" spans="1:14" ht="12.75" hidden="1" customHeight="1" x14ac:dyDescent="0.2">
      <c r="A24" s="8" t="s">
        <v>96</v>
      </c>
      <c r="B24" s="8" t="s">
        <v>102</v>
      </c>
      <c r="C24" s="13"/>
      <c r="D24" s="13"/>
      <c r="E24" s="13"/>
      <c r="F24" s="13"/>
      <c r="G24" s="2"/>
      <c r="H24" s="2"/>
      <c r="I24" s="2"/>
      <c r="J24" s="2"/>
      <c r="K24" s="2"/>
      <c r="L24" s="2"/>
      <c r="M24" s="2"/>
      <c r="N24" s="2"/>
    </row>
    <row r="25" spans="1:14" ht="12.75" hidden="1" customHeight="1" x14ac:dyDescent="0.2">
      <c r="A25" s="8" t="s">
        <v>97</v>
      </c>
      <c r="B25" s="19" t="s">
        <v>103</v>
      </c>
      <c r="C25" s="44"/>
      <c r="D25" s="44"/>
      <c r="E25" s="44"/>
      <c r="F25" s="44"/>
      <c r="G25" s="2"/>
      <c r="H25" s="2"/>
      <c r="I25" s="2"/>
      <c r="J25" s="2"/>
      <c r="K25" s="2"/>
      <c r="L25" s="2"/>
      <c r="M25" s="2"/>
      <c r="N25" s="2"/>
    </row>
    <row r="26" spans="1:14" ht="12.75" hidden="1" customHeight="1" x14ac:dyDescent="0.2">
      <c r="A26" s="8" t="s">
        <v>98</v>
      </c>
      <c r="B26" s="8" t="s">
        <v>130</v>
      </c>
      <c r="C26" s="35"/>
      <c r="D26" s="35"/>
      <c r="E26" s="35"/>
      <c r="F26" s="35"/>
      <c r="G26" s="2"/>
      <c r="H26" s="2"/>
      <c r="I26" s="2"/>
      <c r="J26" s="2"/>
      <c r="K26" s="2"/>
      <c r="L26" s="2"/>
      <c r="M26" s="2"/>
      <c r="N26" s="2"/>
    </row>
    <row r="27" spans="1:14" s="45" customFormat="1" ht="12.75" hidden="1" customHeight="1" x14ac:dyDescent="0.2">
      <c r="A27" s="8" t="s">
        <v>99</v>
      </c>
      <c r="B27" s="8" t="s">
        <v>131</v>
      </c>
      <c r="C27" s="13"/>
      <c r="D27" s="13"/>
      <c r="E27" s="13"/>
      <c r="F27" s="13"/>
      <c r="G27" s="2"/>
      <c r="H27" s="2"/>
      <c r="I27" s="2"/>
      <c r="J27" s="2"/>
      <c r="K27" s="2"/>
      <c r="L27" s="2"/>
      <c r="M27" s="2"/>
      <c r="N27" s="2"/>
    </row>
    <row r="28" spans="1:14" s="45" customFormat="1" ht="12.75" hidden="1" customHeight="1" x14ac:dyDescent="0.2">
      <c r="A28" s="8" t="s">
        <v>100</v>
      </c>
      <c r="B28" s="8" t="s">
        <v>104</v>
      </c>
      <c r="C28" s="13"/>
      <c r="D28" s="13"/>
      <c r="E28" s="13"/>
      <c r="F28" s="13"/>
      <c r="G28" s="2"/>
      <c r="H28" s="2"/>
      <c r="I28" s="2"/>
      <c r="J28" s="2"/>
      <c r="K28" s="2"/>
      <c r="L28" s="2"/>
      <c r="M28" s="2"/>
      <c r="N28" s="2"/>
    </row>
    <row r="29" spans="1:14" s="45" customFormat="1" ht="18" customHeight="1" x14ac:dyDescent="0.25">
      <c r="A29" s="14" t="s">
        <v>105</v>
      </c>
      <c r="B29" s="22" t="s">
        <v>176</v>
      </c>
      <c r="C29" s="38">
        <f>SUM('1.Bev-kiad.'!L30)</f>
        <v>52464</v>
      </c>
      <c r="D29" s="38">
        <v>217196</v>
      </c>
      <c r="E29" s="38">
        <v>50000</v>
      </c>
      <c r="F29" s="38">
        <v>52000</v>
      </c>
      <c r="G29" s="2"/>
      <c r="H29" s="2"/>
      <c r="I29" s="2"/>
      <c r="J29" s="2"/>
      <c r="K29" s="2"/>
      <c r="L29" s="2"/>
      <c r="M29" s="2"/>
      <c r="N29" s="2"/>
    </row>
    <row r="30" spans="1:14" ht="13.5" hidden="1" customHeight="1" x14ac:dyDescent="0.2">
      <c r="A30" s="8" t="s">
        <v>108</v>
      </c>
      <c r="B30" s="8" t="s">
        <v>106</v>
      </c>
      <c r="C30" s="13"/>
      <c r="D30" s="13"/>
      <c r="E30" s="13"/>
      <c r="F30" s="13"/>
      <c r="G30" s="2"/>
      <c r="H30" s="2"/>
      <c r="I30" s="2"/>
      <c r="J30" s="2"/>
      <c r="K30" s="2"/>
      <c r="L30" s="2"/>
      <c r="M30" s="2"/>
      <c r="N30" s="2"/>
    </row>
    <row r="31" spans="1:14" s="45" customFormat="1" ht="13.5" hidden="1" customHeight="1" x14ac:dyDescent="0.2">
      <c r="A31" s="8" t="s">
        <v>109</v>
      </c>
      <c r="B31" s="8" t="s">
        <v>107</v>
      </c>
      <c r="C31" s="13"/>
      <c r="D31" s="13"/>
      <c r="E31" s="13"/>
      <c r="F31" s="13"/>
      <c r="G31" s="2"/>
      <c r="H31" s="2"/>
      <c r="I31" s="2"/>
      <c r="J31" s="2"/>
      <c r="K31" s="2"/>
      <c r="L31" s="2"/>
      <c r="M31" s="2"/>
      <c r="N31" s="2"/>
    </row>
    <row r="32" spans="1:14" s="45" customFormat="1" ht="13.5" hidden="1" customHeight="1" x14ac:dyDescent="0.2">
      <c r="A32" s="8" t="s">
        <v>110</v>
      </c>
      <c r="B32" s="8" t="s">
        <v>113</v>
      </c>
      <c r="C32" s="11"/>
      <c r="D32" s="11"/>
      <c r="E32" s="11"/>
      <c r="F32" s="11"/>
      <c r="G32" s="2"/>
      <c r="H32" s="2"/>
      <c r="I32" s="2"/>
      <c r="J32" s="2"/>
      <c r="K32" s="2"/>
      <c r="L32" s="2"/>
      <c r="M32" s="2"/>
      <c r="N32" s="2"/>
    </row>
    <row r="33" spans="1:14" ht="13.5" hidden="1" customHeight="1" x14ac:dyDescent="0.2">
      <c r="A33" s="8" t="s">
        <v>111</v>
      </c>
      <c r="B33" s="19" t="s">
        <v>114</v>
      </c>
      <c r="C33" s="8"/>
      <c r="D33" s="8"/>
      <c r="E33" s="8"/>
      <c r="F33" s="8"/>
      <c r="G33" s="2"/>
      <c r="H33" s="2"/>
      <c r="I33" s="2"/>
      <c r="J33" s="2"/>
      <c r="K33" s="2"/>
      <c r="L33" s="2"/>
      <c r="M33" s="2"/>
      <c r="N33" s="2"/>
    </row>
    <row r="34" spans="1:14" ht="12.75" hidden="1" customHeight="1" x14ac:dyDescent="0.2">
      <c r="A34" s="8" t="s">
        <v>112</v>
      </c>
      <c r="B34" s="19" t="s">
        <v>115</v>
      </c>
      <c r="C34" s="8"/>
      <c r="D34" s="8"/>
      <c r="E34" s="8"/>
      <c r="F34" s="8"/>
      <c r="G34" s="2"/>
      <c r="H34" s="2"/>
      <c r="I34" s="2"/>
      <c r="J34" s="2"/>
      <c r="K34" s="2"/>
      <c r="L34" s="2"/>
      <c r="M34" s="2"/>
      <c r="N34" s="2"/>
    </row>
    <row r="35" spans="1:14" ht="12.75" hidden="1" customHeight="1" x14ac:dyDescent="0.2">
      <c r="A35" s="8" t="s">
        <v>116</v>
      </c>
      <c r="B35" s="19" t="s">
        <v>117</v>
      </c>
      <c r="C35" s="8"/>
      <c r="D35" s="8"/>
      <c r="E35" s="8"/>
      <c r="F35" s="8"/>
      <c r="G35" s="2"/>
      <c r="H35" s="2"/>
      <c r="I35" s="2"/>
      <c r="J35" s="2"/>
      <c r="K35" s="2"/>
      <c r="L35" s="2"/>
      <c r="M35" s="2"/>
      <c r="N35" s="2"/>
    </row>
    <row r="36" spans="1:14" ht="12.75" hidden="1" customHeight="1" x14ac:dyDescent="0.2">
      <c r="A36" s="8" t="s">
        <v>118</v>
      </c>
      <c r="B36" s="19" t="s">
        <v>119</v>
      </c>
      <c r="C36" s="8"/>
      <c r="D36" s="8"/>
      <c r="E36" s="8"/>
      <c r="F36" s="8"/>
      <c r="G36" s="2"/>
      <c r="H36" s="2"/>
      <c r="I36" s="2"/>
      <c r="J36" s="2"/>
      <c r="K36" s="2"/>
      <c r="L36" s="2"/>
      <c r="M36" s="2"/>
      <c r="N36" s="2"/>
    </row>
    <row r="37" spans="1:14" ht="12.75" hidden="1" customHeight="1" x14ac:dyDescent="0.2">
      <c r="A37" s="8" t="s">
        <v>120</v>
      </c>
      <c r="B37" s="19" t="s">
        <v>121</v>
      </c>
      <c r="C37" s="8"/>
      <c r="D37" s="8"/>
      <c r="E37" s="8"/>
      <c r="F37" s="8"/>
      <c r="G37" s="2"/>
      <c r="H37" s="2"/>
      <c r="I37" s="2"/>
      <c r="J37" s="2"/>
      <c r="K37" s="2"/>
      <c r="L37" s="2"/>
      <c r="M37" s="2"/>
      <c r="N37" s="2"/>
    </row>
    <row r="38" spans="1:14" ht="12.75" hidden="1" customHeight="1" x14ac:dyDescent="0.2">
      <c r="A38" s="8" t="s">
        <v>122</v>
      </c>
      <c r="B38" s="19" t="s">
        <v>123</v>
      </c>
      <c r="C38" s="8"/>
      <c r="D38" s="8"/>
      <c r="E38" s="8"/>
      <c r="F38" s="8"/>
      <c r="G38" s="2"/>
      <c r="H38" s="2"/>
      <c r="I38" s="2"/>
      <c r="J38" s="2"/>
      <c r="K38" s="2"/>
      <c r="L38" s="2"/>
      <c r="M38" s="2"/>
      <c r="N38" s="2"/>
    </row>
    <row r="39" spans="1:14" ht="12.75" hidden="1" customHeight="1" x14ac:dyDescent="0.2">
      <c r="A39" s="8" t="s">
        <v>128</v>
      </c>
      <c r="B39" s="19" t="s">
        <v>129</v>
      </c>
      <c r="C39" s="8"/>
      <c r="D39" s="8"/>
      <c r="E39" s="8"/>
      <c r="F39" s="8"/>
      <c r="G39" s="2"/>
      <c r="H39" s="2"/>
      <c r="I39" s="2"/>
      <c r="J39" s="2"/>
      <c r="K39" s="2"/>
      <c r="L39" s="2"/>
      <c r="M39" s="2"/>
      <c r="N39" s="2"/>
    </row>
    <row r="40" spans="1:14" ht="17.25" customHeight="1" x14ac:dyDescent="0.25">
      <c r="A40" s="14" t="s">
        <v>132</v>
      </c>
      <c r="B40" s="22" t="s">
        <v>177</v>
      </c>
      <c r="C40" s="38">
        <f>SUM('1.Bev-kiad.'!L41)</f>
        <v>400</v>
      </c>
      <c r="D40" s="38">
        <v>30000</v>
      </c>
      <c r="E40" s="38">
        <v>0</v>
      </c>
      <c r="F40" s="38">
        <v>0</v>
      </c>
      <c r="G40" s="2"/>
      <c r="H40" s="2"/>
      <c r="I40" s="2"/>
      <c r="J40" s="2"/>
      <c r="K40" s="2"/>
      <c r="L40" s="2"/>
      <c r="M40" s="2"/>
      <c r="N40" s="2"/>
    </row>
    <row r="41" spans="1:14" ht="12.75" hidden="1" customHeight="1" x14ac:dyDescent="0.2">
      <c r="A41" s="8" t="s">
        <v>133</v>
      </c>
      <c r="B41" s="19" t="s">
        <v>138</v>
      </c>
      <c r="C41" s="8"/>
      <c r="D41" s="8"/>
      <c r="E41" s="8"/>
      <c r="F41" s="8"/>
      <c r="G41" s="2"/>
      <c r="H41" s="2"/>
      <c r="I41" s="2"/>
      <c r="J41" s="2"/>
      <c r="K41" s="2"/>
      <c r="L41" s="2"/>
      <c r="M41" s="2"/>
      <c r="N41" s="2"/>
    </row>
    <row r="42" spans="1:14" ht="12.75" hidden="1" customHeight="1" x14ac:dyDescent="0.2">
      <c r="A42" s="8" t="s">
        <v>134</v>
      </c>
      <c r="B42" s="19" t="s">
        <v>139</v>
      </c>
      <c r="C42" s="8"/>
      <c r="D42" s="8"/>
      <c r="E42" s="8"/>
      <c r="F42" s="8"/>
      <c r="G42" s="2"/>
      <c r="H42" s="2"/>
      <c r="I42" s="2"/>
      <c r="J42" s="2"/>
      <c r="K42" s="2"/>
      <c r="L42" s="2"/>
      <c r="M42" s="2"/>
      <c r="N42" s="2"/>
    </row>
    <row r="43" spans="1:14" ht="12.75" hidden="1" customHeight="1" x14ac:dyDescent="0.2">
      <c r="A43" s="8" t="s">
        <v>135</v>
      </c>
      <c r="B43" s="19" t="s">
        <v>140</v>
      </c>
      <c r="C43" s="8"/>
      <c r="D43" s="8"/>
      <c r="E43" s="8"/>
      <c r="F43" s="8"/>
      <c r="G43" s="2"/>
      <c r="H43" s="2"/>
      <c r="I43" s="2"/>
      <c r="J43" s="2"/>
      <c r="K43" s="2"/>
      <c r="L43" s="2"/>
      <c r="M43" s="2"/>
      <c r="N43" s="2"/>
    </row>
    <row r="44" spans="1:14" ht="12.75" hidden="1" customHeight="1" x14ac:dyDescent="0.2">
      <c r="A44" s="8" t="s">
        <v>136</v>
      </c>
      <c r="B44" s="19" t="s">
        <v>141</v>
      </c>
      <c r="C44" s="8"/>
      <c r="D44" s="8"/>
      <c r="E44" s="8"/>
      <c r="F44" s="8"/>
      <c r="G44" s="2"/>
      <c r="H44" s="2"/>
      <c r="I44" s="2"/>
      <c r="J44" s="2"/>
      <c r="K44" s="2"/>
      <c r="L44" s="2"/>
      <c r="M44" s="2"/>
      <c r="N44" s="2"/>
    </row>
    <row r="45" spans="1:14" ht="12.75" hidden="1" customHeight="1" x14ac:dyDescent="0.2">
      <c r="A45" s="8" t="s">
        <v>137</v>
      </c>
      <c r="B45" s="19" t="s">
        <v>142</v>
      </c>
      <c r="C45" s="8"/>
      <c r="D45" s="8"/>
      <c r="E45" s="8"/>
      <c r="F45" s="8"/>
      <c r="G45" s="2"/>
      <c r="H45" s="2"/>
      <c r="I45" s="2"/>
      <c r="J45" s="2"/>
      <c r="K45" s="2"/>
      <c r="L45" s="2"/>
      <c r="M45" s="2"/>
      <c r="N45" s="2"/>
    </row>
    <row r="46" spans="1:14" ht="18" customHeight="1" x14ac:dyDescent="0.25">
      <c r="A46" s="14" t="s">
        <v>143</v>
      </c>
      <c r="B46" s="22" t="s">
        <v>178</v>
      </c>
      <c r="C46" s="38">
        <f>SUM('1.Bev-kiad.'!L47)</f>
        <v>29805</v>
      </c>
      <c r="D46" s="38">
        <v>30000</v>
      </c>
      <c r="E46" s="38">
        <v>30000</v>
      </c>
      <c r="F46" s="38">
        <v>30000</v>
      </c>
      <c r="G46" s="2"/>
      <c r="H46" s="2"/>
      <c r="I46" s="2"/>
      <c r="J46" s="2"/>
      <c r="K46" s="2"/>
      <c r="L46" s="2"/>
      <c r="M46" s="2"/>
      <c r="N46" s="2"/>
    </row>
    <row r="47" spans="1:14" ht="12.75" hidden="1" customHeight="1" x14ac:dyDescent="0.2">
      <c r="A47" s="8" t="s">
        <v>149</v>
      </c>
      <c r="B47" s="19" t="s">
        <v>146</v>
      </c>
      <c r="C47" s="8"/>
      <c r="D47" s="8"/>
      <c r="E47" s="8"/>
      <c r="F47" s="8"/>
      <c r="G47" s="2"/>
      <c r="H47" s="2"/>
      <c r="I47" s="2"/>
      <c r="J47" s="2"/>
      <c r="K47" s="2"/>
      <c r="L47" s="2"/>
      <c r="M47" s="2"/>
      <c r="N47" s="2"/>
    </row>
    <row r="48" spans="1:14" ht="12.75" hidden="1" customHeight="1" x14ac:dyDescent="0.2">
      <c r="A48" s="8" t="s">
        <v>150</v>
      </c>
      <c r="B48" s="19" t="s">
        <v>147</v>
      </c>
      <c r="C48" s="8"/>
      <c r="D48" s="8"/>
      <c r="E48" s="8"/>
      <c r="F48" s="8"/>
      <c r="G48" s="2"/>
      <c r="H48" s="2"/>
      <c r="I48" s="2"/>
      <c r="J48" s="2"/>
      <c r="K48" s="2"/>
      <c r="L48" s="2"/>
      <c r="M48" s="2"/>
      <c r="N48" s="2"/>
    </row>
    <row r="49" spans="1:14" ht="12.75" hidden="1" customHeight="1" x14ac:dyDescent="0.2">
      <c r="A49" s="8" t="s">
        <v>151</v>
      </c>
      <c r="B49" s="19" t="s">
        <v>148</v>
      </c>
      <c r="C49" s="8"/>
      <c r="D49" s="8"/>
      <c r="E49" s="8"/>
      <c r="F49" s="8"/>
      <c r="G49" s="2"/>
      <c r="H49" s="2"/>
      <c r="I49" s="2"/>
      <c r="J49" s="2"/>
      <c r="K49" s="2"/>
      <c r="L49" s="2"/>
      <c r="M49" s="2"/>
      <c r="N49" s="2"/>
    </row>
    <row r="50" spans="1:14" ht="18" customHeight="1" x14ac:dyDescent="0.25">
      <c r="A50" s="14" t="s">
        <v>144</v>
      </c>
      <c r="B50" s="22" t="s">
        <v>179</v>
      </c>
      <c r="C50" s="38">
        <f>SUM('3.felh'!L34)</f>
        <v>11101</v>
      </c>
      <c r="D50" s="38">
        <v>10295</v>
      </c>
      <c r="E50" s="38">
        <v>10295</v>
      </c>
      <c r="F50" s="38">
        <v>10295</v>
      </c>
      <c r="G50" s="2"/>
      <c r="H50" s="7"/>
      <c r="I50" s="2"/>
      <c r="J50" s="2"/>
      <c r="K50" s="2"/>
      <c r="L50" s="2"/>
      <c r="M50" s="2"/>
      <c r="N50" s="2"/>
    </row>
    <row r="51" spans="1:14" ht="13.5" hidden="1" customHeight="1" x14ac:dyDescent="0.25">
      <c r="A51" s="8" t="s">
        <v>152</v>
      </c>
      <c r="B51" s="19" t="s">
        <v>155</v>
      </c>
      <c r="C51" s="38"/>
      <c r="D51" s="38"/>
      <c r="E51" s="38"/>
      <c r="F51" s="38"/>
      <c r="G51" s="2"/>
      <c r="H51" s="2"/>
      <c r="I51" s="2"/>
      <c r="J51" s="2"/>
      <c r="K51" s="2"/>
      <c r="L51" s="2"/>
      <c r="M51" s="2"/>
      <c r="N51" s="2"/>
    </row>
    <row r="52" spans="1:14" ht="13.5" hidden="1" customHeight="1" x14ac:dyDescent="0.25">
      <c r="A52" s="8" t="s">
        <v>153</v>
      </c>
      <c r="B52" s="19" t="s">
        <v>156</v>
      </c>
      <c r="C52" s="38"/>
      <c r="D52" s="38"/>
      <c r="E52" s="38"/>
      <c r="F52" s="38"/>
      <c r="G52" s="2"/>
      <c r="H52" s="2"/>
      <c r="I52" s="2"/>
      <c r="J52" s="2"/>
      <c r="K52" s="2"/>
      <c r="L52" s="2"/>
      <c r="M52" s="2"/>
      <c r="N52" s="2"/>
    </row>
    <row r="53" spans="1:14" ht="13.5" hidden="1" customHeight="1" x14ac:dyDescent="0.25">
      <c r="A53" s="8" t="s">
        <v>154</v>
      </c>
      <c r="B53" s="19" t="s">
        <v>157</v>
      </c>
      <c r="C53" s="38"/>
      <c r="D53" s="38"/>
      <c r="E53" s="38"/>
      <c r="F53" s="38"/>
      <c r="G53" s="2"/>
      <c r="H53" s="2"/>
      <c r="I53" s="2"/>
      <c r="J53" s="2"/>
      <c r="K53" s="2"/>
      <c r="L53" s="2"/>
      <c r="M53" s="2"/>
      <c r="N53" s="2"/>
    </row>
    <row r="54" spans="1:14" ht="22.5" customHeight="1" x14ac:dyDescent="0.2">
      <c r="A54" s="24" t="s">
        <v>145</v>
      </c>
      <c r="B54" s="137" t="s">
        <v>277</v>
      </c>
      <c r="C54" s="156">
        <f>SUM(C55+C60)</f>
        <v>388229</v>
      </c>
      <c r="D54" s="156">
        <v>495613</v>
      </c>
      <c r="E54" s="156">
        <v>50000</v>
      </c>
      <c r="F54" s="156">
        <v>50000</v>
      </c>
      <c r="G54" s="2"/>
      <c r="H54" s="2"/>
      <c r="I54" s="2"/>
      <c r="J54" s="2"/>
      <c r="K54" s="2"/>
      <c r="L54" s="2"/>
      <c r="M54" s="2"/>
      <c r="N54" s="2"/>
    </row>
    <row r="55" spans="1:14" ht="13.5" customHeight="1" x14ac:dyDescent="0.25">
      <c r="A55" s="24"/>
      <c r="B55" s="22" t="s">
        <v>347</v>
      </c>
      <c r="C55" s="38">
        <f>SUM(C56)+C59</f>
        <v>388229</v>
      </c>
      <c r="D55" s="38">
        <v>495613</v>
      </c>
      <c r="E55" s="38">
        <v>50000</v>
      </c>
      <c r="F55" s="38">
        <v>50000</v>
      </c>
      <c r="G55" s="2"/>
      <c r="H55" s="2"/>
      <c r="I55" s="2"/>
      <c r="J55" s="2"/>
      <c r="K55" s="2"/>
      <c r="L55" s="2"/>
      <c r="M55" s="2"/>
      <c r="N55" s="2"/>
    </row>
    <row r="56" spans="1:14" ht="13.5" customHeight="1" x14ac:dyDescent="0.2">
      <c r="A56" s="8"/>
      <c r="B56" s="28" t="s">
        <v>348</v>
      </c>
      <c r="C56" s="5">
        <f>SUM(C57:C58)</f>
        <v>360653</v>
      </c>
      <c r="D56" s="5">
        <v>495613</v>
      </c>
      <c r="E56" s="5">
        <v>50000</v>
      </c>
      <c r="F56" s="5">
        <v>50000</v>
      </c>
      <c r="G56" s="2"/>
      <c r="H56" s="2"/>
      <c r="I56" s="2"/>
      <c r="J56" s="2"/>
      <c r="K56" s="2"/>
      <c r="L56" s="2"/>
      <c r="M56" s="2"/>
      <c r="N56" s="2"/>
    </row>
    <row r="57" spans="1:14" ht="13.5" customHeight="1" x14ac:dyDescent="0.2">
      <c r="A57" s="8"/>
      <c r="B57" s="28" t="s">
        <v>337</v>
      </c>
      <c r="C57" s="13">
        <f>SUM('1.Bev-kiad.'!L58)</f>
        <v>321764</v>
      </c>
      <c r="D57" s="13">
        <v>197190</v>
      </c>
      <c r="E57" s="13">
        <v>50000</v>
      </c>
      <c r="F57" s="13">
        <v>50000</v>
      </c>
      <c r="G57" s="2"/>
      <c r="H57" s="2"/>
      <c r="I57" s="2"/>
      <c r="J57" s="2"/>
      <c r="K57" s="2"/>
      <c r="L57" s="2"/>
      <c r="M57" s="2"/>
      <c r="N57" s="2"/>
    </row>
    <row r="58" spans="1:14" ht="13.5" customHeight="1" x14ac:dyDescent="0.2">
      <c r="A58" s="8"/>
      <c r="B58" s="28" t="s">
        <v>338</v>
      </c>
      <c r="C58" s="13">
        <f>SUM('1.Bev-kiad.'!L59)</f>
        <v>38889</v>
      </c>
      <c r="D58" s="13">
        <v>298423</v>
      </c>
      <c r="E58" s="13">
        <v>0</v>
      </c>
      <c r="F58" s="13">
        <v>0</v>
      </c>
      <c r="G58" s="2"/>
      <c r="H58" s="2"/>
      <c r="I58" s="2"/>
      <c r="J58" s="2"/>
      <c r="K58" s="2"/>
      <c r="L58" s="2"/>
      <c r="M58" s="2"/>
      <c r="N58" s="2"/>
    </row>
    <row r="59" spans="1:14" ht="13.5" customHeight="1" x14ac:dyDescent="0.2">
      <c r="A59" s="8"/>
      <c r="B59" s="28" t="s">
        <v>382</v>
      </c>
      <c r="C59" s="13">
        <f>'2.működés'!L113</f>
        <v>27576</v>
      </c>
      <c r="D59" s="13">
        <v>0</v>
      </c>
      <c r="E59" s="13">
        <v>0</v>
      </c>
      <c r="F59" s="13">
        <v>0</v>
      </c>
      <c r="G59" s="2"/>
      <c r="H59" s="2"/>
      <c r="I59" s="2"/>
      <c r="J59" s="2"/>
      <c r="K59" s="2"/>
      <c r="L59" s="2"/>
      <c r="M59" s="2"/>
      <c r="N59" s="2"/>
    </row>
    <row r="60" spans="1:14" ht="13.5" customHeight="1" thickBot="1" x14ac:dyDescent="0.3">
      <c r="A60" s="8"/>
      <c r="B60" s="22" t="s">
        <v>345</v>
      </c>
      <c r="C60" s="38">
        <f>SUM(C61:C62)</f>
        <v>0</v>
      </c>
      <c r="D60" s="38">
        <v>0</v>
      </c>
      <c r="E60" s="38">
        <v>0</v>
      </c>
      <c r="F60" s="38">
        <v>0</v>
      </c>
      <c r="G60" s="2"/>
      <c r="H60" s="2"/>
      <c r="I60" s="2"/>
      <c r="J60" s="2"/>
      <c r="K60" s="2"/>
      <c r="L60" s="2"/>
      <c r="M60" s="2"/>
      <c r="N60" s="2"/>
    </row>
    <row r="61" spans="1:14" ht="13.5" hidden="1" customHeight="1" x14ac:dyDescent="0.2">
      <c r="A61" s="8"/>
      <c r="B61" s="8" t="s">
        <v>589</v>
      </c>
      <c r="C61" s="13">
        <f>'1.Bev-kiad.'!D62</f>
        <v>0</v>
      </c>
      <c r="D61" s="13">
        <v>0</v>
      </c>
      <c r="E61" s="13">
        <v>0</v>
      </c>
      <c r="F61" s="13">
        <v>0</v>
      </c>
      <c r="G61" s="2"/>
      <c r="H61" s="2"/>
      <c r="I61" s="2"/>
      <c r="J61" s="2"/>
      <c r="K61" s="2"/>
      <c r="L61" s="2"/>
      <c r="M61" s="2"/>
      <c r="N61" s="2"/>
    </row>
    <row r="62" spans="1:14" ht="13.5" hidden="1" customHeight="1" thickBot="1" x14ac:dyDescent="0.25">
      <c r="A62" s="12"/>
      <c r="B62" s="12" t="s">
        <v>645</v>
      </c>
      <c r="C62" s="29">
        <f>'3.felh'!D43</f>
        <v>0</v>
      </c>
      <c r="D62" s="29">
        <v>0</v>
      </c>
      <c r="E62" s="29">
        <v>0</v>
      </c>
      <c r="F62" s="29">
        <v>0</v>
      </c>
      <c r="G62" s="2"/>
      <c r="H62" s="2"/>
      <c r="I62" s="2"/>
      <c r="J62" s="2"/>
      <c r="K62" s="2"/>
      <c r="L62" s="2"/>
      <c r="M62" s="2"/>
      <c r="N62" s="2"/>
    </row>
    <row r="63" spans="1:14" ht="23.25" customHeight="1" thickBot="1" x14ac:dyDescent="0.4">
      <c r="A63" s="178"/>
      <c r="B63" s="179" t="s">
        <v>294</v>
      </c>
      <c r="C63" s="143">
        <f>SUM(C8+C54)</f>
        <v>2383848</v>
      </c>
      <c r="D63" s="143">
        <f>SUM(D8+D54)</f>
        <v>3079818</v>
      </c>
      <c r="E63" s="143">
        <f>SUM(E8+E54)</f>
        <v>1915295</v>
      </c>
      <c r="F63" s="143">
        <f>SUM(F8+F54)</f>
        <v>1927295</v>
      </c>
      <c r="G63" s="2"/>
      <c r="H63" s="2"/>
      <c r="I63" s="2"/>
      <c r="J63" s="2"/>
      <c r="K63" s="2"/>
      <c r="L63" s="2"/>
      <c r="M63" s="2"/>
      <c r="N63" s="2"/>
    </row>
    <row r="64" spans="1:14" ht="20.25" customHeight="1" x14ac:dyDescent="0.25">
      <c r="A64" s="115" t="s">
        <v>279</v>
      </c>
      <c r="B64" s="185" t="s">
        <v>269</v>
      </c>
      <c r="C64" s="139">
        <f>SUM(C65+C72)</f>
        <v>1772361</v>
      </c>
      <c r="D64" s="139">
        <f t="shared" ref="D64:F64" si="0">SUM(D65+D72)</f>
        <v>2958032</v>
      </c>
      <c r="E64" s="139">
        <f t="shared" si="0"/>
        <v>1821085</v>
      </c>
      <c r="F64" s="139">
        <f t="shared" si="0"/>
        <v>1833085</v>
      </c>
      <c r="G64" s="2"/>
      <c r="H64" s="2"/>
      <c r="I64" s="2"/>
      <c r="J64" s="2"/>
      <c r="K64" s="2"/>
      <c r="L64" s="2"/>
      <c r="M64" s="2"/>
      <c r="N64" s="2"/>
    </row>
    <row r="65" spans="1:14" ht="18" customHeight="1" x14ac:dyDescent="0.25">
      <c r="A65" s="14" t="s">
        <v>158</v>
      </c>
      <c r="B65" s="22" t="s">
        <v>646</v>
      </c>
      <c r="C65" s="116">
        <f>C66</f>
        <v>1411219</v>
      </c>
      <c r="D65" s="116">
        <f t="shared" ref="D65:F65" si="1">D66</f>
        <v>1883794</v>
      </c>
      <c r="E65" s="116">
        <f t="shared" si="1"/>
        <v>1658100</v>
      </c>
      <c r="F65" s="116">
        <f t="shared" si="1"/>
        <v>1699400</v>
      </c>
      <c r="G65" s="2"/>
      <c r="H65" s="2"/>
      <c r="I65" s="2"/>
      <c r="J65" s="2"/>
      <c r="K65" s="2"/>
      <c r="L65" s="2"/>
      <c r="M65" s="2"/>
      <c r="N65" s="2"/>
    </row>
    <row r="66" spans="1:14" x14ac:dyDescent="0.2">
      <c r="A66" s="8"/>
      <c r="B66" s="14" t="s">
        <v>628</v>
      </c>
      <c r="C66" s="75">
        <f>SUM(C67:C71)</f>
        <v>1411219</v>
      </c>
      <c r="D66" s="75">
        <f t="shared" ref="D66:F66" si="2">SUM(D67:D71)</f>
        <v>1883794</v>
      </c>
      <c r="E66" s="75">
        <f t="shared" si="2"/>
        <v>1658100</v>
      </c>
      <c r="F66" s="75">
        <f t="shared" si="2"/>
        <v>1699400</v>
      </c>
      <c r="G66" s="2"/>
      <c r="H66" s="2"/>
      <c r="I66" s="2"/>
      <c r="J66" s="2"/>
      <c r="K66" s="2"/>
      <c r="L66" s="2"/>
      <c r="M66" s="2"/>
      <c r="N66" s="2"/>
    </row>
    <row r="67" spans="1:14" ht="13.5" customHeight="1" x14ac:dyDescent="0.2">
      <c r="A67" s="8"/>
      <c r="B67" s="8" t="s">
        <v>629</v>
      </c>
      <c r="C67" s="105">
        <f>'2.működés'!L118</f>
        <v>308647</v>
      </c>
      <c r="D67" s="105">
        <v>373342</v>
      </c>
      <c r="E67" s="105">
        <v>370000</v>
      </c>
      <c r="F67" s="105">
        <v>380000</v>
      </c>
      <c r="G67" s="2"/>
      <c r="H67" s="2"/>
      <c r="I67" s="2"/>
      <c r="J67" s="2"/>
      <c r="K67" s="2"/>
      <c r="L67" s="2"/>
      <c r="M67" s="2"/>
      <c r="N67" s="2"/>
    </row>
    <row r="68" spans="1:14" ht="13.5" customHeight="1" x14ac:dyDescent="0.2">
      <c r="A68" s="8"/>
      <c r="B68" s="8" t="s">
        <v>630</v>
      </c>
      <c r="C68" s="105">
        <f>'2.működés'!L121</f>
        <v>38354</v>
      </c>
      <c r="D68" s="105">
        <v>49611</v>
      </c>
      <c r="E68" s="105">
        <v>48100</v>
      </c>
      <c r="F68" s="105">
        <v>49400</v>
      </c>
      <c r="G68" s="2"/>
      <c r="H68" s="2"/>
      <c r="I68" s="2"/>
      <c r="J68" s="2"/>
      <c r="K68" s="2"/>
      <c r="L68" s="2"/>
      <c r="M68" s="2"/>
      <c r="N68" s="2"/>
    </row>
    <row r="69" spans="1:14" ht="13.5" customHeight="1" x14ac:dyDescent="0.2">
      <c r="A69" s="8"/>
      <c r="B69" s="8" t="s">
        <v>631</v>
      </c>
      <c r="C69" s="105">
        <f>'2.működés'!L124</f>
        <v>350567</v>
      </c>
      <c r="D69" s="105">
        <v>622852</v>
      </c>
      <c r="E69" s="105">
        <v>400000</v>
      </c>
      <c r="F69" s="105">
        <v>420000</v>
      </c>
      <c r="G69" s="2"/>
      <c r="H69" s="2"/>
      <c r="I69" s="2"/>
      <c r="J69" s="2"/>
      <c r="K69" s="2"/>
      <c r="L69" s="2"/>
      <c r="M69" s="2"/>
      <c r="N69" s="2"/>
    </row>
    <row r="70" spans="1:14" ht="13.5" customHeight="1" x14ac:dyDescent="0.2">
      <c r="A70" s="8"/>
      <c r="B70" s="8" t="s">
        <v>632</v>
      </c>
      <c r="C70" s="105">
        <f>'2.működés'!L127</f>
        <v>6187</v>
      </c>
      <c r="D70" s="105">
        <v>20000</v>
      </c>
      <c r="E70" s="105">
        <v>20000</v>
      </c>
      <c r="F70" s="105">
        <v>20000</v>
      </c>
      <c r="G70" s="2"/>
      <c r="H70" s="2"/>
      <c r="I70" s="2"/>
      <c r="J70" s="2"/>
      <c r="K70" s="2"/>
      <c r="L70" s="2"/>
      <c r="M70" s="2"/>
      <c r="N70" s="2"/>
    </row>
    <row r="71" spans="1:14" s="45" customFormat="1" ht="13.5" customHeight="1" x14ac:dyDescent="0.2">
      <c r="A71" s="8"/>
      <c r="B71" s="8" t="s">
        <v>633</v>
      </c>
      <c r="C71" s="105">
        <f>'2.működés'!L128</f>
        <v>707464</v>
      </c>
      <c r="D71" s="105">
        <v>817989</v>
      </c>
      <c r="E71" s="105">
        <v>820000</v>
      </c>
      <c r="F71" s="105">
        <v>830000</v>
      </c>
      <c r="G71" s="2"/>
      <c r="H71" s="2"/>
      <c r="I71" s="2"/>
      <c r="J71" s="2"/>
      <c r="K71" s="2"/>
      <c r="L71" s="2"/>
      <c r="M71" s="2"/>
      <c r="N71" s="2"/>
    </row>
    <row r="72" spans="1:14" s="45" customFormat="1" ht="13.5" customHeight="1" x14ac:dyDescent="0.25">
      <c r="A72" s="14" t="s">
        <v>159</v>
      </c>
      <c r="B72" s="22" t="s">
        <v>647</v>
      </c>
      <c r="C72" s="32">
        <f>SUM(C73:C75)</f>
        <v>361142</v>
      </c>
      <c r="D72" s="32">
        <v>1074238</v>
      </c>
      <c r="E72" s="32">
        <v>162985</v>
      </c>
      <c r="F72" s="32">
        <v>133685</v>
      </c>
      <c r="G72" s="2"/>
      <c r="H72" s="2"/>
      <c r="I72" s="2"/>
      <c r="J72" s="2"/>
      <c r="K72" s="2"/>
      <c r="L72" s="2"/>
      <c r="M72" s="2"/>
      <c r="N72" s="2"/>
    </row>
    <row r="73" spans="1:14" s="45" customFormat="1" ht="13.5" customHeight="1" x14ac:dyDescent="0.2">
      <c r="A73" s="8"/>
      <c r="B73" s="8" t="s">
        <v>263</v>
      </c>
      <c r="C73" s="13">
        <f>SUM('3.felh'!L47)</f>
        <v>188483</v>
      </c>
      <c r="D73" s="13">
        <v>744562</v>
      </c>
      <c r="E73" s="13">
        <v>112985</v>
      </c>
      <c r="F73" s="13">
        <v>100000</v>
      </c>
      <c r="G73" s="2"/>
      <c r="H73" s="2"/>
      <c r="I73" s="2"/>
      <c r="J73" s="2"/>
      <c r="K73" s="2"/>
      <c r="L73" s="2"/>
      <c r="M73" s="2"/>
      <c r="N73" s="2"/>
    </row>
    <row r="74" spans="1:14" s="45" customFormat="1" ht="15" customHeight="1" x14ac:dyDescent="0.2">
      <c r="A74" s="8"/>
      <c r="B74" s="8" t="s">
        <v>264</v>
      </c>
      <c r="C74" s="13">
        <f>SUM('3.felh'!L73)</f>
        <v>172659</v>
      </c>
      <c r="D74" s="13">
        <v>329676</v>
      </c>
      <c r="E74" s="13">
        <v>50000</v>
      </c>
      <c r="F74" s="13">
        <v>33685</v>
      </c>
      <c r="G74" s="2"/>
      <c r="H74" s="2"/>
      <c r="I74" s="2"/>
      <c r="J74" s="2"/>
      <c r="K74" s="2"/>
      <c r="L74" s="2"/>
      <c r="M74" s="2"/>
      <c r="N74" s="2"/>
    </row>
    <row r="75" spans="1:14" s="45" customFormat="1" ht="15" customHeight="1" x14ac:dyDescent="0.2">
      <c r="A75" s="8"/>
      <c r="B75" s="8" t="s">
        <v>265</v>
      </c>
      <c r="C75" s="13">
        <f>SUM(C76:C78)</f>
        <v>0</v>
      </c>
      <c r="D75" s="13">
        <v>0</v>
      </c>
      <c r="E75" s="13">
        <v>0</v>
      </c>
      <c r="F75" s="13">
        <v>0</v>
      </c>
      <c r="G75" s="2"/>
      <c r="H75" s="2"/>
      <c r="I75" s="2"/>
      <c r="J75" s="2"/>
      <c r="K75" s="2"/>
      <c r="L75" s="2"/>
      <c r="M75" s="2"/>
      <c r="N75" s="2"/>
    </row>
    <row r="76" spans="1:14" s="45" customFormat="1" ht="12.75" hidden="1" customHeight="1" x14ac:dyDescent="0.2">
      <c r="A76" s="8"/>
      <c r="B76" s="118" t="s">
        <v>490</v>
      </c>
      <c r="C76" s="67">
        <f>SUM('3.felh'!D95)</f>
        <v>0</v>
      </c>
      <c r="D76" s="67">
        <v>0</v>
      </c>
      <c r="E76" s="67">
        <v>0</v>
      </c>
      <c r="F76" s="67">
        <v>0</v>
      </c>
      <c r="G76" s="2"/>
      <c r="H76" s="2"/>
      <c r="I76" s="2"/>
      <c r="J76" s="2"/>
      <c r="K76" s="2"/>
      <c r="L76" s="2"/>
      <c r="M76" s="2"/>
      <c r="N76" s="2"/>
    </row>
    <row r="77" spans="1:14" s="45" customFormat="1" ht="13.5" hidden="1" customHeight="1" x14ac:dyDescent="0.2">
      <c r="A77" s="8"/>
      <c r="B77" s="118" t="s">
        <v>494</v>
      </c>
      <c r="C77" s="67">
        <v>0</v>
      </c>
      <c r="D77" s="67">
        <v>0</v>
      </c>
      <c r="E77" s="67">
        <v>0</v>
      </c>
      <c r="F77" s="67">
        <v>0</v>
      </c>
      <c r="G77" s="2"/>
      <c r="H77" s="2"/>
      <c r="I77" s="2"/>
      <c r="J77" s="2"/>
      <c r="K77" s="2"/>
      <c r="L77" s="2"/>
      <c r="M77" s="2"/>
      <c r="N77" s="2"/>
    </row>
    <row r="78" spans="1:14" s="45" customFormat="1" ht="12.75" hidden="1" customHeight="1" x14ac:dyDescent="0.2">
      <c r="A78" s="8"/>
      <c r="B78" s="367" t="s">
        <v>652</v>
      </c>
      <c r="C78" s="368">
        <f>SUM('3.felh'!D99)</f>
        <v>0</v>
      </c>
      <c r="D78" s="368">
        <v>0</v>
      </c>
      <c r="E78" s="368">
        <v>0</v>
      </c>
      <c r="F78" s="368">
        <v>0</v>
      </c>
      <c r="G78" s="2"/>
      <c r="H78" s="2"/>
      <c r="I78" s="2"/>
      <c r="J78" s="2"/>
      <c r="K78" s="2"/>
      <c r="L78" s="2"/>
      <c r="M78" s="2"/>
      <c r="N78" s="2"/>
    </row>
    <row r="79" spans="1:14" s="45" customFormat="1" ht="15" customHeight="1" x14ac:dyDescent="0.25">
      <c r="A79" s="14" t="s">
        <v>160</v>
      </c>
      <c r="B79" s="137" t="s">
        <v>278</v>
      </c>
      <c r="C79" s="153">
        <f>SUM(C80+C85+C86)</f>
        <v>115874</v>
      </c>
      <c r="D79" s="153">
        <v>121786</v>
      </c>
      <c r="E79" s="153">
        <v>94210</v>
      </c>
      <c r="F79" s="153">
        <v>94210</v>
      </c>
      <c r="G79" s="2"/>
      <c r="H79" s="2"/>
      <c r="I79" s="2"/>
      <c r="J79" s="2"/>
      <c r="K79" s="2"/>
      <c r="L79" s="2"/>
      <c r="M79" s="2"/>
      <c r="N79" s="2"/>
    </row>
    <row r="80" spans="1:14" s="45" customFormat="1" ht="15" customHeight="1" x14ac:dyDescent="0.25">
      <c r="A80" s="14"/>
      <c r="B80" s="152" t="s">
        <v>299</v>
      </c>
      <c r="C80" s="126">
        <f>SUM(C81:C84)</f>
        <v>115874</v>
      </c>
      <c r="D80" s="126">
        <v>121786</v>
      </c>
      <c r="E80" s="126">
        <v>94210</v>
      </c>
      <c r="F80" s="126">
        <v>94210</v>
      </c>
      <c r="G80" s="2"/>
      <c r="H80" s="2"/>
      <c r="I80" s="2"/>
      <c r="J80" s="2"/>
      <c r="K80" s="2"/>
      <c r="L80" s="2"/>
      <c r="M80" s="2"/>
      <c r="N80" s="2"/>
    </row>
    <row r="81" spans="1:14" ht="21.75" hidden="1" customHeight="1" x14ac:dyDescent="0.2">
      <c r="A81" s="8" t="s">
        <v>621</v>
      </c>
      <c r="B81" s="8" t="s">
        <v>623</v>
      </c>
      <c r="C81" s="13">
        <v>0</v>
      </c>
      <c r="D81" s="13">
        <v>0</v>
      </c>
      <c r="E81" s="13">
        <v>0</v>
      </c>
      <c r="F81" s="13">
        <v>0</v>
      </c>
      <c r="G81" s="2"/>
      <c r="H81" s="2"/>
      <c r="I81" s="2"/>
      <c r="J81" s="2"/>
      <c r="K81" s="2"/>
      <c r="L81" s="2"/>
      <c r="M81" s="2"/>
      <c r="N81" s="2"/>
    </row>
    <row r="82" spans="1:14" ht="14.25" customHeight="1" x14ac:dyDescent="0.2">
      <c r="A82" s="8" t="s">
        <v>305</v>
      </c>
      <c r="B82" s="8" t="s">
        <v>325</v>
      </c>
      <c r="C82" s="13">
        <f>SUM('2.működés'!L137)</f>
        <v>21664</v>
      </c>
      <c r="D82" s="13">
        <v>27576</v>
      </c>
      <c r="E82" s="13">
        <v>0</v>
      </c>
      <c r="F82" s="13">
        <v>0</v>
      </c>
      <c r="G82" s="2"/>
      <c r="H82" s="2"/>
      <c r="I82" s="2"/>
      <c r="J82" s="2"/>
      <c r="K82" s="2"/>
      <c r="L82" s="2"/>
      <c r="M82" s="2"/>
      <c r="N82" s="2"/>
    </row>
    <row r="83" spans="1:14" ht="15.75" hidden="1" customHeight="1" x14ac:dyDescent="0.25">
      <c r="A83" s="8"/>
      <c r="B83" s="184" t="s">
        <v>300</v>
      </c>
      <c r="C83" s="39"/>
      <c r="D83" s="39"/>
      <c r="E83" s="39"/>
      <c r="F83" s="39"/>
      <c r="G83" s="2"/>
      <c r="H83" s="2"/>
      <c r="I83" s="2"/>
      <c r="J83" s="2"/>
      <c r="K83" s="2"/>
      <c r="L83" s="2"/>
      <c r="M83" s="2"/>
      <c r="N83" s="2"/>
    </row>
    <row r="84" spans="1:14" ht="15.75" customHeight="1" x14ac:dyDescent="0.2">
      <c r="A84" s="8" t="s">
        <v>621</v>
      </c>
      <c r="B84" s="184" t="s">
        <v>502</v>
      </c>
      <c r="C84" s="13">
        <f>SUM('3.felh'!L104)</f>
        <v>94210</v>
      </c>
      <c r="D84" s="13">
        <v>94210</v>
      </c>
      <c r="E84" s="13">
        <v>94210</v>
      </c>
      <c r="F84" s="13">
        <v>94210</v>
      </c>
      <c r="G84" s="2"/>
      <c r="H84" s="2"/>
      <c r="I84" s="2"/>
      <c r="J84" s="2"/>
      <c r="K84" s="2"/>
      <c r="L84" s="2"/>
      <c r="M84" s="2"/>
      <c r="N84" s="2"/>
    </row>
    <row r="85" spans="1:14" ht="15.75" customHeight="1" x14ac:dyDescent="0.25">
      <c r="A85" s="14"/>
      <c r="B85" s="152" t="s">
        <v>301</v>
      </c>
      <c r="C85" s="39">
        <v>0</v>
      </c>
      <c r="D85" s="39">
        <v>0</v>
      </c>
      <c r="E85" s="39">
        <v>0</v>
      </c>
      <c r="F85" s="39">
        <v>0</v>
      </c>
      <c r="G85" s="2"/>
      <c r="H85" s="2"/>
      <c r="I85" s="2"/>
      <c r="J85" s="2"/>
      <c r="K85" s="2"/>
      <c r="L85" s="2"/>
      <c r="M85" s="2"/>
      <c r="N85" s="2"/>
    </row>
    <row r="86" spans="1:14" ht="15.75" customHeight="1" thickBot="1" x14ac:dyDescent="0.3">
      <c r="A86" s="21"/>
      <c r="B86" s="149" t="s">
        <v>302</v>
      </c>
      <c r="C86" s="136">
        <v>0</v>
      </c>
      <c r="D86" s="136">
        <v>0</v>
      </c>
      <c r="E86" s="136">
        <v>0</v>
      </c>
      <c r="F86" s="136">
        <v>0</v>
      </c>
      <c r="G86" s="2"/>
      <c r="H86" s="2"/>
      <c r="I86" s="2"/>
      <c r="J86" s="2"/>
      <c r="K86" s="2"/>
      <c r="L86" s="2"/>
      <c r="M86" s="2"/>
      <c r="N86" s="2"/>
    </row>
    <row r="87" spans="1:14" ht="20.25" customHeight="1" thickBot="1" x14ac:dyDescent="0.4">
      <c r="A87" s="217"/>
      <c r="B87" s="179" t="s">
        <v>48</v>
      </c>
      <c r="C87" s="284">
        <f>SUM(C64+C79)</f>
        <v>1888235</v>
      </c>
      <c r="D87" s="284">
        <f t="shared" ref="D87:F87" si="3">SUM(D64+D79)</f>
        <v>3079818</v>
      </c>
      <c r="E87" s="284">
        <f t="shared" si="3"/>
        <v>1915295</v>
      </c>
      <c r="F87" s="284">
        <f t="shared" si="3"/>
        <v>1927295</v>
      </c>
      <c r="G87" s="2"/>
      <c r="H87" s="2"/>
      <c r="I87" s="2"/>
      <c r="J87" s="2"/>
      <c r="K87" s="2"/>
      <c r="L87" s="2"/>
      <c r="M87" s="2"/>
      <c r="N87" s="2"/>
    </row>
    <row r="88" spans="1:14" ht="15.7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5.75" customHeight="1" x14ac:dyDescent="0.2">
      <c r="B89" s="2"/>
      <c r="C89" s="2"/>
      <c r="D89" s="7"/>
      <c r="E89" s="7"/>
      <c r="F89" s="7"/>
      <c r="G89" s="2"/>
      <c r="H89" s="2"/>
      <c r="I89" s="2"/>
      <c r="J89" s="2"/>
      <c r="K89" s="2"/>
      <c r="L89" s="2"/>
      <c r="M89" s="2"/>
      <c r="N89" s="2"/>
    </row>
    <row r="90" spans="1:14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2:14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2:14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2:14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2:14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2:14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2:14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2:14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2:14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2:14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2:14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2:14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2:14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2:14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2:14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2:14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2:14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2:14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2:14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2:14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2:14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2:14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2:14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2:14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2:14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2:14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2:14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2:14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2:14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2:14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2:14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2:14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2:14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2:14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2:14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2:14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2:14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2:14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2:14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2:14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2:14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2:14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2:14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2:14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2:14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2:14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2:14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2:14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2:14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2:14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2:14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2:14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2:14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2:14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2:14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2:14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2:14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2:14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2:14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2:14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2:14" ht="15.75" customHeight="1" x14ac:dyDescent="0.2">
      <c r="B167" s="2"/>
      <c r="C167" s="27"/>
      <c r="D167" s="27"/>
      <c r="E167" s="27"/>
      <c r="F167" s="27"/>
      <c r="G167" s="2"/>
      <c r="H167" s="2"/>
      <c r="I167" s="2"/>
      <c r="J167" s="2"/>
      <c r="K167" s="2"/>
      <c r="L167" s="2"/>
      <c r="M167" s="2"/>
      <c r="N167" s="2"/>
    </row>
    <row r="168" spans="2:14" ht="15.75" customHeight="1" x14ac:dyDescent="0.2">
      <c r="B168" s="2"/>
      <c r="C168" s="27"/>
      <c r="D168" s="27"/>
      <c r="E168" s="27"/>
      <c r="F168" s="27"/>
      <c r="G168" s="2"/>
      <c r="H168" s="2"/>
      <c r="I168" s="2"/>
      <c r="J168" s="2"/>
      <c r="K168" s="2"/>
      <c r="L168" s="2"/>
      <c r="M168" s="2"/>
      <c r="N168" s="2"/>
    </row>
    <row r="169" spans="2:14" ht="15.75" customHeight="1" x14ac:dyDescent="0.2">
      <c r="B169" s="2"/>
      <c r="C169" s="27"/>
      <c r="D169" s="27"/>
      <c r="E169" s="27"/>
      <c r="F169" s="27"/>
      <c r="G169" s="2"/>
      <c r="H169" s="2"/>
      <c r="I169" s="2"/>
      <c r="J169" s="2"/>
      <c r="K169" s="2"/>
      <c r="L169" s="2"/>
      <c r="M169" s="2"/>
      <c r="N169" s="2"/>
    </row>
    <row r="170" spans="2:14" ht="15.75" customHeight="1" x14ac:dyDescent="0.2">
      <c r="B170" s="2"/>
      <c r="C170" s="27"/>
      <c r="D170" s="27"/>
      <c r="E170" s="27"/>
      <c r="F170" s="27"/>
      <c r="G170" s="2"/>
      <c r="H170" s="2"/>
      <c r="I170" s="2"/>
      <c r="J170" s="2"/>
      <c r="K170" s="2"/>
      <c r="L170" s="2"/>
      <c r="M170" s="2"/>
      <c r="N170" s="2"/>
    </row>
    <row r="171" spans="2:14" ht="15.75" customHeight="1" x14ac:dyDescent="0.2">
      <c r="B171" s="2"/>
      <c r="C171" s="27"/>
      <c r="D171" s="27"/>
      <c r="E171" s="27"/>
      <c r="F171" s="27"/>
      <c r="G171" s="2"/>
      <c r="H171" s="2"/>
      <c r="I171" s="2"/>
      <c r="J171" s="2"/>
      <c r="K171" s="2"/>
      <c r="L171" s="2"/>
      <c r="M171" s="2"/>
      <c r="N171" s="2"/>
    </row>
    <row r="172" spans="2:14" ht="15.75" customHeight="1" x14ac:dyDescent="0.2">
      <c r="B172" s="2"/>
      <c r="C172" s="27"/>
      <c r="D172" s="27"/>
      <c r="E172" s="27"/>
      <c r="F172" s="27"/>
      <c r="G172" s="2"/>
      <c r="H172" s="2"/>
      <c r="I172" s="2"/>
      <c r="J172" s="2"/>
      <c r="K172" s="2"/>
      <c r="L172" s="2"/>
      <c r="M172" s="2"/>
      <c r="N172" s="2"/>
    </row>
    <row r="173" spans="2:14" ht="15.75" customHeight="1" x14ac:dyDescent="0.2">
      <c r="B173" s="2"/>
      <c r="C173" s="27"/>
      <c r="D173" s="27"/>
      <c r="E173" s="27"/>
      <c r="F173" s="27"/>
      <c r="G173" s="2"/>
      <c r="H173" s="2"/>
      <c r="I173" s="2"/>
      <c r="J173" s="2"/>
      <c r="K173" s="2"/>
      <c r="L173" s="2"/>
      <c r="M173" s="2"/>
      <c r="N173" s="2"/>
    </row>
    <row r="174" spans="2:14" ht="15.75" customHeight="1" x14ac:dyDescent="0.2">
      <c r="B174" s="2"/>
      <c r="C174" s="27"/>
      <c r="D174" s="27"/>
      <c r="E174" s="27"/>
      <c r="F174" s="27"/>
      <c r="G174" s="2"/>
      <c r="H174" s="2"/>
      <c r="I174" s="2"/>
      <c r="J174" s="2"/>
      <c r="K174" s="2"/>
      <c r="L174" s="2"/>
      <c r="M174" s="2"/>
      <c r="N174" s="2"/>
    </row>
    <row r="175" spans="2:14" ht="15.75" customHeight="1" x14ac:dyDescent="0.2">
      <c r="B175" s="2"/>
      <c r="C175" s="27"/>
      <c r="D175" s="27"/>
      <c r="E175" s="27"/>
      <c r="F175" s="27"/>
      <c r="G175" s="2"/>
      <c r="H175" s="2"/>
      <c r="I175" s="2"/>
      <c r="J175" s="2"/>
      <c r="K175" s="2"/>
      <c r="L175" s="2"/>
      <c r="M175" s="2"/>
      <c r="N175" s="2"/>
    </row>
    <row r="176" spans="2:14" ht="15.75" customHeight="1" x14ac:dyDescent="0.2">
      <c r="B176" s="2"/>
      <c r="C176" s="27"/>
      <c r="D176" s="27"/>
      <c r="E176" s="27"/>
      <c r="F176" s="27"/>
      <c r="G176" s="2"/>
      <c r="H176" s="2"/>
      <c r="I176" s="2"/>
      <c r="J176" s="2"/>
      <c r="K176" s="2"/>
      <c r="L176" s="2"/>
      <c r="M176" s="2"/>
      <c r="N176" s="2"/>
    </row>
    <row r="177" spans="2:14" ht="15.75" customHeight="1" x14ac:dyDescent="0.2">
      <c r="B177" s="2"/>
      <c r="C177" s="27"/>
      <c r="D177" s="27"/>
      <c r="E177" s="27"/>
      <c r="F177" s="27"/>
      <c r="G177" s="2"/>
      <c r="H177" s="2"/>
      <c r="I177" s="2"/>
      <c r="J177" s="2"/>
      <c r="K177" s="2"/>
      <c r="L177" s="2"/>
      <c r="M177" s="2"/>
      <c r="N177" s="2"/>
    </row>
    <row r="178" spans="2:14" ht="15.75" customHeight="1" x14ac:dyDescent="0.2">
      <c r="B178" s="2"/>
      <c r="C178" s="27"/>
      <c r="D178" s="27"/>
      <c r="E178" s="27"/>
      <c r="F178" s="27"/>
      <c r="G178" s="2"/>
      <c r="H178" s="2"/>
      <c r="I178" s="2"/>
      <c r="J178" s="2"/>
      <c r="K178" s="2"/>
      <c r="L178" s="2"/>
      <c r="M178" s="2"/>
      <c r="N178" s="2"/>
    </row>
    <row r="179" spans="2:14" ht="15.75" customHeight="1" x14ac:dyDescent="0.2">
      <c r="B179" s="2"/>
      <c r="C179" s="27"/>
      <c r="D179" s="27"/>
      <c r="E179" s="27"/>
      <c r="F179" s="27"/>
      <c r="G179" s="2"/>
      <c r="H179" s="2"/>
      <c r="I179" s="2"/>
      <c r="J179" s="2"/>
      <c r="K179" s="2"/>
      <c r="L179" s="2"/>
      <c r="M179" s="2"/>
      <c r="N179" s="2"/>
    </row>
    <row r="180" spans="2:14" ht="15.75" customHeight="1" x14ac:dyDescent="0.2">
      <c r="B180" s="2"/>
      <c r="C180" s="27"/>
      <c r="D180" s="27"/>
      <c r="E180" s="27"/>
      <c r="F180" s="27"/>
      <c r="G180" s="2"/>
      <c r="H180" s="2"/>
      <c r="I180" s="2"/>
      <c r="J180" s="2"/>
      <c r="K180" s="2"/>
      <c r="L180" s="2"/>
      <c r="M180" s="2"/>
      <c r="N180" s="2"/>
    </row>
    <row r="181" spans="2:14" ht="15.75" customHeight="1" x14ac:dyDescent="0.2">
      <c r="B181" s="2"/>
      <c r="C181" s="27"/>
      <c r="D181" s="27"/>
      <c r="E181" s="27"/>
      <c r="F181" s="27"/>
      <c r="G181" s="2"/>
      <c r="H181" s="2"/>
      <c r="I181" s="2"/>
      <c r="J181" s="2"/>
      <c r="K181" s="2"/>
      <c r="L181" s="2"/>
      <c r="M181" s="2"/>
      <c r="N181" s="2"/>
    </row>
    <row r="182" spans="2:14" ht="15.75" customHeight="1" x14ac:dyDescent="0.2">
      <c r="B182" s="2"/>
      <c r="C182" s="27"/>
      <c r="D182" s="27"/>
      <c r="E182" s="27"/>
      <c r="F182" s="27"/>
      <c r="G182" s="2"/>
      <c r="H182" s="2"/>
      <c r="I182" s="2"/>
      <c r="J182" s="2"/>
      <c r="K182" s="2"/>
      <c r="L182" s="2"/>
      <c r="M182" s="2"/>
      <c r="N182" s="2"/>
    </row>
    <row r="183" spans="2:14" ht="15.75" customHeight="1" x14ac:dyDescent="0.2">
      <c r="B183" s="2"/>
      <c r="C183" s="27"/>
      <c r="D183" s="27"/>
      <c r="E183" s="27"/>
      <c r="F183" s="27"/>
      <c r="G183" s="2"/>
      <c r="H183" s="2"/>
      <c r="I183" s="2"/>
      <c r="J183" s="2"/>
      <c r="K183" s="2"/>
      <c r="L183" s="2"/>
      <c r="M183" s="2"/>
      <c r="N183" s="2"/>
    </row>
    <row r="184" spans="2:14" ht="15.75" customHeight="1" x14ac:dyDescent="0.2">
      <c r="B184" s="2"/>
      <c r="C184" s="27"/>
      <c r="D184" s="27"/>
      <c r="E184" s="27"/>
      <c r="F184" s="27"/>
      <c r="G184" s="2"/>
      <c r="H184" s="2"/>
      <c r="I184" s="2"/>
      <c r="J184" s="2"/>
      <c r="K184" s="2"/>
      <c r="L184" s="2"/>
      <c r="M184" s="2"/>
      <c r="N184" s="2"/>
    </row>
    <row r="185" spans="2:14" ht="15.75" customHeight="1" x14ac:dyDescent="0.2">
      <c r="B185" s="2"/>
      <c r="C185" s="27"/>
      <c r="D185" s="27"/>
      <c r="E185" s="27"/>
      <c r="F185" s="27"/>
      <c r="G185" s="2"/>
      <c r="H185" s="2"/>
      <c r="I185" s="2"/>
      <c r="J185" s="2"/>
      <c r="K185" s="2"/>
      <c r="L185" s="2"/>
      <c r="M185" s="2"/>
      <c r="N185" s="2"/>
    </row>
    <row r="186" spans="2:14" ht="15.75" customHeight="1" x14ac:dyDescent="0.2">
      <c r="B186" s="2"/>
      <c r="C186" s="27"/>
      <c r="D186" s="27"/>
      <c r="E186" s="27"/>
      <c r="F186" s="27"/>
      <c r="G186" s="2"/>
      <c r="H186" s="2"/>
      <c r="I186" s="2"/>
      <c r="J186" s="2"/>
      <c r="K186" s="2"/>
      <c r="L186" s="2"/>
      <c r="M186" s="2"/>
      <c r="N186" s="2"/>
    </row>
    <row r="187" spans="2:14" ht="15.75" customHeight="1" x14ac:dyDescent="0.2">
      <c r="B187" s="2"/>
      <c r="C187" s="27"/>
      <c r="D187" s="27"/>
      <c r="E187" s="27"/>
      <c r="F187" s="27"/>
      <c r="G187" s="2"/>
      <c r="H187" s="2"/>
      <c r="I187" s="2"/>
      <c r="J187" s="2"/>
      <c r="K187" s="2"/>
      <c r="L187" s="2"/>
      <c r="M187" s="2"/>
      <c r="N187" s="2"/>
    </row>
    <row r="188" spans="2:14" ht="15.75" customHeight="1" x14ac:dyDescent="0.2">
      <c r="B188" s="2"/>
      <c r="C188" s="27"/>
      <c r="D188" s="27"/>
      <c r="E188" s="27"/>
      <c r="F188" s="27"/>
      <c r="G188" s="2"/>
      <c r="H188" s="2"/>
      <c r="I188" s="2"/>
      <c r="J188" s="2"/>
      <c r="K188" s="2"/>
      <c r="L188" s="2"/>
      <c r="M188" s="2"/>
      <c r="N188" s="2"/>
    </row>
    <row r="189" spans="2:14" ht="15.75" customHeight="1" x14ac:dyDescent="0.2">
      <c r="B189" s="2"/>
      <c r="C189" s="27"/>
      <c r="D189" s="27"/>
      <c r="E189" s="27"/>
      <c r="F189" s="27"/>
      <c r="G189" s="2"/>
      <c r="H189" s="2"/>
      <c r="I189" s="2"/>
      <c r="J189" s="2"/>
      <c r="K189" s="2"/>
      <c r="L189" s="2"/>
      <c r="M189" s="2"/>
      <c r="N189" s="2"/>
    </row>
    <row r="190" spans="2:14" ht="15.75" customHeight="1" x14ac:dyDescent="0.2">
      <c r="B190" s="2"/>
      <c r="C190" s="27"/>
      <c r="D190" s="27"/>
      <c r="E190" s="27"/>
      <c r="F190" s="27"/>
      <c r="G190" s="2"/>
      <c r="H190" s="2"/>
      <c r="I190" s="2"/>
      <c r="J190" s="2"/>
      <c r="K190" s="2"/>
      <c r="L190" s="2"/>
      <c r="M190" s="2"/>
      <c r="N190" s="2"/>
    </row>
    <row r="191" spans="2:14" ht="15.75" customHeight="1" x14ac:dyDescent="0.2">
      <c r="B191" s="2"/>
      <c r="C191" s="27"/>
      <c r="D191" s="27"/>
      <c r="E191" s="27"/>
      <c r="F191" s="27"/>
      <c r="G191" s="2"/>
      <c r="H191" s="2"/>
      <c r="I191" s="2"/>
      <c r="J191" s="2"/>
      <c r="K191" s="2"/>
      <c r="L191" s="2"/>
      <c r="M191" s="2"/>
      <c r="N191" s="2"/>
    </row>
    <row r="192" spans="2:14" ht="15.75" customHeight="1" x14ac:dyDescent="0.2">
      <c r="B192" s="2"/>
      <c r="C192" s="27"/>
      <c r="D192" s="27"/>
      <c r="E192" s="27"/>
      <c r="F192" s="27"/>
      <c r="G192" s="2"/>
      <c r="H192" s="2"/>
      <c r="I192" s="2"/>
      <c r="J192" s="2"/>
      <c r="K192" s="2"/>
      <c r="L192" s="2"/>
      <c r="M192" s="2"/>
      <c r="N192" s="2"/>
    </row>
    <row r="193" spans="2:14" ht="15.75" customHeight="1" x14ac:dyDescent="0.2">
      <c r="B193" s="2"/>
      <c r="C193" s="27"/>
      <c r="D193" s="27"/>
      <c r="E193" s="27"/>
      <c r="F193" s="27"/>
      <c r="G193" s="2"/>
      <c r="H193" s="2"/>
      <c r="I193" s="2"/>
      <c r="J193" s="2"/>
      <c r="K193" s="2"/>
      <c r="L193" s="2"/>
      <c r="M193" s="2"/>
      <c r="N193" s="2"/>
    </row>
    <row r="194" spans="2:14" ht="15.75" customHeight="1" x14ac:dyDescent="0.2">
      <c r="B194" s="2"/>
      <c r="C194" s="27"/>
      <c r="D194" s="27"/>
      <c r="E194" s="27"/>
      <c r="F194" s="27"/>
      <c r="G194" s="2"/>
      <c r="H194" s="2"/>
      <c r="I194" s="2"/>
      <c r="J194" s="2"/>
      <c r="K194" s="2"/>
      <c r="L194" s="2"/>
      <c r="M194" s="2"/>
      <c r="N194" s="2"/>
    </row>
    <row r="195" spans="2:14" ht="15.75" customHeight="1" x14ac:dyDescent="0.2">
      <c r="B195" s="2"/>
      <c r="C195" s="27"/>
      <c r="D195" s="27"/>
      <c r="E195" s="27"/>
      <c r="F195" s="27"/>
      <c r="G195" s="2"/>
      <c r="H195" s="2"/>
      <c r="I195" s="2"/>
      <c r="J195" s="2"/>
      <c r="K195" s="2"/>
      <c r="L195" s="2"/>
      <c r="M195" s="2"/>
      <c r="N195" s="2"/>
    </row>
    <row r="196" spans="2:14" ht="15.75" customHeight="1" x14ac:dyDescent="0.2">
      <c r="B196" s="2"/>
      <c r="C196" s="27"/>
      <c r="D196" s="27"/>
      <c r="E196" s="27"/>
      <c r="F196" s="27"/>
      <c r="G196" s="2"/>
      <c r="H196" s="2"/>
      <c r="I196" s="2"/>
      <c r="J196" s="2"/>
      <c r="K196" s="2"/>
      <c r="L196" s="2"/>
      <c r="M196" s="2"/>
      <c r="N196" s="2"/>
    </row>
    <row r="197" spans="2:14" ht="15.75" customHeight="1" x14ac:dyDescent="0.2">
      <c r="B197" s="2"/>
      <c r="C197" s="27"/>
      <c r="D197" s="27"/>
      <c r="E197" s="27"/>
      <c r="F197" s="27"/>
      <c r="G197" s="2"/>
      <c r="H197" s="2"/>
      <c r="I197" s="2"/>
      <c r="J197" s="2"/>
      <c r="K197" s="2"/>
      <c r="L197" s="2"/>
      <c r="M197" s="2"/>
      <c r="N197" s="2"/>
    </row>
    <row r="198" spans="2:14" ht="15.75" customHeight="1" x14ac:dyDescent="0.2">
      <c r="B198" s="2"/>
      <c r="C198" s="27"/>
      <c r="D198" s="27"/>
      <c r="E198" s="27"/>
      <c r="F198" s="27"/>
      <c r="G198" s="2"/>
      <c r="H198" s="2"/>
      <c r="I198" s="2"/>
      <c r="J198" s="2"/>
      <c r="K198" s="2"/>
      <c r="L198" s="2"/>
      <c r="M198" s="2"/>
      <c r="N198" s="2"/>
    </row>
    <row r="199" spans="2:14" ht="15.75" customHeight="1" x14ac:dyDescent="0.2">
      <c r="B199" s="2"/>
      <c r="C199" s="27"/>
      <c r="D199" s="27"/>
      <c r="E199" s="27"/>
      <c r="F199" s="27"/>
      <c r="G199" s="2"/>
      <c r="H199" s="2"/>
      <c r="I199" s="2"/>
      <c r="J199" s="2"/>
      <c r="K199" s="2"/>
      <c r="L199" s="2"/>
      <c r="M199" s="2"/>
      <c r="N199" s="2"/>
    </row>
    <row r="200" spans="2:14" ht="15.75" customHeight="1" x14ac:dyDescent="0.2">
      <c r="B200" s="2"/>
      <c r="C200" s="27"/>
      <c r="D200" s="27"/>
      <c r="E200" s="27"/>
      <c r="F200" s="27"/>
      <c r="G200" s="2"/>
      <c r="H200" s="2"/>
      <c r="I200" s="2"/>
      <c r="J200" s="2"/>
      <c r="K200" s="2"/>
      <c r="L200" s="2"/>
      <c r="M200" s="2"/>
      <c r="N200" s="2"/>
    </row>
    <row r="201" spans="2:14" ht="15.75" customHeight="1" x14ac:dyDescent="0.2">
      <c r="B201" s="2"/>
      <c r="C201" s="27"/>
      <c r="D201" s="27"/>
      <c r="E201" s="27"/>
      <c r="F201" s="27"/>
      <c r="G201" s="2"/>
      <c r="H201" s="2"/>
      <c r="I201" s="2"/>
      <c r="J201" s="2"/>
      <c r="K201" s="2"/>
      <c r="L201" s="2"/>
      <c r="M201" s="2"/>
      <c r="N201" s="2"/>
    </row>
    <row r="202" spans="2:14" ht="15.75" customHeight="1" x14ac:dyDescent="0.2">
      <c r="B202" s="2"/>
      <c r="C202" s="27"/>
      <c r="D202" s="27"/>
      <c r="E202" s="27"/>
      <c r="F202" s="27"/>
      <c r="G202" s="2"/>
      <c r="H202" s="2"/>
      <c r="I202" s="2"/>
      <c r="J202" s="2"/>
      <c r="K202" s="2"/>
      <c r="L202" s="2"/>
      <c r="M202" s="2"/>
      <c r="N202" s="2"/>
    </row>
    <row r="203" spans="2:14" ht="15.75" customHeight="1" x14ac:dyDescent="0.2">
      <c r="B203" s="2"/>
      <c r="C203" s="27"/>
      <c r="D203" s="27"/>
      <c r="E203" s="27"/>
      <c r="F203" s="27"/>
      <c r="G203" s="2"/>
      <c r="H203" s="2"/>
      <c r="I203" s="2"/>
      <c r="J203" s="2"/>
      <c r="K203" s="2"/>
      <c r="L203" s="2"/>
      <c r="M203" s="2"/>
      <c r="N203" s="2"/>
    </row>
    <row r="204" spans="2:14" ht="15.75" customHeight="1" x14ac:dyDescent="0.2">
      <c r="B204" s="2"/>
      <c r="C204" s="27"/>
      <c r="D204" s="27"/>
      <c r="E204" s="27"/>
      <c r="F204" s="27"/>
      <c r="G204" s="2"/>
      <c r="H204" s="2"/>
      <c r="I204" s="2"/>
      <c r="J204" s="2"/>
      <c r="K204" s="2"/>
      <c r="L204" s="2"/>
      <c r="M204" s="2"/>
      <c r="N204" s="2"/>
    </row>
    <row r="205" spans="2:14" ht="15.75" customHeight="1" x14ac:dyDescent="0.2">
      <c r="B205" s="2"/>
      <c r="C205" s="27"/>
      <c r="D205" s="27"/>
      <c r="E205" s="27"/>
      <c r="F205" s="27"/>
      <c r="G205" s="2"/>
      <c r="H205" s="2"/>
      <c r="I205" s="2"/>
      <c r="J205" s="2"/>
      <c r="K205" s="2"/>
      <c r="L205" s="2"/>
      <c r="M205" s="2"/>
      <c r="N205" s="2"/>
    </row>
    <row r="206" spans="2:14" ht="15.75" customHeight="1" x14ac:dyDescent="0.2">
      <c r="B206" s="2"/>
      <c r="C206" s="27"/>
      <c r="D206" s="27"/>
      <c r="E206" s="27"/>
      <c r="F206" s="27"/>
      <c r="G206" s="2"/>
      <c r="H206" s="2"/>
      <c r="I206" s="2"/>
      <c r="J206" s="2"/>
      <c r="K206" s="2"/>
      <c r="L206" s="2"/>
      <c r="M206" s="2"/>
      <c r="N206" s="2"/>
    </row>
    <row r="207" spans="2:14" ht="15.75" customHeight="1" x14ac:dyDescent="0.2">
      <c r="B207" s="2"/>
      <c r="C207" s="27"/>
      <c r="D207" s="27"/>
      <c r="E207" s="27"/>
      <c r="F207" s="27"/>
      <c r="G207" s="2"/>
      <c r="H207" s="2"/>
      <c r="I207" s="2"/>
      <c r="J207" s="2"/>
      <c r="K207" s="2"/>
      <c r="L207" s="2"/>
      <c r="M207" s="2"/>
      <c r="N207" s="2"/>
    </row>
    <row r="208" spans="2:14" ht="15.75" customHeight="1" x14ac:dyDescent="0.2">
      <c r="B208" s="2"/>
      <c r="C208" s="27"/>
      <c r="D208" s="27"/>
      <c r="E208" s="27"/>
      <c r="F208" s="27"/>
      <c r="G208" s="2"/>
      <c r="H208" s="2"/>
      <c r="I208" s="2"/>
      <c r="J208" s="2"/>
      <c r="K208" s="2"/>
      <c r="L208" s="2"/>
      <c r="M208" s="2"/>
      <c r="N208" s="2"/>
    </row>
    <row r="209" spans="2:14" ht="15.75" customHeight="1" x14ac:dyDescent="0.2">
      <c r="B209" s="2"/>
      <c r="C209" s="27"/>
      <c r="D209" s="27"/>
      <c r="E209" s="27"/>
      <c r="F209" s="27"/>
      <c r="G209" s="2"/>
      <c r="H209" s="2"/>
      <c r="I209" s="2"/>
      <c r="J209" s="2"/>
      <c r="K209" s="2"/>
      <c r="L209" s="2"/>
      <c r="M209" s="2"/>
      <c r="N209" s="2"/>
    </row>
    <row r="210" spans="2:14" ht="15.75" customHeight="1" x14ac:dyDescent="0.2">
      <c r="B210" s="2"/>
      <c r="C210" s="27"/>
      <c r="D210" s="27"/>
      <c r="E210" s="27"/>
      <c r="F210" s="27"/>
      <c r="G210" s="2"/>
      <c r="H210" s="2"/>
      <c r="I210" s="2"/>
      <c r="J210" s="2"/>
      <c r="K210" s="2"/>
      <c r="L210" s="2"/>
      <c r="M210" s="2"/>
      <c r="N210" s="2"/>
    </row>
    <row r="211" spans="2:14" ht="15.75" customHeight="1" x14ac:dyDescent="0.2">
      <c r="B211" s="2"/>
      <c r="C211" s="27"/>
      <c r="D211" s="27"/>
      <c r="E211" s="27"/>
      <c r="F211" s="27"/>
      <c r="G211" s="2"/>
      <c r="H211" s="2"/>
      <c r="I211" s="2"/>
      <c r="J211" s="2"/>
      <c r="K211" s="2"/>
      <c r="L211" s="2"/>
      <c r="M211" s="2"/>
      <c r="N211" s="2"/>
    </row>
    <row r="212" spans="2:14" ht="15.75" customHeight="1" x14ac:dyDescent="0.2">
      <c r="B212" s="2"/>
      <c r="C212" s="27"/>
      <c r="D212" s="27"/>
      <c r="E212" s="27"/>
      <c r="F212" s="27"/>
      <c r="G212" s="2"/>
      <c r="H212" s="2"/>
      <c r="I212" s="2"/>
      <c r="J212" s="2"/>
      <c r="K212" s="2"/>
      <c r="L212" s="2"/>
      <c r="M212" s="2"/>
      <c r="N212" s="2"/>
    </row>
    <row r="213" spans="2:14" ht="15.75" customHeight="1" x14ac:dyDescent="0.2">
      <c r="B213" s="2"/>
      <c r="C213" s="27"/>
      <c r="D213" s="27"/>
      <c r="E213" s="27"/>
      <c r="F213" s="27"/>
      <c r="G213" s="2"/>
      <c r="H213" s="2"/>
      <c r="I213" s="2"/>
      <c r="J213" s="2"/>
      <c r="K213" s="2"/>
      <c r="L213" s="2"/>
      <c r="M213" s="2"/>
      <c r="N213" s="2"/>
    </row>
    <row r="214" spans="2:14" ht="15.75" customHeight="1" x14ac:dyDescent="0.2">
      <c r="B214" s="2"/>
      <c r="C214" s="27"/>
      <c r="D214" s="27"/>
      <c r="E214" s="27"/>
      <c r="F214" s="27"/>
      <c r="G214" s="2"/>
      <c r="H214" s="2"/>
      <c r="I214" s="2"/>
      <c r="J214" s="2"/>
      <c r="K214" s="2"/>
      <c r="L214" s="2"/>
      <c r="M214" s="2"/>
      <c r="N214" s="2"/>
    </row>
    <row r="215" spans="2:14" ht="15.75" customHeight="1" x14ac:dyDescent="0.2">
      <c r="B215" s="2"/>
      <c r="C215" s="27"/>
      <c r="D215" s="27"/>
      <c r="E215" s="27"/>
      <c r="F215" s="27"/>
      <c r="G215" s="2"/>
      <c r="H215" s="2"/>
      <c r="I215" s="2"/>
      <c r="J215" s="2"/>
      <c r="K215" s="2"/>
      <c r="L215" s="2"/>
      <c r="M215" s="2"/>
      <c r="N215" s="2"/>
    </row>
    <row r="216" spans="2:14" ht="15.75" customHeight="1" x14ac:dyDescent="0.2">
      <c r="B216" s="2"/>
      <c r="C216" s="27"/>
      <c r="D216" s="27"/>
      <c r="E216" s="27"/>
      <c r="F216" s="27"/>
      <c r="G216" s="2"/>
      <c r="H216" s="2"/>
      <c r="I216" s="2"/>
      <c r="J216" s="2"/>
      <c r="K216" s="2"/>
      <c r="L216" s="2"/>
      <c r="M216" s="2"/>
      <c r="N216" s="2"/>
    </row>
    <row r="217" spans="2:14" ht="15.75" customHeight="1" x14ac:dyDescent="0.2">
      <c r="B217" s="2"/>
      <c r="C217" s="27"/>
      <c r="D217" s="27"/>
      <c r="E217" s="27"/>
      <c r="F217" s="27"/>
      <c r="G217" s="2"/>
      <c r="H217" s="2"/>
      <c r="I217" s="2"/>
      <c r="J217" s="2"/>
      <c r="K217" s="2"/>
      <c r="L217" s="2"/>
      <c r="M217" s="2"/>
      <c r="N217" s="2"/>
    </row>
    <row r="218" spans="2:14" ht="15.75" customHeight="1" x14ac:dyDescent="0.2">
      <c r="B218" s="2"/>
      <c r="C218" s="27"/>
      <c r="D218" s="27"/>
      <c r="E218" s="27"/>
      <c r="F218" s="27"/>
      <c r="G218" s="2"/>
      <c r="H218" s="2"/>
      <c r="I218" s="2"/>
      <c r="J218" s="2"/>
      <c r="K218" s="2"/>
      <c r="L218" s="2"/>
      <c r="M218" s="2"/>
      <c r="N218" s="2"/>
    </row>
    <row r="219" spans="2:14" ht="15.75" customHeight="1" x14ac:dyDescent="0.2">
      <c r="B219" s="2"/>
      <c r="C219" s="27"/>
      <c r="D219" s="27"/>
      <c r="E219" s="27"/>
      <c r="F219" s="27"/>
      <c r="G219" s="2"/>
      <c r="H219" s="2"/>
      <c r="I219" s="2"/>
      <c r="J219" s="2"/>
      <c r="K219" s="2"/>
      <c r="L219" s="2"/>
      <c r="M219" s="2"/>
      <c r="N219" s="2"/>
    </row>
    <row r="220" spans="2:14" ht="15.75" customHeight="1" x14ac:dyDescent="0.2">
      <c r="B220" s="2"/>
      <c r="C220" s="27"/>
      <c r="D220" s="27"/>
      <c r="E220" s="27"/>
      <c r="F220" s="27"/>
      <c r="G220" s="2"/>
      <c r="H220" s="2"/>
      <c r="I220" s="2"/>
      <c r="J220" s="2"/>
      <c r="K220" s="2"/>
      <c r="L220" s="2"/>
      <c r="M220" s="2"/>
      <c r="N220" s="2"/>
    </row>
    <row r="221" spans="2:14" ht="15.75" customHeight="1" x14ac:dyDescent="0.2">
      <c r="B221" s="2"/>
      <c r="C221" s="27"/>
      <c r="D221" s="27"/>
      <c r="E221" s="27"/>
      <c r="F221" s="27"/>
      <c r="G221" s="2"/>
      <c r="H221" s="2"/>
      <c r="I221" s="2"/>
      <c r="J221" s="2"/>
      <c r="K221" s="2"/>
      <c r="L221" s="2"/>
      <c r="M221" s="2"/>
      <c r="N221" s="2"/>
    </row>
    <row r="222" spans="2:14" ht="15.75" customHeight="1" x14ac:dyDescent="0.2">
      <c r="B222" s="2"/>
      <c r="C222" s="27"/>
      <c r="D222" s="27"/>
      <c r="E222" s="27"/>
      <c r="F222" s="27"/>
      <c r="G222" s="2"/>
      <c r="H222" s="2"/>
      <c r="I222" s="2"/>
      <c r="J222" s="2"/>
      <c r="K222" s="2"/>
      <c r="L222" s="2"/>
      <c r="M222" s="2"/>
      <c r="N222" s="2"/>
    </row>
    <row r="223" spans="2:14" ht="15.75" customHeight="1" x14ac:dyDescent="0.2">
      <c r="B223" s="2"/>
      <c r="C223" s="27"/>
      <c r="D223" s="27"/>
      <c r="E223" s="27"/>
      <c r="F223" s="27"/>
      <c r="G223" s="2"/>
      <c r="H223" s="2"/>
      <c r="I223" s="2"/>
      <c r="J223" s="2"/>
      <c r="K223" s="2"/>
      <c r="L223" s="2"/>
      <c r="M223" s="2"/>
      <c r="N223" s="2"/>
    </row>
    <row r="224" spans="2:14" ht="15.75" customHeight="1" x14ac:dyDescent="0.2">
      <c r="B224" s="2"/>
      <c r="C224" s="27"/>
      <c r="D224" s="27"/>
      <c r="E224" s="27"/>
      <c r="F224" s="27"/>
      <c r="G224" s="2"/>
      <c r="H224" s="2"/>
      <c r="I224" s="2"/>
      <c r="J224" s="2"/>
      <c r="K224" s="2"/>
      <c r="L224" s="2"/>
      <c r="M224" s="2"/>
      <c r="N224" s="2"/>
    </row>
    <row r="225" spans="2:14" ht="15.75" customHeight="1" x14ac:dyDescent="0.2">
      <c r="B225" s="2"/>
      <c r="C225" s="27"/>
      <c r="D225" s="27"/>
      <c r="E225" s="27"/>
      <c r="F225" s="27"/>
      <c r="G225" s="2"/>
      <c r="H225" s="2"/>
      <c r="I225" s="2"/>
      <c r="J225" s="2"/>
      <c r="K225" s="2"/>
      <c r="L225" s="2"/>
      <c r="M225" s="2"/>
      <c r="N225" s="2"/>
    </row>
    <row r="226" spans="2:14" ht="15.75" customHeight="1" x14ac:dyDescent="0.2">
      <c r="B226" s="2"/>
      <c r="C226" s="27"/>
      <c r="D226" s="27"/>
      <c r="E226" s="27"/>
      <c r="F226" s="27"/>
      <c r="G226" s="2"/>
      <c r="H226" s="2"/>
      <c r="I226" s="2"/>
      <c r="J226" s="2"/>
      <c r="K226" s="2"/>
      <c r="L226" s="2"/>
      <c r="M226" s="2"/>
      <c r="N226" s="2"/>
    </row>
    <row r="227" spans="2:14" ht="15.75" customHeight="1" x14ac:dyDescent="0.2">
      <c r="B227" s="2"/>
      <c r="C227" s="27"/>
      <c r="D227" s="27"/>
      <c r="E227" s="27"/>
      <c r="F227" s="27"/>
      <c r="G227" s="2"/>
      <c r="H227" s="2"/>
      <c r="I227" s="2"/>
      <c r="J227" s="2"/>
      <c r="K227" s="2"/>
      <c r="L227" s="2"/>
      <c r="M227" s="2"/>
      <c r="N227" s="2"/>
    </row>
    <row r="228" spans="2:14" ht="15.75" customHeight="1" x14ac:dyDescent="0.2">
      <c r="B228" s="2"/>
      <c r="C228" s="27"/>
      <c r="D228" s="27"/>
      <c r="E228" s="27"/>
      <c r="F228" s="27"/>
      <c r="G228" s="2"/>
      <c r="H228" s="2"/>
      <c r="I228" s="2"/>
      <c r="J228" s="2"/>
      <c r="K228" s="2"/>
      <c r="L228" s="2"/>
      <c r="M228" s="2"/>
      <c r="N228" s="2"/>
    </row>
    <row r="229" spans="2:14" ht="15.75" customHeight="1" x14ac:dyDescent="0.2">
      <c r="B229" s="2"/>
      <c r="C229" s="27"/>
      <c r="D229" s="27"/>
      <c r="E229" s="27"/>
      <c r="F229" s="27"/>
      <c r="G229" s="2"/>
      <c r="H229" s="2"/>
      <c r="I229" s="2"/>
      <c r="J229" s="2"/>
      <c r="K229" s="2"/>
      <c r="L229" s="2"/>
      <c r="M229" s="2"/>
      <c r="N229" s="2"/>
    </row>
    <row r="230" spans="2:14" ht="15.75" customHeight="1" x14ac:dyDescent="0.2">
      <c r="B230" s="2"/>
      <c r="C230" s="27"/>
      <c r="D230" s="27"/>
      <c r="E230" s="27"/>
      <c r="F230" s="27"/>
      <c r="G230" s="2"/>
      <c r="H230" s="2"/>
      <c r="I230" s="2"/>
      <c r="J230" s="2"/>
      <c r="K230" s="2"/>
      <c r="L230" s="2"/>
      <c r="M230" s="2"/>
      <c r="N230" s="2"/>
    </row>
    <row r="231" spans="2:14" ht="15.75" customHeight="1" x14ac:dyDescent="0.2">
      <c r="B231" s="2"/>
      <c r="C231" s="27"/>
      <c r="D231" s="27"/>
      <c r="E231" s="27"/>
      <c r="F231" s="27"/>
      <c r="G231" s="2"/>
      <c r="H231" s="2"/>
      <c r="I231" s="2"/>
      <c r="J231" s="2"/>
      <c r="K231" s="2"/>
      <c r="L231" s="2"/>
      <c r="M231" s="2"/>
      <c r="N231" s="2"/>
    </row>
    <row r="232" spans="2:14" ht="15.75" customHeight="1" x14ac:dyDescent="0.2">
      <c r="B232" s="2"/>
      <c r="C232" s="27"/>
      <c r="D232" s="27"/>
      <c r="E232" s="27"/>
      <c r="F232" s="27"/>
      <c r="G232" s="2"/>
      <c r="H232" s="2"/>
      <c r="I232" s="2"/>
      <c r="J232" s="2"/>
      <c r="K232" s="2"/>
      <c r="L232" s="2"/>
      <c r="M232" s="2"/>
      <c r="N232" s="2"/>
    </row>
    <row r="233" spans="2:14" ht="15.75" customHeight="1" x14ac:dyDescent="0.2">
      <c r="B233" s="2"/>
      <c r="C233" s="27"/>
      <c r="D233" s="27"/>
      <c r="E233" s="27"/>
      <c r="F233" s="27"/>
      <c r="G233" s="2"/>
      <c r="H233" s="2"/>
      <c r="I233" s="2"/>
      <c r="J233" s="2"/>
      <c r="K233" s="2"/>
      <c r="L233" s="2"/>
      <c r="M233" s="2"/>
      <c r="N233" s="2"/>
    </row>
    <row r="234" spans="2:14" ht="15.75" customHeight="1" x14ac:dyDescent="0.2">
      <c r="B234" s="2"/>
      <c r="C234" s="27"/>
      <c r="D234" s="27"/>
      <c r="E234" s="27"/>
      <c r="F234" s="27"/>
      <c r="G234" s="2"/>
      <c r="H234" s="2"/>
      <c r="I234" s="2"/>
      <c r="J234" s="2"/>
      <c r="K234" s="2"/>
      <c r="L234" s="2"/>
      <c r="M234" s="2"/>
      <c r="N234" s="2"/>
    </row>
    <row r="235" spans="2:14" ht="15.75" customHeight="1" x14ac:dyDescent="0.2">
      <c r="B235" s="2"/>
      <c r="C235" s="27"/>
      <c r="D235" s="27"/>
      <c r="E235" s="27"/>
      <c r="F235" s="27"/>
      <c r="G235" s="2"/>
      <c r="H235" s="2"/>
      <c r="I235" s="2"/>
      <c r="J235" s="2"/>
      <c r="K235" s="2"/>
      <c r="L235" s="2"/>
      <c r="M235" s="2"/>
      <c r="N235" s="2"/>
    </row>
    <row r="236" spans="2:14" ht="15.75" customHeight="1" x14ac:dyDescent="0.2">
      <c r="B236" s="2"/>
      <c r="C236" s="27"/>
      <c r="D236" s="27"/>
      <c r="E236" s="27"/>
      <c r="F236" s="27"/>
      <c r="G236" s="2"/>
      <c r="H236" s="2"/>
      <c r="I236" s="2"/>
      <c r="J236" s="2"/>
      <c r="K236" s="2"/>
      <c r="L236" s="2"/>
      <c r="M236" s="2"/>
      <c r="N236" s="2"/>
    </row>
    <row r="237" spans="2:14" ht="15.75" customHeight="1" x14ac:dyDescent="0.2">
      <c r="B237" s="2"/>
      <c r="C237" s="27"/>
      <c r="D237" s="27"/>
      <c r="E237" s="27"/>
      <c r="F237" s="27"/>
      <c r="G237" s="2"/>
      <c r="H237" s="2"/>
      <c r="I237" s="2"/>
      <c r="J237" s="2"/>
      <c r="K237" s="2"/>
      <c r="L237" s="2"/>
      <c r="M237" s="2"/>
      <c r="N237" s="2"/>
    </row>
    <row r="238" spans="2:14" ht="15.75" customHeight="1" x14ac:dyDescent="0.2">
      <c r="B238" s="2"/>
      <c r="C238" s="27"/>
      <c r="D238" s="27"/>
      <c r="E238" s="27"/>
      <c r="F238" s="27"/>
      <c r="G238" s="2"/>
      <c r="H238" s="2"/>
      <c r="I238" s="2"/>
      <c r="J238" s="2"/>
      <c r="K238" s="2"/>
      <c r="L238" s="2"/>
      <c r="M238" s="2"/>
      <c r="N238" s="2"/>
    </row>
    <row r="239" spans="2:14" ht="15.75" customHeight="1" x14ac:dyDescent="0.2">
      <c r="B239" s="2"/>
      <c r="C239" s="27"/>
      <c r="D239" s="27"/>
      <c r="E239" s="27"/>
      <c r="F239" s="27"/>
      <c r="G239" s="2"/>
      <c r="H239" s="2"/>
      <c r="I239" s="2"/>
      <c r="J239" s="2"/>
      <c r="K239" s="2"/>
      <c r="L239" s="2"/>
      <c r="M239" s="2"/>
      <c r="N239" s="2"/>
    </row>
    <row r="240" spans="2:14" ht="15.75" customHeight="1" x14ac:dyDescent="0.2">
      <c r="B240" s="2"/>
      <c r="C240" s="27"/>
      <c r="D240" s="27"/>
      <c r="E240" s="27"/>
      <c r="F240" s="27"/>
      <c r="G240" s="2"/>
      <c r="H240" s="2"/>
      <c r="I240" s="2"/>
      <c r="J240" s="2"/>
      <c r="K240" s="2"/>
      <c r="L240" s="2"/>
      <c r="M240" s="2"/>
      <c r="N240" s="2"/>
    </row>
    <row r="241" spans="2:14" ht="15.75" customHeight="1" x14ac:dyDescent="0.2">
      <c r="B241" s="2"/>
      <c r="C241" s="27"/>
      <c r="D241" s="27"/>
      <c r="E241" s="27"/>
      <c r="F241" s="27"/>
      <c r="G241" s="2"/>
      <c r="H241" s="2"/>
      <c r="I241" s="2"/>
      <c r="J241" s="2"/>
      <c r="K241" s="2"/>
      <c r="L241" s="2"/>
      <c r="M241" s="2"/>
      <c r="N241" s="2"/>
    </row>
    <row r="242" spans="2:14" ht="15.75" customHeight="1" x14ac:dyDescent="0.2">
      <c r="B242" s="2"/>
      <c r="C242" s="27"/>
      <c r="D242" s="27"/>
      <c r="E242" s="27"/>
      <c r="F242" s="27"/>
      <c r="G242" s="2"/>
      <c r="H242" s="2"/>
      <c r="I242" s="2"/>
      <c r="J242" s="2"/>
      <c r="K242" s="2"/>
      <c r="L242" s="2"/>
      <c r="M242" s="2"/>
      <c r="N242" s="2"/>
    </row>
    <row r="243" spans="2:14" ht="15.75" customHeight="1" x14ac:dyDescent="0.2">
      <c r="B243" s="2"/>
      <c r="C243" s="27"/>
      <c r="D243" s="27"/>
      <c r="E243" s="27"/>
      <c r="F243" s="27"/>
      <c r="G243" s="2"/>
      <c r="H243" s="2"/>
      <c r="I243" s="2"/>
      <c r="J243" s="2"/>
      <c r="K243" s="2"/>
      <c r="L243" s="2"/>
      <c r="M243" s="2"/>
      <c r="N243" s="2"/>
    </row>
    <row r="244" spans="2:14" ht="15.75" customHeight="1" x14ac:dyDescent="0.2">
      <c r="B244" s="2"/>
      <c r="C244" s="27"/>
      <c r="D244" s="27"/>
      <c r="E244" s="27"/>
      <c r="F244" s="27"/>
      <c r="G244" s="2"/>
      <c r="H244" s="2"/>
      <c r="I244" s="2"/>
      <c r="J244" s="2"/>
      <c r="K244" s="2"/>
      <c r="L244" s="2"/>
      <c r="M244" s="2"/>
      <c r="N244" s="2"/>
    </row>
    <row r="245" spans="2:14" ht="15.75" customHeight="1" x14ac:dyDescent="0.2">
      <c r="B245" s="2"/>
      <c r="C245" s="27"/>
      <c r="D245" s="27"/>
      <c r="E245" s="27"/>
      <c r="F245" s="27"/>
      <c r="G245" s="2"/>
      <c r="H245" s="2"/>
      <c r="I245" s="2"/>
      <c r="J245" s="2"/>
      <c r="K245" s="2"/>
      <c r="L245" s="2"/>
      <c r="M245" s="2"/>
      <c r="N245" s="2"/>
    </row>
    <row r="246" spans="2:14" ht="15.75" customHeight="1" x14ac:dyDescent="0.2">
      <c r="B246" s="2"/>
      <c r="C246" s="27"/>
      <c r="D246" s="27"/>
      <c r="E246" s="27"/>
      <c r="F246" s="27"/>
      <c r="G246" s="2"/>
      <c r="H246" s="2"/>
      <c r="I246" s="2"/>
      <c r="J246" s="2"/>
      <c r="K246" s="2"/>
      <c r="L246" s="2"/>
      <c r="M246" s="2"/>
      <c r="N246" s="2"/>
    </row>
    <row r="247" spans="2:14" ht="15.75" customHeight="1" x14ac:dyDescent="0.2">
      <c r="B247" s="2"/>
      <c r="C247" s="27"/>
      <c r="D247" s="27"/>
      <c r="E247" s="27"/>
      <c r="F247" s="27"/>
      <c r="G247" s="2"/>
      <c r="H247" s="2"/>
      <c r="I247" s="2"/>
      <c r="J247" s="2"/>
      <c r="K247" s="2"/>
      <c r="L247" s="2"/>
      <c r="M247" s="2"/>
      <c r="N247" s="2"/>
    </row>
    <row r="248" spans="2:14" ht="15.75" customHeight="1" x14ac:dyDescent="0.2">
      <c r="B248" s="2"/>
      <c r="C248" s="27"/>
      <c r="D248" s="27"/>
      <c r="E248" s="27"/>
      <c r="F248" s="27"/>
      <c r="G248" s="2"/>
      <c r="H248" s="2"/>
      <c r="I248" s="2"/>
      <c r="J248" s="2"/>
      <c r="K248" s="2"/>
      <c r="L248" s="2"/>
      <c r="M248" s="2"/>
      <c r="N248" s="2"/>
    </row>
    <row r="249" spans="2:14" ht="15.75" customHeight="1" x14ac:dyDescent="0.2">
      <c r="B249" s="2"/>
      <c r="C249" s="27"/>
      <c r="D249" s="27"/>
      <c r="E249" s="27"/>
      <c r="F249" s="27"/>
      <c r="G249" s="2"/>
      <c r="H249" s="2"/>
      <c r="I249" s="2"/>
      <c r="J249" s="2"/>
      <c r="K249" s="2"/>
      <c r="L249" s="2"/>
      <c r="M249" s="2"/>
      <c r="N249" s="2"/>
    </row>
    <row r="250" spans="2:14" ht="15.75" customHeight="1" x14ac:dyDescent="0.2">
      <c r="B250" s="2"/>
      <c r="C250" s="27"/>
      <c r="D250" s="27"/>
      <c r="E250" s="27"/>
      <c r="F250" s="27"/>
      <c r="G250" s="2"/>
      <c r="H250" s="2"/>
      <c r="I250" s="2"/>
      <c r="J250" s="2"/>
      <c r="K250" s="2"/>
      <c r="L250" s="2"/>
      <c r="M250" s="2"/>
      <c r="N250" s="2"/>
    </row>
    <row r="251" spans="2:14" ht="15.75" customHeight="1" x14ac:dyDescent="0.2">
      <c r="B251" s="2"/>
      <c r="C251" s="27"/>
      <c r="D251" s="27"/>
      <c r="E251" s="27"/>
      <c r="F251" s="27"/>
      <c r="G251" s="2"/>
      <c r="H251" s="2"/>
      <c r="I251" s="2"/>
      <c r="J251" s="2"/>
      <c r="K251" s="2"/>
      <c r="L251" s="2"/>
      <c r="M251" s="2"/>
      <c r="N251" s="2"/>
    </row>
    <row r="252" spans="2:14" ht="15.75" customHeight="1" x14ac:dyDescent="0.2">
      <c r="B252" s="2"/>
      <c r="C252" s="27"/>
      <c r="D252" s="27"/>
      <c r="E252" s="27"/>
      <c r="F252" s="27"/>
      <c r="G252" s="2"/>
      <c r="H252" s="2"/>
      <c r="I252" s="2"/>
      <c r="J252" s="2"/>
      <c r="K252" s="2"/>
      <c r="L252" s="2"/>
      <c r="M252" s="2"/>
      <c r="N252" s="2"/>
    </row>
    <row r="253" spans="2:14" ht="15.75" customHeight="1" x14ac:dyDescent="0.2">
      <c r="B253" s="2"/>
      <c r="C253" s="27"/>
      <c r="D253" s="27"/>
      <c r="E253" s="27"/>
      <c r="F253" s="27"/>
      <c r="G253" s="2"/>
      <c r="H253" s="2"/>
      <c r="I253" s="2"/>
      <c r="J253" s="2"/>
      <c r="K253" s="2"/>
      <c r="L253" s="2"/>
      <c r="M253" s="2"/>
      <c r="N253" s="2"/>
    </row>
    <row r="254" spans="2:14" ht="15.75" customHeight="1" x14ac:dyDescent="0.2">
      <c r="B254" s="2"/>
      <c r="C254" s="27"/>
      <c r="D254" s="27"/>
      <c r="E254" s="27"/>
      <c r="F254" s="27"/>
      <c r="G254" s="2"/>
      <c r="H254" s="2"/>
      <c r="I254" s="2"/>
      <c r="J254" s="2"/>
      <c r="K254" s="2"/>
      <c r="L254" s="2"/>
      <c r="M254" s="2"/>
      <c r="N254" s="2"/>
    </row>
    <row r="255" spans="2:14" ht="15.75" customHeight="1" x14ac:dyDescent="0.2">
      <c r="B255" s="2"/>
      <c r="C255" s="27"/>
      <c r="D255" s="27"/>
      <c r="E255" s="27"/>
      <c r="F255" s="27"/>
      <c r="G255" s="2"/>
      <c r="H255" s="2"/>
      <c r="I255" s="2"/>
      <c r="J255" s="2"/>
      <c r="K255" s="2"/>
      <c r="L255" s="2"/>
      <c r="M255" s="2"/>
      <c r="N255" s="2"/>
    </row>
    <row r="256" spans="2:14" ht="15.75" customHeight="1" x14ac:dyDescent="0.2">
      <c r="B256" s="2"/>
      <c r="C256" s="27"/>
      <c r="D256" s="27"/>
      <c r="E256" s="27"/>
      <c r="F256" s="27"/>
      <c r="G256" s="2"/>
      <c r="H256" s="2"/>
      <c r="I256" s="2"/>
      <c r="J256" s="2"/>
      <c r="K256" s="2"/>
      <c r="L256" s="2"/>
      <c r="M256" s="2"/>
      <c r="N256" s="2"/>
    </row>
    <row r="257" spans="2:14" ht="15.75" customHeight="1" x14ac:dyDescent="0.2">
      <c r="B257" s="2"/>
      <c r="C257" s="27"/>
      <c r="D257" s="27"/>
      <c r="E257" s="27"/>
      <c r="F257" s="27"/>
      <c r="G257" s="2"/>
      <c r="H257" s="2"/>
      <c r="I257" s="2"/>
      <c r="J257" s="2"/>
      <c r="K257" s="2"/>
      <c r="L257" s="2"/>
      <c r="M257" s="2"/>
      <c r="N257" s="2"/>
    </row>
    <row r="258" spans="2:14" ht="15.75" customHeight="1" x14ac:dyDescent="0.2">
      <c r="B258" s="2"/>
      <c r="C258" s="27"/>
      <c r="D258" s="27"/>
      <c r="E258" s="27"/>
      <c r="F258" s="27"/>
      <c r="G258" s="2"/>
      <c r="H258" s="2"/>
      <c r="I258" s="2"/>
      <c r="J258" s="2"/>
      <c r="K258" s="2"/>
      <c r="L258" s="2"/>
      <c r="M258" s="2"/>
      <c r="N258" s="2"/>
    </row>
    <row r="259" spans="2:14" ht="15.75" customHeight="1" x14ac:dyDescent="0.2">
      <c r="B259" s="2"/>
      <c r="C259" s="27"/>
      <c r="D259" s="27"/>
      <c r="E259" s="27"/>
      <c r="F259" s="27"/>
      <c r="G259" s="2"/>
      <c r="H259" s="2"/>
      <c r="I259" s="2"/>
      <c r="J259" s="2"/>
      <c r="K259" s="2"/>
      <c r="L259" s="2"/>
      <c r="M259" s="2"/>
      <c r="N259" s="2"/>
    </row>
    <row r="260" spans="2:14" ht="15.75" customHeight="1" x14ac:dyDescent="0.2">
      <c r="B260" s="2"/>
      <c r="C260" s="27"/>
      <c r="D260" s="27"/>
      <c r="E260" s="27"/>
      <c r="F260" s="27"/>
      <c r="G260" s="2"/>
      <c r="H260" s="2"/>
      <c r="I260" s="2"/>
      <c r="J260" s="2"/>
      <c r="K260" s="2"/>
      <c r="L260" s="2"/>
      <c r="M260" s="2"/>
      <c r="N260" s="2"/>
    </row>
    <row r="261" spans="2:14" ht="15.75" customHeight="1" x14ac:dyDescent="0.2">
      <c r="B261" s="2"/>
      <c r="C261" s="27"/>
      <c r="D261" s="27"/>
      <c r="E261" s="27"/>
      <c r="F261" s="27"/>
      <c r="G261" s="2"/>
      <c r="H261" s="2"/>
      <c r="I261" s="2"/>
      <c r="J261" s="2"/>
      <c r="K261" s="2"/>
      <c r="L261" s="2"/>
      <c r="M261" s="2"/>
      <c r="N261" s="2"/>
    </row>
    <row r="262" spans="2:14" ht="15.75" customHeight="1" x14ac:dyDescent="0.2">
      <c r="B262" s="2"/>
      <c r="C262" s="27"/>
      <c r="D262" s="27"/>
      <c r="E262" s="27"/>
      <c r="F262" s="27"/>
      <c r="G262" s="2"/>
      <c r="H262" s="2"/>
      <c r="I262" s="2"/>
      <c r="J262" s="2"/>
      <c r="K262" s="2"/>
      <c r="L262" s="2"/>
      <c r="M262" s="2"/>
      <c r="N262" s="2"/>
    </row>
    <row r="263" spans="2:14" ht="15.75" customHeight="1" x14ac:dyDescent="0.2">
      <c r="B263" s="2"/>
      <c r="C263" s="27"/>
      <c r="D263" s="27"/>
      <c r="E263" s="27"/>
      <c r="F263" s="27"/>
      <c r="G263" s="2"/>
      <c r="H263" s="2"/>
      <c r="I263" s="2"/>
      <c r="J263" s="2"/>
      <c r="K263" s="2"/>
      <c r="L263" s="2"/>
      <c r="M263" s="2"/>
      <c r="N263" s="2"/>
    </row>
    <row r="264" spans="2:14" ht="15.75" customHeight="1" x14ac:dyDescent="0.2">
      <c r="B264" s="2"/>
      <c r="C264" s="27"/>
      <c r="D264" s="27"/>
      <c r="E264" s="27"/>
      <c r="F264" s="27"/>
      <c r="G264" s="2"/>
      <c r="H264" s="2"/>
      <c r="I264" s="2"/>
      <c r="J264" s="2"/>
      <c r="K264" s="2"/>
      <c r="L264" s="2"/>
      <c r="M264" s="2"/>
      <c r="N264" s="2"/>
    </row>
    <row r="265" spans="2:14" ht="15.75" customHeight="1" x14ac:dyDescent="0.2">
      <c r="B265" s="2"/>
      <c r="C265" s="27"/>
      <c r="D265" s="27"/>
      <c r="E265" s="27"/>
      <c r="F265" s="27"/>
      <c r="G265" s="2"/>
      <c r="H265" s="2"/>
      <c r="I265" s="2"/>
      <c r="J265" s="2"/>
      <c r="K265" s="2"/>
      <c r="L265" s="2"/>
      <c r="M265" s="2"/>
      <c r="N265" s="2"/>
    </row>
    <row r="266" spans="2:14" ht="15.75" customHeight="1" x14ac:dyDescent="0.2">
      <c r="B266" s="2"/>
      <c r="C266" s="27"/>
      <c r="D266" s="27"/>
      <c r="E266" s="27"/>
      <c r="F266" s="27"/>
      <c r="G266" s="2"/>
      <c r="H266" s="2"/>
      <c r="I266" s="2"/>
      <c r="J266" s="2"/>
      <c r="K266" s="2"/>
      <c r="L266" s="2"/>
      <c r="M266" s="2"/>
      <c r="N266" s="2"/>
    </row>
    <row r="267" spans="2:14" ht="15.75" customHeight="1" x14ac:dyDescent="0.2">
      <c r="B267" s="2"/>
      <c r="C267" s="27"/>
      <c r="D267" s="27"/>
      <c r="E267" s="27"/>
      <c r="F267" s="27"/>
      <c r="G267" s="2"/>
      <c r="H267" s="2"/>
      <c r="I267" s="2"/>
      <c r="J267" s="2"/>
      <c r="K267" s="2"/>
      <c r="L267" s="2"/>
      <c r="M267" s="2"/>
      <c r="N267" s="2"/>
    </row>
    <row r="268" spans="2:14" ht="15.75" customHeight="1" x14ac:dyDescent="0.2">
      <c r="B268" s="2"/>
      <c r="C268" s="27"/>
      <c r="D268" s="27"/>
      <c r="E268" s="27"/>
      <c r="F268" s="27"/>
      <c r="G268" s="2"/>
      <c r="H268" s="2"/>
      <c r="I268" s="2"/>
      <c r="J268" s="2"/>
      <c r="K268" s="2"/>
      <c r="L268" s="2"/>
      <c r="M268" s="2"/>
      <c r="N268" s="2"/>
    </row>
    <row r="269" spans="2:14" ht="15.75" customHeight="1" x14ac:dyDescent="0.2">
      <c r="B269" s="2"/>
      <c r="C269" s="27"/>
      <c r="D269" s="27"/>
      <c r="E269" s="27"/>
      <c r="F269" s="27"/>
      <c r="G269" s="2"/>
      <c r="H269" s="2"/>
      <c r="I269" s="2"/>
      <c r="J269" s="2"/>
      <c r="K269" s="2"/>
      <c r="L269" s="2"/>
      <c r="M269" s="2"/>
      <c r="N269" s="2"/>
    </row>
    <row r="270" spans="2:14" ht="15.75" customHeight="1" x14ac:dyDescent="0.2">
      <c r="B270" s="2"/>
      <c r="C270" s="27"/>
      <c r="D270" s="27"/>
      <c r="E270" s="27"/>
      <c r="F270" s="27"/>
      <c r="G270" s="2"/>
      <c r="H270" s="2"/>
      <c r="I270" s="2"/>
      <c r="J270" s="2"/>
      <c r="K270" s="2"/>
      <c r="L270" s="2"/>
      <c r="M270" s="2"/>
      <c r="N270" s="2"/>
    </row>
    <row r="271" spans="2:14" ht="15.75" customHeight="1" x14ac:dyDescent="0.2">
      <c r="B271" s="2"/>
      <c r="C271" s="27"/>
      <c r="D271" s="27"/>
      <c r="E271" s="27"/>
      <c r="F271" s="27"/>
      <c r="G271" s="2"/>
      <c r="H271" s="2"/>
      <c r="I271" s="2"/>
      <c r="J271" s="2"/>
      <c r="K271" s="2"/>
      <c r="L271" s="2"/>
      <c r="M271" s="2"/>
      <c r="N271" s="2"/>
    </row>
    <row r="272" spans="2:14" ht="15.75" customHeight="1" x14ac:dyDescent="0.2">
      <c r="B272" s="2"/>
      <c r="C272" s="27"/>
      <c r="D272" s="27"/>
      <c r="E272" s="27"/>
      <c r="F272" s="27"/>
      <c r="G272" s="2"/>
      <c r="H272" s="2"/>
      <c r="I272" s="2"/>
      <c r="J272" s="2"/>
      <c r="K272" s="2"/>
      <c r="L272" s="2"/>
      <c r="M272" s="2"/>
      <c r="N272" s="2"/>
    </row>
    <row r="273" spans="2:14" ht="15.75" customHeight="1" x14ac:dyDescent="0.2">
      <c r="B273" s="2"/>
      <c r="C273" s="27"/>
      <c r="D273" s="27"/>
      <c r="E273" s="27"/>
      <c r="F273" s="27"/>
      <c r="G273" s="2"/>
      <c r="H273" s="2"/>
      <c r="I273" s="2"/>
      <c r="J273" s="2"/>
      <c r="K273" s="2"/>
      <c r="L273" s="2"/>
      <c r="M273" s="2"/>
      <c r="N273" s="2"/>
    </row>
    <row r="274" spans="2:14" ht="15.75" customHeight="1" x14ac:dyDescent="0.2">
      <c r="B274" s="2"/>
      <c r="C274" s="27"/>
      <c r="D274" s="27"/>
      <c r="E274" s="27"/>
      <c r="F274" s="27"/>
      <c r="G274" s="2"/>
      <c r="H274" s="2"/>
      <c r="I274" s="2"/>
      <c r="J274" s="2"/>
      <c r="K274" s="2"/>
      <c r="L274" s="2"/>
      <c r="M274" s="2"/>
      <c r="N274" s="2"/>
    </row>
    <row r="275" spans="2:14" ht="15.75" customHeight="1" x14ac:dyDescent="0.2">
      <c r="B275" s="2"/>
      <c r="C275" s="27"/>
      <c r="D275" s="27"/>
      <c r="E275" s="27"/>
      <c r="F275" s="27"/>
      <c r="G275" s="2"/>
      <c r="H275" s="2"/>
      <c r="I275" s="2"/>
      <c r="J275" s="2"/>
      <c r="K275" s="2"/>
      <c r="L275" s="2"/>
      <c r="M275" s="2"/>
      <c r="N275" s="2"/>
    </row>
    <row r="276" spans="2:14" ht="15.75" customHeight="1" x14ac:dyDescent="0.2">
      <c r="B276" s="2"/>
      <c r="C276" s="27"/>
      <c r="D276" s="27"/>
      <c r="E276" s="27"/>
      <c r="F276" s="27"/>
      <c r="G276" s="2"/>
      <c r="H276" s="2"/>
      <c r="I276" s="2"/>
      <c r="J276" s="2"/>
      <c r="K276" s="2"/>
      <c r="L276" s="2"/>
      <c r="M276" s="2"/>
      <c r="N276" s="2"/>
    </row>
    <row r="277" spans="2:14" ht="15.75" customHeight="1" x14ac:dyDescent="0.2">
      <c r="B277" s="2"/>
      <c r="C277" s="27"/>
      <c r="D277" s="27"/>
      <c r="E277" s="27"/>
      <c r="F277" s="27"/>
      <c r="G277" s="2"/>
      <c r="H277" s="2"/>
      <c r="I277" s="2"/>
      <c r="J277" s="2"/>
      <c r="K277" s="2"/>
      <c r="L277" s="2"/>
      <c r="M277" s="2"/>
      <c r="N277" s="2"/>
    </row>
    <row r="278" spans="2:14" ht="15.75" customHeight="1" x14ac:dyDescent="0.2">
      <c r="B278" s="2"/>
      <c r="C278" s="27"/>
      <c r="D278" s="27"/>
      <c r="E278" s="27"/>
      <c r="F278" s="27"/>
      <c r="G278" s="2"/>
      <c r="H278" s="2"/>
      <c r="I278" s="2"/>
      <c r="J278" s="2"/>
      <c r="K278" s="2"/>
      <c r="L278" s="2"/>
      <c r="M278" s="2"/>
      <c r="N278" s="2"/>
    </row>
    <row r="279" spans="2:14" ht="15.75" customHeight="1" x14ac:dyDescent="0.2">
      <c r="B279" s="2"/>
      <c r="C279" s="27"/>
      <c r="D279" s="27"/>
      <c r="E279" s="27"/>
      <c r="F279" s="27"/>
      <c r="G279" s="2"/>
      <c r="H279" s="2"/>
      <c r="I279" s="2"/>
      <c r="J279" s="2"/>
      <c r="K279" s="2"/>
      <c r="L279" s="2"/>
      <c r="M279" s="2"/>
      <c r="N279" s="2"/>
    </row>
    <row r="280" spans="2:14" ht="15.75" customHeight="1" x14ac:dyDescent="0.2">
      <c r="B280" s="2"/>
      <c r="C280" s="27"/>
      <c r="D280" s="27"/>
      <c r="E280" s="27"/>
      <c r="F280" s="27"/>
      <c r="G280" s="2"/>
      <c r="H280" s="2"/>
      <c r="I280" s="2"/>
      <c r="J280" s="2"/>
      <c r="K280" s="2"/>
      <c r="L280" s="2"/>
      <c r="M280" s="2"/>
      <c r="N280" s="2"/>
    </row>
    <row r="281" spans="2:14" ht="15.75" customHeight="1" x14ac:dyDescent="0.2">
      <c r="B281" s="2"/>
      <c r="C281" s="27"/>
      <c r="D281" s="27"/>
      <c r="E281" s="27"/>
      <c r="F281" s="27"/>
      <c r="G281" s="2"/>
      <c r="H281" s="2"/>
      <c r="I281" s="2"/>
      <c r="J281" s="2"/>
      <c r="K281" s="2"/>
      <c r="L281" s="2"/>
      <c r="M281" s="2"/>
      <c r="N281" s="2"/>
    </row>
    <row r="282" spans="2:14" ht="15.75" customHeight="1" x14ac:dyDescent="0.2">
      <c r="B282" s="2"/>
      <c r="C282" s="27"/>
      <c r="D282" s="27"/>
      <c r="E282" s="27"/>
      <c r="F282" s="27"/>
      <c r="G282" s="2"/>
      <c r="H282" s="2"/>
      <c r="I282" s="2"/>
      <c r="J282" s="2"/>
      <c r="K282" s="2"/>
      <c r="L282" s="2"/>
      <c r="M282" s="2"/>
      <c r="N282" s="2"/>
    </row>
    <row r="283" spans="2:14" ht="15.75" customHeight="1" x14ac:dyDescent="0.2">
      <c r="B283" s="2"/>
      <c r="C283" s="27"/>
      <c r="D283" s="27"/>
      <c r="E283" s="27"/>
      <c r="F283" s="27"/>
      <c r="G283" s="2"/>
      <c r="H283" s="2"/>
      <c r="I283" s="2"/>
      <c r="J283" s="2"/>
      <c r="K283" s="2"/>
      <c r="L283" s="2"/>
      <c r="M283" s="2"/>
      <c r="N283" s="2"/>
    </row>
    <row r="284" spans="2:14" ht="15.75" customHeight="1" x14ac:dyDescent="0.2">
      <c r="B284" s="2"/>
      <c r="C284" s="27"/>
      <c r="D284" s="27"/>
      <c r="E284" s="27"/>
      <c r="F284" s="27"/>
      <c r="G284" s="2"/>
      <c r="H284" s="2"/>
      <c r="I284" s="2"/>
      <c r="J284" s="2"/>
      <c r="K284" s="2"/>
      <c r="L284" s="2"/>
      <c r="M284" s="2"/>
      <c r="N284" s="2"/>
    </row>
    <row r="285" spans="2:14" ht="15.75" customHeight="1" x14ac:dyDescent="0.2">
      <c r="B285" s="2"/>
      <c r="C285" s="27"/>
      <c r="D285" s="27"/>
      <c r="E285" s="27"/>
      <c r="F285" s="27"/>
      <c r="G285" s="2"/>
      <c r="H285" s="2"/>
      <c r="I285" s="2"/>
      <c r="J285" s="2"/>
      <c r="K285" s="2"/>
      <c r="L285" s="2"/>
      <c r="M285" s="2"/>
      <c r="N285" s="2"/>
    </row>
    <row r="286" spans="2:14" ht="15.75" customHeight="1" x14ac:dyDescent="0.2">
      <c r="B286" s="2"/>
      <c r="C286" s="27"/>
      <c r="D286" s="27"/>
      <c r="E286" s="27"/>
      <c r="F286" s="27"/>
      <c r="G286" s="2"/>
      <c r="H286" s="2"/>
      <c r="I286" s="2"/>
      <c r="J286" s="2"/>
      <c r="K286" s="2"/>
      <c r="L286" s="2"/>
      <c r="M286" s="2"/>
      <c r="N286" s="2"/>
    </row>
    <row r="287" spans="2:14" ht="15.75" customHeight="1" x14ac:dyDescent="0.2">
      <c r="B287" s="2"/>
      <c r="C287" s="27"/>
      <c r="D287" s="27"/>
      <c r="E287" s="27"/>
      <c r="F287" s="27"/>
      <c r="G287" s="2"/>
      <c r="H287" s="2"/>
      <c r="I287" s="2"/>
      <c r="J287" s="2"/>
      <c r="K287" s="2"/>
      <c r="L287" s="2"/>
      <c r="M287" s="2"/>
      <c r="N287" s="2"/>
    </row>
    <row r="288" spans="2:14" ht="15.75" customHeight="1" x14ac:dyDescent="0.2">
      <c r="B288" s="2"/>
      <c r="C288" s="27"/>
      <c r="D288" s="27"/>
      <c r="E288" s="27"/>
      <c r="F288" s="27"/>
      <c r="G288" s="2"/>
      <c r="H288" s="2"/>
      <c r="I288" s="2"/>
      <c r="J288" s="2"/>
      <c r="K288" s="2"/>
      <c r="L288" s="2"/>
      <c r="M288" s="2"/>
      <c r="N288" s="2"/>
    </row>
    <row r="289" spans="2:14" ht="15.75" customHeight="1" x14ac:dyDescent="0.2">
      <c r="B289" s="2"/>
      <c r="C289" s="27"/>
      <c r="D289" s="27"/>
      <c r="E289" s="27"/>
      <c r="F289" s="27"/>
      <c r="G289" s="2"/>
      <c r="H289" s="2"/>
      <c r="I289" s="2"/>
      <c r="J289" s="2"/>
      <c r="K289" s="2"/>
      <c r="L289" s="2"/>
      <c r="M289" s="2"/>
      <c r="N289" s="2"/>
    </row>
    <row r="290" spans="2:14" ht="15.75" customHeight="1" x14ac:dyDescent="0.2">
      <c r="B290" s="2"/>
      <c r="C290" s="27"/>
      <c r="D290" s="27"/>
      <c r="E290" s="27"/>
      <c r="F290" s="27"/>
      <c r="G290" s="2"/>
      <c r="H290" s="2"/>
      <c r="I290" s="2"/>
      <c r="J290" s="2"/>
      <c r="K290" s="2"/>
      <c r="L290" s="2"/>
      <c r="M290" s="2"/>
      <c r="N290" s="2"/>
    </row>
    <row r="291" spans="2:14" ht="15.75" customHeight="1" x14ac:dyDescent="0.2">
      <c r="B291" s="2"/>
      <c r="C291" s="27"/>
      <c r="D291" s="27"/>
      <c r="E291" s="27"/>
      <c r="F291" s="27"/>
      <c r="G291" s="2"/>
      <c r="H291" s="2"/>
      <c r="I291" s="2"/>
      <c r="J291" s="2"/>
      <c r="K291" s="2"/>
      <c r="L291" s="2"/>
      <c r="M291" s="2"/>
      <c r="N291" s="2"/>
    </row>
    <row r="292" spans="2:14" ht="15.75" customHeight="1" x14ac:dyDescent="0.2">
      <c r="B292" s="2"/>
      <c r="C292" s="27"/>
      <c r="D292" s="27"/>
      <c r="E292" s="27"/>
      <c r="F292" s="27"/>
      <c r="G292" s="2"/>
      <c r="H292" s="2"/>
      <c r="I292" s="2"/>
      <c r="J292" s="2"/>
      <c r="K292" s="2"/>
      <c r="L292" s="2"/>
      <c r="M292" s="2"/>
      <c r="N292" s="2"/>
    </row>
    <row r="293" spans="2:14" ht="15.75" customHeight="1" x14ac:dyDescent="0.2">
      <c r="B293" s="2"/>
      <c r="C293" s="27"/>
      <c r="D293" s="27"/>
      <c r="E293" s="27"/>
      <c r="F293" s="27"/>
      <c r="G293" s="2"/>
      <c r="H293" s="2"/>
      <c r="I293" s="2"/>
      <c r="J293" s="2"/>
      <c r="K293" s="2"/>
      <c r="L293" s="2"/>
      <c r="M293" s="2"/>
      <c r="N293" s="2"/>
    </row>
    <row r="294" spans="2:14" ht="15.75" customHeight="1" x14ac:dyDescent="0.2">
      <c r="B294" s="2"/>
      <c r="C294" s="27"/>
      <c r="D294" s="27"/>
      <c r="E294" s="27"/>
      <c r="F294" s="27"/>
      <c r="G294" s="2"/>
      <c r="H294" s="2"/>
      <c r="I294" s="2"/>
      <c r="J294" s="2"/>
      <c r="K294" s="2"/>
      <c r="L294" s="2"/>
      <c r="M294" s="2"/>
      <c r="N294" s="2"/>
    </row>
    <row r="295" spans="2:14" ht="15.75" customHeight="1" x14ac:dyDescent="0.2">
      <c r="B295" s="2"/>
      <c r="C295" s="27"/>
      <c r="D295" s="27"/>
      <c r="E295" s="27"/>
      <c r="F295" s="27"/>
      <c r="G295" s="2"/>
      <c r="H295" s="2"/>
      <c r="I295" s="2"/>
      <c r="J295" s="2"/>
      <c r="K295" s="2"/>
      <c r="L295" s="2"/>
      <c r="M295" s="2"/>
      <c r="N295" s="2"/>
    </row>
    <row r="296" spans="2:14" ht="15.75" customHeight="1" x14ac:dyDescent="0.2">
      <c r="B296" s="2"/>
      <c r="C296" s="27"/>
      <c r="D296" s="27"/>
      <c r="E296" s="27"/>
      <c r="F296" s="27"/>
      <c r="G296" s="2"/>
      <c r="H296" s="2"/>
      <c r="I296" s="2"/>
      <c r="J296" s="2"/>
      <c r="K296" s="2"/>
      <c r="L296" s="2"/>
      <c r="M296" s="2"/>
      <c r="N296" s="2"/>
    </row>
    <row r="297" spans="2:14" ht="15.75" customHeight="1" x14ac:dyDescent="0.2">
      <c r="B297" s="2"/>
      <c r="C297" s="27"/>
      <c r="D297" s="27"/>
      <c r="E297" s="27"/>
      <c r="F297" s="27"/>
      <c r="G297" s="2"/>
      <c r="H297" s="2"/>
      <c r="I297" s="2"/>
      <c r="J297" s="2"/>
      <c r="K297" s="2"/>
      <c r="L297" s="2"/>
      <c r="M297" s="2"/>
      <c r="N297" s="2"/>
    </row>
    <row r="298" spans="2:14" ht="15.75" customHeight="1" x14ac:dyDescent="0.2">
      <c r="B298" s="2"/>
      <c r="C298" s="27"/>
      <c r="D298" s="27"/>
      <c r="E298" s="27"/>
      <c r="F298" s="27"/>
      <c r="G298" s="2"/>
      <c r="H298" s="2"/>
      <c r="I298" s="2"/>
      <c r="J298" s="2"/>
      <c r="K298" s="2"/>
      <c r="L298" s="2"/>
      <c r="M298" s="2"/>
      <c r="N298" s="2"/>
    </row>
    <row r="299" spans="2:14" ht="15.75" customHeight="1" x14ac:dyDescent="0.2">
      <c r="B299" s="2"/>
      <c r="C299" s="27"/>
      <c r="D299" s="27"/>
      <c r="E299" s="27"/>
      <c r="F299" s="27"/>
      <c r="G299" s="2"/>
      <c r="H299" s="2"/>
      <c r="I299" s="2"/>
      <c r="J299" s="2"/>
      <c r="K299" s="2"/>
      <c r="L299" s="2"/>
      <c r="M299" s="2"/>
      <c r="N299" s="2"/>
    </row>
    <row r="300" spans="2:14" ht="15.75" customHeight="1" x14ac:dyDescent="0.2">
      <c r="B300" s="2"/>
      <c r="C300" s="27"/>
      <c r="D300" s="27"/>
      <c r="E300" s="27"/>
      <c r="F300" s="27"/>
      <c r="G300" s="2"/>
      <c r="H300" s="2"/>
      <c r="I300" s="2"/>
      <c r="J300" s="2"/>
      <c r="K300" s="2"/>
      <c r="L300" s="2"/>
      <c r="M300" s="2"/>
      <c r="N300" s="2"/>
    </row>
    <row r="301" spans="2:14" ht="15.75" customHeight="1" x14ac:dyDescent="0.2">
      <c r="B301" s="2"/>
      <c r="C301" s="27"/>
      <c r="D301" s="27"/>
      <c r="E301" s="27"/>
      <c r="F301" s="27"/>
      <c r="G301" s="2"/>
      <c r="H301" s="2"/>
      <c r="I301" s="2"/>
      <c r="J301" s="2"/>
      <c r="K301" s="2"/>
      <c r="L301" s="2"/>
      <c r="M301" s="2"/>
      <c r="N301" s="2"/>
    </row>
    <row r="302" spans="2:14" ht="15.75" customHeight="1" x14ac:dyDescent="0.2">
      <c r="B302" s="2"/>
      <c r="C302" s="27"/>
      <c r="D302" s="27"/>
      <c r="E302" s="27"/>
      <c r="F302" s="27"/>
      <c r="G302" s="2"/>
      <c r="H302" s="2"/>
      <c r="I302" s="2"/>
      <c r="J302" s="2"/>
      <c r="K302" s="2"/>
      <c r="L302" s="2"/>
      <c r="M302" s="2"/>
      <c r="N302" s="2"/>
    </row>
    <row r="303" spans="2:14" ht="15.75" customHeight="1" x14ac:dyDescent="0.2">
      <c r="B303" s="2"/>
      <c r="C303" s="27"/>
      <c r="D303" s="27"/>
      <c r="E303" s="27"/>
      <c r="F303" s="27"/>
      <c r="G303" s="2"/>
      <c r="H303" s="2"/>
      <c r="I303" s="2"/>
      <c r="J303" s="2"/>
      <c r="K303" s="2"/>
      <c r="L303" s="2"/>
      <c r="M303" s="2"/>
      <c r="N303" s="2"/>
    </row>
    <row r="304" spans="2:14" ht="15.75" customHeight="1" x14ac:dyDescent="0.2">
      <c r="B304" s="2"/>
      <c r="C304" s="27"/>
      <c r="D304" s="27"/>
      <c r="E304" s="27"/>
      <c r="F304" s="27"/>
      <c r="G304" s="2"/>
      <c r="H304" s="2"/>
      <c r="I304" s="2"/>
      <c r="J304" s="2"/>
      <c r="K304" s="2"/>
      <c r="L304" s="2"/>
      <c r="M304" s="2"/>
      <c r="N304" s="2"/>
    </row>
    <row r="305" spans="2:14" ht="15.75" customHeight="1" x14ac:dyDescent="0.2">
      <c r="B305" s="2"/>
      <c r="C305" s="27"/>
      <c r="D305" s="27"/>
      <c r="E305" s="27"/>
      <c r="F305" s="27"/>
      <c r="G305" s="2"/>
      <c r="H305" s="2"/>
      <c r="I305" s="2"/>
      <c r="J305" s="2"/>
      <c r="K305" s="2"/>
      <c r="L305" s="2"/>
      <c r="M305" s="2"/>
      <c r="N305" s="2"/>
    </row>
    <row r="306" spans="2:14" ht="15.75" customHeight="1" x14ac:dyDescent="0.2">
      <c r="B306" s="2"/>
      <c r="C306" s="27"/>
      <c r="D306" s="27"/>
      <c r="E306" s="27"/>
      <c r="F306" s="27"/>
      <c r="G306" s="2"/>
      <c r="H306" s="2"/>
      <c r="I306" s="2"/>
      <c r="J306" s="2"/>
      <c r="K306" s="2"/>
      <c r="L306" s="2"/>
      <c r="M306" s="2"/>
      <c r="N306" s="2"/>
    </row>
    <row r="307" spans="2:14" ht="15.75" customHeight="1" x14ac:dyDescent="0.2">
      <c r="B307" s="2"/>
      <c r="C307" s="27"/>
      <c r="D307" s="27"/>
      <c r="E307" s="27"/>
      <c r="F307" s="27"/>
      <c r="G307" s="2"/>
      <c r="H307" s="2"/>
      <c r="I307" s="2"/>
      <c r="J307" s="2"/>
      <c r="K307" s="2"/>
      <c r="L307" s="2"/>
      <c r="M307" s="2"/>
      <c r="N307" s="2"/>
    </row>
    <row r="308" spans="2:14" ht="15.75" customHeight="1" x14ac:dyDescent="0.2">
      <c r="B308" s="2"/>
      <c r="C308" s="27"/>
      <c r="D308" s="27"/>
      <c r="E308" s="27"/>
      <c r="F308" s="27"/>
      <c r="G308" s="2"/>
      <c r="H308" s="2"/>
      <c r="I308" s="2"/>
      <c r="J308" s="2"/>
      <c r="K308" s="2"/>
      <c r="L308" s="2"/>
      <c r="M308" s="2"/>
      <c r="N308" s="2"/>
    </row>
    <row r="309" spans="2:14" ht="15.75" customHeight="1" x14ac:dyDescent="0.2">
      <c r="B309" s="2"/>
      <c r="C309" s="27"/>
      <c r="D309" s="27"/>
      <c r="E309" s="27"/>
      <c r="F309" s="27"/>
      <c r="G309" s="2"/>
      <c r="H309" s="2"/>
      <c r="I309" s="2"/>
      <c r="J309" s="2"/>
      <c r="K309" s="2"/>
      <c r="L309" s="2"/>
      <c r="M309" s="2"/>
      <c r="N309" s="2"/>
    </row>
    <row r="310" spans="2:14" ht="15.75" customHeight="1" x14ac:dyDescent="0.2">
      <c r="B310" s="2"/>
      <c r="C310" s="27"/>
      <c r="D310" s="27"/>
      <c r="E310" s="27"/>
      <c r="F310" s="27"/>
      <c r="G310" s="2"/>
      <c r="H310" s="2"/>
      <c r="I310" s="2"/>
      <c r="J310" s="2"/>
      <c r="K310" s="2"/>
      <c r="L310" s="2"/>
      <c r="M310" s="2"/>
      <c r="N310" s="2"/>
    </row>
    <row r="311" spans="2:14" ht="15.75" customHeight="1" x14ac:dyDescent="0.2">
      <c r="B311" s="2"/>
      <c r="C311" s="27"/>
      <c r="D311" s="27"/>
      <c r="E311" s="27"/>
      <c r="F311" s="27"/>
      <c r="G311" s="2"/>
      <c r="H311" s="2"/>
      <c r="I311" s="2"/>
      <c r="J311" s="2"/>
      <c r="K311" s="2"/>
      <c r="L311" s="2"/>
      <c r="M311" s="2"/>
      <c r="N311" s="2"/>
    </row>
    <row r="312" spans="2:14" ht="15.75" customHeight="1" x14ac:dyDescent="0.2">
      <c r="B312" s="2"/>
      <c r="C312" s="27"/>
      <c r="D312" s="27"/>
      <c r="E312" s="27"/>
      <c r="F312" s="27"/>
      <c r="G312" s="2"/>
      <c r="H312" s="2"/>
      <c r="I312" s="2"/>
      <c r="J312" s="2"/>
      <c r="K312" s="2"/>
      <c r="L312" s="2"/>
      <c r="M312" s="2"/>
      <c r="N312" s="2"/>
    </row>
    <row r="313" spans="2:14" ht="15.75" customHeight="1" x14ac:dyDescent="0.2">
      <c r="B313" s="2"/>
      <c r="C313" s="27"/>
      <c r="D313" s="27"/>
      <c r="E313" s="27"/>
      <c r="F313" s="27"/>
      <c r="G313" s="2"/>
      <c r="H313" s="2"/>
      <c r="I313" s="2"/>
      <c r="J313" s="2"/>
      <c r="K313" s="2"/>
      <c r="L313" s="2"/>
      <c r="M313" s="2"/>
      <c r="N313" s="2"/>
    </row>
    <row r="314" spans="2:14" ht="15.75" customHeight="1" x14ac:dyDescent="0.2">
      <c r="B314" s="2"/>
      <c r="C314" s="27"/>
      <c r="D314" s="27"/>
      <c r="E314" s="27"/>
      <c r="F314" s="27"/>
      <c r="G314" s="2"/>
      <c r="H314" s="2"/>
      <c r="I314" s="2"/>
      <c r="J314" s="2"/>
      <c r="K314" s="2"/>
      <c r="L314" s="2"/>
      <c r="M314" s="2"/>
      <c r="N314" s="2"/>
    </row>
    <row r="315" spans="2:14" ht="15.75" customHeight="1" x14ac:dyDescent="0.2">
      <c r="B315" s="2"/>
      <c r="C315" s="27"/>
      <c r="D315" s="27"/>
      <c r="E315" s="27"/>
      <c r="F315" s="27"/>
      <c r="G315" s="2"/>
      <c r="H315" s="2"/>
      <c r="I315" s="2"/>
      <c r="J315" s="2"/>
      <c r="K315" s="2"/>
      <c r="L315" s="2"/>
      <c r="M315" s="2"/>
      <c r="N315" s="2"/>
    </row>
    <row r="316" spans="2:14" ht="15.75" customHeight="1" x14ac:dyDescent="0.2">
      <c r="B316" s="2"/>
      <c r="C316" s="27"/>
      <c r="D316" s="27"/>
      <c r="E316" s="27"/>
      <c r="F316" s="27"/>
      <c r="G316" s="2"/>
      <c r="H316" s="2"/>
      <c r="I316" s="2"/>
      <c r="J316" s="2"/>
      <c r="K316" s="2"/>
      <c r="L316" s="2"/>
      <c r="M316" s="2"/>
      <c r="N316" s="2"/>
    </row>
    <row r="317" spans="2:14" ht="15.75" customHeight="1" x14ac:dyDescent="0.2">
      <c r="B317" s="2"/>
      <c r="C317" s="27"/>
      <c r="D317" s="27"/>
      <c r="E317" s="27"/>
      <c r="F317" s="27"/>
      <c r="G317" s="2"/>
      <c r="H317" s="2"/>
      <c r="I317" s="2"/>
      <c r="J317" s="2"/>
      <c r="K317" s="2"/>
      <c r="L317" s="2"/>
      <c r="M317" s="2"/>
      <c r="N317" s="2"/>
    </row>
    <row r="318" spans="2:14" ht="15.75" customHeight="1" x14ac:dyDescent="0.2">
      <c r="B318" s="2"/>
      <c r="C318" s="27"/>
      <c r="D318" s="27"/>
      <c r="E318" s="27"/>
      <c r="F318" s="27"/>
      <c r="G318" s="2"/>
      <c r="H318" s="2"/>
      <c r="I318" s="2"/>
      <c r="J318" s="2"/>
      <c r="K318" s="2"/>
      <c r="L318" s="2"/>
      <c r="M318" s="2"/>
      <c r="N318" s="2"/>
    </row>
    <row r="319" spans="2:14" ht="15.75" customHeight="1" x14ac:dyDescent="0.2">
      <c r="B319" s="2"/>
      <c r="C319" s="27"/>
      <c r="D319" s="27"/>
      <c r="E319" s="27"/>
      <c r="F319" s="27"/>
      <c r="G319" s="2"/>
      <c r="H319" s="2"/>
      <c r="I319" s="2"/>
      <c r="J319" s="2"/>
      <c r="K319" s="2"/>
      <c r="L319" s="2"/>
      <c r="M319" s="2"/>
      <c r="N319" s="2"/>
    </row>
    <row r="320" spans="2:14" ht="15.75" customHeight="1" x14ac:dyDescent="0.2">
      <c r="B320" s="2"/>
      <c r="C320" s="27"/>
      <c r="D320" s="27"/>
      <c r="E320" s="27"/>
      <c r="F320" s="27"/>
      <c r="G320" s="2"/>
      <c r="H320" s="2"/>
      <c r="I320" s="2"/>
      <c r="J320" s="2"/>
      <c r="K320" s="2"/>
      <c r="L320" s="2"/>
      <c r="M320" s="2"/>
      <c r="N320" s="2"/>
    </row>
    <row r="321" spans="2:14" ht="15.75" customHeight="1" x14ac:dyDescent="0.2">
      <c r="B321" s="2"/>
      <c r="C321" s="27"/>
      <c r="D321" s="27"/>
      <c r="E321" s="27"/>
      <c r="F321" s="27"/>
      <c r="G321" s="2"/>
      <c r="H321" s="2"/>
      <c r="I321" s="2"/>
      <c r="J321" s="2"/>
      <c r="K321" s="2"/>
      <c r="L321" s="2"/>
      <c r="M321" s="2"/>
      <c r="N321" s="2"/>
    </row>
    <row r="322" spans="2:14" ht="15.75" customHeight="1" x14ac:dyDescent="0.2">
      <c r="B322" s="2"/>
      <c r="C322" s="27"/>
      <c r="D322" s="27"/>
      <c r="E322" s="27"/>
      <c r="F322" s="27"/>
      <c r="G322" s="2"/>
      <c r="H322" s="2"/>
      <c r="I322" s="2"/>
      <c r="J322" s="2"/>
      <c r="K322" s="2"/>
      <c r="L322" s="2"/>
      <c r="M322" s="2"/>
      <c r="N322" s="2"/>
    </row>
    <row r="323" spans="2:14" ht="15.75" customHeight="1" x14ac:dyDescent="0.2">
      <c r="B323" s="2"/>
      <c r="C323" s="27"/>
      <c r="D323" s="27"/>
      <c r="E323" s="27"/>
      <c r="F323" s="27"/>
      <c r="G323" s="2"/>
      <c r="H323" s="2"/>
      <c r="I323" s="2"/>
      <c r="J323" s="2"/>
      <c r="K323" s="2"/>
      <c r="L323" s="2"/>
      <c r="M323" s="2"/>
      <c r="N323" s="2"/>
    </row>
    <row r="324" spans="2:14" ht="15.75" customHeight="1" x14ac:dyDescent="0.2">
      <c r="B324" s="2"/>
      <c r="C324" s="27"/>
      <c r="D324" s="27"/>
      <c r="E324" s="27"/>
      <c r="F324" s="27"/>
      <c r="G324" s="2"/>
      <c r="H324" s="2"/>
      <c r="I324" s="2"/>
      <c r="J324" s="2"/>
      <c r="K324" s="2"/>
      <c r="L324" s="2"/>
      <c r="M324" s="2"/>
      <c r="N324" s="2"/>
    </row>
    <row r="325" spans="2:14" ht="15.75" customHeight="1" x14ac:dyDescent="0.2">
      <c r="B325" s="2"/>
      <c r="C325" s="27"/>
      <c r="D325" s="27"/>
      <c r="E325" s="27"/>
      <c r="F325" s="27"/>
      <c r="G325" s="2"/>
      <c r="H325" s="2"/>
      <c r="I325" s="2"/>
      <c r="J325" s="2"/>
      <c r="K325" s="2"/>
      <c r="L325" s="2"/>
      <c r="M325" s="2"/>
      <c r="N325" s="2"/>
    </row>
    <row r="326" spans="2:14" ht="15.75" customHeight="1" x14ac:dyDescent="0.2">
      <c r="B326" s="2"/>
      <c r="C326" s="27"/>
      <c r="D326" s="27"/>
      <c r="E326" s="27"/>
      <c r="F326" s="27"/>
      <c r="G326" s="2"/>
      <c r="H326" s="2"/>
      <c r="I326" s="2"/>
      <c r="J326" s="2"/>
      <c r="K326" s="2"/>
      <c r="L326" s="2"/>
      <c r="M326" s="2"/>
      <c r="N326" s="2"/>
    </row>
    <row r="327" spans="2:14" ht="15.75" customHeight="1" x14ac:dyDescent="0.2">
      <c r="B327" s="2"/>
      <c r="C327" s="27"/>
      <c r="D327" s="27"/>
      <c r="E327" s="27"/>
      <c r="F327" s="27"/>
      <c r="G327" s="2"/>
      <c r="H327" s="2"/>
      <c r="I327" s="2"/>
      <c r="J327" s="2"/>
      <c r="K327" s="2"/>
      <c r="L327" s="2"/>
      <c r="M327" s="2"/>
      <c r="N327" s="2"/>
    </row>
    <row r="328" spans="2:14" ht="15.75" customHeight="1" x14ac:dyDescent="0.2">
      <c r="B328" s="2"/>
      <c r="C328" s="27"/>
      <c r="D328" s="27"/>
      <c r="E328" s="27"/>
      <c r="F328" s="27"/>
      <c r="G328" s="2"/>
      <c r="H328" s="2"/>
      <c r="I328" s="2"/>
      <c r="J328" s="2"/>
      <c r="K328" s="2"/>
      <c r="L328" s="2"/>
      <c r="M328" s="2"/>
      <c r="N328" s="2"/>
    </row>
    <row r="329" spans="2:14" ht="15.75" customHeight="1" x14ac:dyDescent="0.2">
      <c r="B329" s="2"/>
      <c r="C329" s="27"/>
      <c r="D329" s="27"/>
      <c r="E329" s="27"/>
      <c r="F329" s="27"/>
      <c r="G329" s="2"/>
      <c r="H329" s="2"/>
      <c r="I329" s="2"/>
      <c r="J329" s="2"/>
      <c r="K329" s="2"/>
      <c r="L329" s="2"/>
      <c r="M329" s="2"/>
      <c r="N329" s="2"/>
    </row>
    <row r="330" spans="2:14" ht="15.75" customHeight="1" x14ac:dyDescent="0.2">
      <c r="B330" s="2"/>
      <c r="C330" s="27"/>
      <c r="D330" s="27"/>
      <c r="E330" s="27"/>
      <c r="F330" s="27"/>
      <c r="G330" s="2"/>
      <c r="H330" s="2"/>
      <c r="I330" s="2"/>
      <c r="J330" s="2"/>
      <c r="K330" s="2"/>
      <c r="L330" s="2"/>
      <c r="M330" s="2"/>
      <c r="N330" s="2"/>
    </row>
    <row r="331" spans="2:14" ht="15.75" customHeight="1" x14ac:dyDescent="0.2">
      <c r="B331" s="2"/>
      <c r="C331" s="27"/>
      <c r="D331" s="27"/>
      <c r="E331" s="27"/>
      <c r="F331" s="27"/>
      <c r="G331" s="2"/>
      <c r="H331" s="2"/>
      <c r="I331" s="2"/>
      <c r="J331" s="2"/>
      <c r="K331" s="2"/>
      <c r="L331" s="2"/>
      <c r="M331" s="2"/>
      <c r="N331" s="2"/>
    </row>
    <row r="332" spans="2:14" ht="15.75" customHeight="1" x14ac:dyDescent="0.2">
      <c r="B332" s="2"/>
      <c r="C332" s="27"/>
      <c r="D332" s="27"/>
      <c r="E332" s="27"/>
      <c r="F332" s="27"/>
      <c r="G332" s="2"/>
      <c r="H332" s="2"/>
      <c r="I332" s="2"/>
      <c r="J332" s="2"/>
      <c r="K332" s="2"/>
      <c r="L332" s="2"/>
      <c r="M332" s="2"/>
      <c r="N332" s="2"/>
    </row>
    <row r="333" spans="2:14" ht="15.75" customHeight="1" x14ac:dyDescent="0.2">
      <c r="B333" s="2"/>
      <c r="C333" s="27"/>
      <c r="D333" s="27"/>
      <c r="E333" s="27"/>
      <c r="F333" s="27"/>
      <c r="G333" s="2"/>
      <c r="H333" s="2"/>
      <c r="I333" s="2"/>
      <c r="J333" s="2"/>
      <c r="K333" s="2"/>
      <c r="L333" s="2"/>
      <c r="M333" s="2"/>
      <c r="N333" s="2"/>
    </row>
    <row r="334" spans="2:14" ht="15.75" customHeight="1" x14ac:dyDescent="0.2">
      <c r="B334" s="2"/>
      <c r="C334" s="27"/>
      <c r="D334" s="27"/>
      <c r="E334" s="27"/>
      <c r="F334" s="27"/>
      <c r="G334" s="2"/>
      <c r="H334" s="2"/>
      <c r="I334" s="2"/>
      <c r="J334" s="2"/>
      <c r="K334" s="2"/>
      <c r="L334" s="2"/>
      <c r="M334" s="2"/>
      <c r="N334" s="2"/>
    </row>
    <row r="335" spans="2:14" ht="15.75" customHeight="1" x14ac:dyDescent="0.2">
      <c r="B335" s="2"/>
      <c r="C335" s="27"/>
      <c r="D335" s="27"/>
      <c r="E335" s="27"/>
      <c r="F335" s="27"/>
      <c r="G335" s="2"/>
      <c r="H335" s="2"/>
      <c r="I335" s="2"/>
      <c r="J335" s="2"/>
      <c r="K335" s="2"/>
      <c r="L335" s="2"/>
      <c r="M335" s="2"/>
      <c r="N335" s="2"/>
    </row>
    <row r="336" spans="2:14" ht="15.75" customHeight="1" x14ac:dyDescent="0.2">
      <c r="B336" s="2"/>
      <c r="C336" s="27"/>
      <c r="D336" s="27"/>
      <c r="E336" s="27"/>
      <c r="F336" s="27"/>
      <c r="G336" s="2"/>
      <c r="H336" s="2"/>
      <c r="I336" s="2"/>
      <c r="J336" s="2"/>
      <c r="K336" s="2"/>
      <c r="L336" s="2"/>
      <c r="M336" s="2"/>
      <c r="N336" s="2"/>
    </row>
    <row r="337" spans="2:14" ht="15.75" customHeight="1" x14ac:dyDescent="0.2">
      <c r="B337" s="2"/>
      <c r="C337" s="27"/>
      <c r="D337" s="27"/>
      <c r="E337" s="27"/>
      <c r="F337" s="27"/>
      <c r="G337" s="2"/>
      <c r="H337" s="2"/>
      <c r="I337" s="2"/>
      <c r="J337" s="2"/>
      <c r="K337" s="2"/>
      <c r="L337" s="2"/>
      <c r="M337" s="2"/>
      <c r="N337" s="2"/>
    </row>
    <row r="338" spans="2:14" ht="15.75" customHeight="1" x14ac:dyDescent="0.2">
      <c r="B338" s="2"/>
      <c r="C338" s="27"/>
      <c r="D338" s="27"/>
      <c r="E338" s="27"/>
      <c r="F338" s="27"/>
      <c r="G338" s="2"/>
      <c r="H338" s="2"/>
      <c r="I338" s="2"/>
      <c r="J338" s="2"/>
      <c r="K338" s="2"/>
      <c r="L338" s="2"/>
      <c r="M338" s="2"/>
      <c r="N338" s="2"/>
    </row>
    <row r="339" spans="2:14" ht="15.75" customHeight="1" x14ac:dyDescent="0.2">
      <c r="B339" s="2"/>
      <c r="C339" s="27"/>
      <c r="D339" s="27"/>
      <c r="E339" s="27"/>
      <c r="F339" s="27"/>
      <c r="G339" s="2"/>
      <c r="H339" s="2"/>
      <c r="I339" s="2"/>
      <c r="J339" s="2"/>
      <c r="K339" s="2"/>
      <c r="L339" s="2"/>
      <c r="M339" s="2"/>
      <c r="N339" s="2"/>
    </row>
    <row r="340" spans="2:14" ht="15.75" customHeight="1" x14ac:dyDescent="0.2">
      <c r="B340" s="2"/>
      <c r="C340" s="27"/>
      <c r="D340" s="27"/>
      <c r="E340" s="27"/>
      <c r="F340" s="27"/>
      <c r="G340" s="2"/>
      <c r="H340" s="2"/>
      <c r="I340" s="2"/>
      <c r="J340" s="2"/>
      <c r="K340" s="2"/>
      <c r="L340" s="2"/>
      <c r="M340" s="2"/>
      <c r="N340" s="2"/>
    </row>
    <row r="341" spans="2:14" ht="15.75" customHeight="1" x14ac:dyDescent="0.2">
      <c r="B341" s="2"/>
      <c r="C341" s="27"/>
      <c r="D341" s="27"/>
      <c r="E341" s="27"/>
      <c r="F341" s="27"/>
      <c r="G341" s="2"/>
      <c r="H341" s="2"/>
      <c r="I341" s="2"/>
      <c r="J341" s="2"/>
      <c r="K341" s="2"/>
      <c r="L341" s="2"/>
      <c r="M341" s="2"/>
      <c r="N341" s="2"/>
    </row>
    <row r="342" spans="2:14" ht="15.75" customHeight="1" x14ac:dyDescent="0.2">
      <c r="B342" s="2"/>
      <c r="C342" s="27"/>
      <c r="D342" s="27"/>
      <c r="E342" s="27"/>
      <c r="F342" s="27"/>
      <c r="G342" s="2"/>
      <c r="H342" s="2"/>
      <c r="I342" s="2"/>
      <c r="J342" s="2"/>
      <c r="K342" s="2"/>
      <c r="L342" s="2"/>
      <c r="M342" s="2"/>
      <c r="N342" s="2"/>
    </row>
    <row r="343" spans="2:14" ht="15.75" customHeight="1" x14ac:dyDescent="0.2">
      <c r="B343" s="2"/>
      <c r="C343" s="27"/>
      <c r="D343" s="27"/>
      <c r="E343" s="27"/>
      <c r="F343" s="27"/>
      <c r="G343" s="2"/>
      <c r="H343" s="2"/>
      <c r="I343" s="2"/>
      <c r="J343" s="2"/>
      <c r="K343" s="2"/>
      <c r="L343" s="2"/>
      <c r="M343" s="2"/>
      <c r="N343" s="2"/>
    </row>
    <row r="344" spans="2:14" ht="15.75" customHeight="1" x14ac:dyDescent="0.2">
      <c r="B344" s="2"/>
      <c r="C344" s="27"/>
      <c r="D344" s="27"/>
      <c r="E344" s="27"/>
      <c r="F344" s="27"/>
      <c r="G344" s="2"/>
      <c r="H344" s="2"/>
      <c r="I344" s="2"/>
      <c r="J344" s="2"/>
      <c r="K344" s="2"/>
      <c r="L344" s="2"/>
      <c r="M344" s="2"/>
      <c r="N344" s="2"/>
    </row>
    <row r="345" spans="2:14" ht="15.75" customHeight="1" x14ac:dyDescent="0.2">
      <c r="B345" s="2"/>
      <c r="C345" s="27"/>
      <c r="D345" s="27"/>
      <c r="E345" s="27"/>
      <c r="F345" s="27"/>
      <c r="G345" s="2"/>
      <c r="H345" s="2"/>
      <c r="I345" s="2"/>
      <c r="J345" s="2"/>
      <c r="K345" s="2"/>
      <c r="L345" s="2"/>
      <c r="M345" s="2"/>
      <c r="N345" s="2"/>
    </row>
    <row r="346" spans="2:14" ht="15.75" customHeight="1" x14ac:dyDescent="0.2">
      <c r="B346" s="2"/>
      <c r="C346" s="27"/>
      <c r="D346" s="27"/>
      <c r="E346" s="27"/>
      <c r="F346" s="27"/>
      <c r="G346" s="2"/>
      <c r="H346" s="2"/>
      <c r="I346" s="2"/>
      <c r="J346" s="2"/>
      <c r="K346" s="2"/>
      <c r="L346" s="2"/>
      <c r="M346" s="2"/>
      <c r="N346" s="2"/>
    </row>
    <row r="347" spans="2:14" ht="15.75" customHeight="1" x14ac:dyDescent="0.2">
      <c r="B347" s="2"/>
      <c r="C347" s="27"/>
      <c r="D347" s="27"/>
      <c r="E347" s="27"/>
      <c r="F347" s="27"/>
      <c r="G347" s="2"/>
      <c r="H347" s="2"/>
      <c r="I347" s="2"/>
      <c r="J347" s="2"/>
      <c r="K347" s="2"/>
      <c r="L347" s="2"/>
      <c r="M347" s="2"/>
      <c r="N347" s="2"/>
    </row>
    <row r="348" spans="2:14" ht="15.75" customHeight="1" x14ac:dyDescent="0.2">
      <c r="B348" s="2"/>
      <c r="C348" s="27"/>
      <c r="D348" s="27"/>
      <c r="E348" s="27"/>
      <c r="F348" s="27"/>
      <c r="G348" s="2"/>
      <c r="H348" s="2"/>
      <c r="I348" s="2"/>
      <c r="J348" s="2"/>
      <c r="K348" s="2"/>
      <c r="L348" s="2"/>
      <c r="M348" s="2"/>
      <c r="N348" s="2"/>
    </row>
    <row r="349" spans="2:14" ht="15.75" customHeight="1" x14ac:dyDescent="0.2">
      <c r="B349" s="2"/>
      <c r="C349" s="27"/>
      <c r="D349" s="27"/>
      <c r="E349" s="27"/>
      <c r="F349" s="27"/>
      <c r="G349" s="2"/>
      <c r="H349" s="2"/>
      <c r="I349" s="2"/>
      <c r="J349" s="2"/>
      <c r="K349" s="2"/>
      <c r="L349" s="2"/>
      <c r="M349" s="2"/>
      <c r="N349" s="2"/>
    </row>
    <row r="350" spans="2:14" ht="15.75" customHeight="1" x14ac:dyDescent="0.2">
      <c r="B350" s="2"/>
      <c r="C350" s="27"/>
      <c r="D350" s="27"/>
      <c r="E350" s="27"/>
      <c r="F350" s="27"/>
      <c r="G350" s="2"/>
      <c r="H350" s="2"/>
      <c r="I350" s="2"/>
      <c r="J350" s="2"/>
      <c r="K350" s="2"/>
      <c r="L350" s="2"/>
      <c r="M350" s="2"/>
      <c r="N350" s="2"/>
    </row>
    <row r="351" spans="2:14" ht="15.75" customHeight="1" x14ac:dyDescent="0.2">
      <c r="B351" s="2"/>
      <c r="C351" s="27"/>
      <c r="D351" s="27"/>
      <c r="E351" s="27"/>
      <c r="F351" s="27"/>
      <c r="G351" s="2"/>
      <c r="H351" s="2"/>
      <c r="I351" s="2"/>
      <c r="J351" s="2"/>
      <c r="K351" s="2"/>
      <c r="L351" s="2"/>
      <c r="M351" s="2"/>
      <c r="N351" s="2"/>
    </row>
    <row r="352" spans="2:14" ht="15.75" customHeight="1" x14ac:dyDescent="0.2">
      <c r="B352" s="2"/>
      <c r="C352" s="27"/>
      <c r="D352" s="27"/>
      <c r="E352" s="27"/>
      <c r="F352" s="27"/>
      <c r="G352" s="2"/>
      <c r="H352" s="2"/>
      <c r="I352" s="2"/>
      <c r="J352" s="2"/>
      <c r="K352" s="2"/>
      <c r="L352" s="2"/>
      <c r="M352" s="2"/>
      <c r="N352" s="2"/>
    </row>
    <row r="353" spans="2:14" ht="15.75" customHeight="1" x14ac:dyDescent="0.2">
      <c r="B353" s="2"/>
      <c r="C353" s="27"/>
      <c r="D353" s="27"/>
      <c r="E353" s="27"/>
      <c r="F353" s="27"/>
      <c r="G353" s="2"/>
      <c r="H353" s="2"/>
      <c r="I353" s="2"/>
      <c r="J353" s="2"/>
      <c r="K353" s="2"/>
      <c r="L353" s="2"/>
      <c r="M353" s="2"/>
      <c r="N353" s="2"/>
    </row>
    <row r="354" spans="2:14" ht="15.75" customHeight="1" x14ac:dyDescent="0.2">
      <c r="B354" s="2"/>
      <c r="C354" s="27"/>
      <c r="D354" s="27"/>
      <c r="E354" s="27"/>
      <c r="F354" s="27"/>
      <c r="G354" s="2"/>
      <c r="H354" s="2"/>
      <c r="I354" s="2"/>
      <c r="J354" s="2"/>
      <c r="K354" s="2"/>
      <c r="L354" s="2"/>
      <c r="M354" s="2"/>
      <c r="N354" s="2"/>
    </row>
    <row r="355" spans="2:14" ht="15.75" customHeight="1" x14ac:dyDescent="0.2">
      <c r="B355" s="2"/>
      <c r="C355" s="27"/>
      <c r="D355" s="27"/>
      <c r="E355" s="27"/>
      <c r="F355" s="27"/>
      <c r="G355" s="2"/>
      <c r="H355" s="2"/>
      <c r="I355" s="2"/>
      <c r="J355" s="2"/>
      <c r="K355" s="2"/>
      <c r="L355" s="2"/>
      <c r="M355" s="2"/>
      <c r="N355" s="2"/>
    </row>
    <row r="356" spans="2:14" ht="15.75" customHeight="1" x14ac:dyDescent="0.2">
      <c r="B356" s="2"/>
      <c r="C356" s="27"/>
      <c r="D356" s="27"/>
      <c r="E356" s="27"/>
      <c r="F356" s="27"/>
      <c r="G356" s="2"/>
      <c r="H356" s="2"/>
      <c r="I356" s="2"/>
      <c r="J356" s="2"/>
      <c r="K356" s="2"/>
      <c r="L356" s="2"/>
      <c r="M356" s="2"/>
      <c r="N356" s="2"/>
    </row>
    <row r="357" spans="2:14" ht="15.75" customHeight="1" x14ac:dyDescent="0.2">
      <c r="B357" s="2"/>
      <c r="C357" s="27"/>
      <c r="D357" s="27"/>
      <c r="E357" s="27"/>
      <c r="F357" s="27"/>
      <c r="G357" s="2"/>
      <c r="H357" s="2"/>
      <c r="I357" s="2"/>
      <c r="J357" s="2"/>
      <c r="K357" s="2"/>
      <c r="L357" s="2"/>
      <c r="M357" s="2"/>
      <c r="N357" s="2"/>
    </row>
    <row r="358" spans="2:14" ht="15.75" customHeight="1" x14ac:dyDescent="0.2">
      <c r="B358" s="2"/>
      <c r="C358" s="27"/>
      <c r="D358" s="27"/>
      <c r="E358" s="27"/>
      <c r="F358" s="27"/>
      <c r="G358" s="2"/>
      <c r="H358" s="2"/>
      <c r="I358" s="2"/>
      <c r="J358" s="2"/>
      <c r="K358" s="2"/>
      <c r="L358" s="2"/>
      <c r="M358" s="2"/>
      <c r="N358" s="2"/>
    </row>
    <row r="359" spans="2:14" ht="15.75" customHeight="1" x14ac:dyDescent="0.2">
      <c r="B359" s="2"/>
      <c r="C359" s="27"/>
      <c r="D359" s="27"/>
      <c r="E359" s="27"/>
      <c r="F359" s="27"/>
      <c r="G359" s="2"/>
      <c r="H359" s="2"/>
      <c r="I359" s="2"/>
      <c r="J359" s="2"/>
      <c r="K359" s="2"/>
      <c r="L359" s="2"/>
      <c r="M359" s="2"/>
      <c r="N359" s="2"/>
    </row>
    <row r="360" spans="2:14" ht="15.75" customHeight="1" x14ac:dyDescent="0.2">
      <c r="B360" s="2"/>
      <c r="C360" s="27"/>
      <c r="D360" s="27"/>
      <c r="E360" s="27"/>
      <c r="F360" s="27"/>
      <c r="G360" s="2"/>
      <c r="H360" s="2"/>
      <c r="I360" s="2"/>
      <c r="J360" s="2"/>
      <c r="K360" s="2"/>
      <c r="L360" s="2"/>
      <c r="M360" s="2"/>
      <c r="N360" s="2"/>
    </row>
    <row r="361" spans="2:14" ht="15.75" customHeight="1" x14ac:dyDescent="0.2">
      <c r="B361" s="2"/>
      <c r="C361" s="27"/>
      <c r="D361" s="27"/>
      <c r="E361" s="27"/>
      <c r="F361" s="27"/>
      <c r="G361" s="2"/>
      <c r="H361" s="2"/>
      <c r="I361" s="2"/>
      <c r="J361" s="2"/>
      <c r="K361" s="2"/>
      <c r="L361" s="2"/>
      <c r="M361" s="2"/>
      <c r="N361" s="2"/>
    </row>
    <row r="362" spans="2:14" ht="15.75" customHeight="1" x14ac:dyDescent="0.2">
      <c r="B362" s="2"/>
      <c r="C362" s="27"/>
      <c r="D362" s="27"/>
      <c r="E362" s="27"/>
      <c r="F362" s="27"/>
      <c r="G362" s="2"/>
      <c r="H362" s="2"/>
      <c r="I362" s="2"/>
      <c r="J362" s="2"/>
      <c r="K362" s="2"/>
      <c r="L362" s="2"/>
      <c r="M362" s="2"/>
      <c r="N362" s="2"/>
    </row>
    <row r="363" spans="2:14" ht="15.75" customHeight="1" x14ac:dyDescent="0.2">
      <c r="B363" s="2"/>
      <c r="C363" s="27"/>
      <c r="D363" s="27"/>
      <c r="E363" s="27"/>
      <c r="F363" s="27"/>
      <c r="G363" s="2"/>
      <c r="H363" s="2"/>
      <c r="I363" s="2"/>
      <c r="J363" s="2"/>
      <c r="K363" s="2"/>
      <c r="L363" s="2"/>
      <c r="M363" s="2"/>
      <c r="N363" s="2"/>
    </row>
    <row r="364" spans="2:14" ht="15.75" customHeight="1" x14ac:dyDescent="0.2">
      <c r="B364" s="2"/>
      <c r="C364" s="27"/>
      <c r="D364" s="27"/>
      <c r="E364" s="27"/>
      <c r="F364" s="27"/>
      <c r="G364" s="2"/>
      <c r="H364" s="2"/>
      <c r="I364" s="2"/>
      <c r="J364" s="2"/>
      <c r="K364" s="2"/>
      <c r="L364" s="2"/>
      <c r="M364" s="2"/>
      <c r="N364" s="2"/>
    </row>
    <row r="365" spans="2:14" ht="15.75" customHeight="1" x14ac:dyDescent="0.2">
      <c r="B365" s="2"/>
      <c r="C365" s="27"/>
      <c r="D365" s="27"/>
      <c r="E365" s="27"/>
      <c r="F365" s="27"/>
      <c r="G365" s="2"/>
      <c r="H365" s="2"/>
      <c r="I365" s="2"/>
      <c r="J365" s="2"/>
      <c r="K365" s="2"/>
      <c r="L365" s="2"/>
      <c r="M365" s="2"/>
      <c r="N365" s="2"/>
    </row>
    <row r="366" spans="2:14" ht="15.75" customHeight="1" x14ac:dyDescent="0.2">
      <c r="B366" s="2"/>
      <c r="C366" s="27"/>
      <c r="D366" s="27"/>
      <c r="E366" s="27"/>
      <c r="F366" s="27"/>
      <c r="G366" s="2"/>
      <c r="H366" s="2"/>
      <c r="I366" s="2"/>
      <c r="J366" s="2"/>
      <c r="K366" s="2"/>
      <c r="L366" s="2"/>
      <c r="M366" s="2"/>
      <c r="N366" s="2"/>
    </row>
    <row r="367" spans="2:14" ht="15.75" customHeight="1" x14ac:dyDescent="0.2">
      <c r="B367" s="2"/>
      <c r="C367" s="27"/>
      <c r="D367" s="27"/>
      <c r="E367" s="27"/>
      <c r="F367" s="27"/>
      <c r="G367" s="2"/>
      <c r="H367" s="2"/>
      <c r="I367" s="2"/>
      <c r="J367" s="2"/>
      <c r="K367" s="2"/>
      <c r="L367" s="2"/>
      <c r="M367" s="2"/>
      <c r="N367" s="2"/>
    </row>
    <row r="368" spans="2:14" ht="15.75" customHeight="1" x14ac:dyDescent="0.2">
      <c r="B368" s="2"/>
      <c r="C368" s="27"/>
      <c r="D368" s="27"/>
      <c r="E368" s="27"/>
      <c r="F368" s="27"/>
      <c r="G368" s="2"/>
      <c r="H368" s="2"/>
      <c r="I368" s="2"/>
      <c r="J368" s="2"/>
      <c r="K368" s="2"/>
      <c r="L368" s="2"/>
      <c r="M368" s="2"/>
      <c r="N368" s="2"/>
    </row>
    <row r="369" spans="2:14" ht="15.75" customHeight="1" x14ac:dyDescent="0.2">
      <c r="B369" s="2"/>
      <c r="C369" s="27"/>
      <c r="D369" s="27"/>
      <c r="E369" s="27"/>
      <c r="F369" s="27"/>
      <c r="G369" s="2"/>
      <c r="H369" s="2"/>
      <c r="I369" s="2"/>
      <c r="J369" s="2"/>
      <c r="K369" s="2"/>
      <c r="L369" s="2"/>
      <c r="M369" s="2"/>
      <c r="N369" s="2"/>
    </row>
    <row r="370" spans="2:14" ht="15.75" customHeight="1" x14ac:dyDescent="0.2">
      <c r="B370" s="2"/>
      <c r="C370" s="27"/>
      <c r="D370" s="27"/>
      <c r="E370" s="27"/>
      <c r="F370" s="27"/>
      <c r="G370" s="2"/>
      <c r="H370" s="2"/>
      <c r="I370" s="2"/>
      <c r="J370" s="2"/>
      <c r="K370" s="2"/>
      <c r="L370" s="2"/>
      <c r="M370" s="2"/>
      <c r="N370" s="2"/>
    </row>
    <row r="371" spans="2:14" ht="15.75" customHeight="1" x14ac:dyDescent="0.2">
      <c r="B371" s="2"/>
      <c r="C371" s="27"/>
      <c r="D371" s="27"/>
      <c r="E371" s="27"/>
      <c r="F371" s="27"/>
      <c r="G371" s="2"/>
      <c r="H371" s="2"/>
      <c r="I371" s="2"/>
      <c r="J371" s="2"/>
      <c r="K371" s="2"/>
      <c r="L371" s="2"/>
      <c r="M371" s="2"/>
      <c r="N371" s="2"/>
    </row>
    <row r="372" spans="2:14" ht="15.75" customHeight="1" x14ac:dyDescent="0.2">
      <c r="B372" s="2"/>
      <c r="C372" s="27"/>
      <c r="D372" s="27"/>
      <c r="E372" s="27"/>
      <c r="F372" s="27"/>
      <c r="G372" s="2"/>
      <c r="H372" s="2"/>
      <c r="I372" s="2"/>
      <c r="J372" s="2"/>
      <c r="K372" s="2"/>
      <c r="L372" s="2"/>
      <c r="M372" s="2"/>
      <c r="N372" s="2"/>
    </row>
    <row r="373" spans="2:14" ht="15.75" customHeight="1" x14ac:dyDescent="0.2">
      <c r="B373" s="2"/>
      <c r="C373" s="27"/>
      <c r="D373" s="27"/>
      <c r="E373" s="27"/>
      <c r="F373" s="27"/>
      <c r="G373" s="2"/>
      <c r="H373" s="2"/>
      <c r="I373" s="2"/>
      <c r="J373" s="2"/>
      <c r="K373" s="2"/>
      <c r="L373" s="2"/>
      <c r="M373" s="2"/>
      <c r="N373" s="2"/>
    </row>
    <row r="374" spans="2:14" ht="15.75" customHeight="1" x14ac:dyDescent="0.2">
      <c r="B374" s="2"/>
      <c r="C374" s="27"/>
      <c r="D374" s="27"/>
      <c r="E374" s="27"/>
      <c r="F374" s="27"/>
      <c r="G374" s="2"/>
      <c r="H374" s="2"/>
      <c r="I374" s="2"/>
      <c r="J374" s="2"/>
      <c r="K374" s="2"/>
      <c r="L374" s="2"/>
      <c r="M374" s="2"/>
      <c r="N374" s="2"/>
    </row>
    <row r="375" spans="2:14" ht="15.75" customHeight="1" x14ac:dyDescent="0.2">
      <c r="B375" s="2"/>
      <c r="C375" s="27"/>
      <c r="D375" s="27"/>
      <c r="E375" s="27"/>
      <c r="F375" s="27"/>
      <c r="G375" s="2"/>
      <c r="H375" s="2"/>
      <c r="I375" s="2"/>
      <c r="J375" s="2"/>
      <c r="K375" s="2"/>
      <c r="L375" s="2"/>
      <c r="M375" s="2"/>
      <c r="N375" s="2"/>
    </row>
    <row r="376" spans="2:14" ht="15.75" customHeight="1" x14ac:dyDescent="0.2">
      <c r="B376" s="2"/>
      <c r="C376" s="27"/>
      <c r="D376" s="27"/>
      <c r="E376" s="27"/>
      <c r="F376" s="27"/>
      <c r="G376" s="2"/>
      <c r="H376" s="2"/>
      <c r="I376" s="2"/>
      <c r="J376" s="2"/>
      <c r="K376" s="2"/>
      <c r="L376" s="2"/>
      <c r="M376" s="2"/>
      <c r="N376" s="2"/>
    </row>
    <row r="377" spans="2:14" ht="15.75" customHeight="1" x14ac:dyDescent="0.2">
      <c r="B377" s="2"/>
      <c r="C377" s="27"/>
      <c r="D377" s="27"/>
      <c r="E377" s="27"/>
      <c r="F377" s="27"/>
      <c r="G377" s="2"/>
      <c r="H377" s="2"/>
      <c r="I377" s="2"/>
      <c r="J377" s="2"/>
      <c r="K377" s="2"/>
      <c r="L377" s="2"/>
      <c r="M377" s="2"/>
      <c r="N377" s="2"/>
    </row>
    <row r="378" spans="2:14" ht="15.75" customHeight="1" x14ac:dyDescent="0.2">
      <c r="B378" s="2"/>
      <c r="C378" s="27"/>
      <c r="D378" s="27"/>
      <c r="E378" s="27"/>
      <c r="F378" s="27"/>
      <c r="G378" s="2"/>
      <c r="H378" s="2"/>
      <c r="I378" s="2"/>
      <c r="J378" s="2"/>
      <c r="K378" s="2"/>
      <c r="L378" s="2"/>
      <c r="M378" s="2"/>
      <c r="N378" s="2"/>
    </row>
    <row r="379" spans="2:14" ht="15.75" customHeight="1" x14ac:dyDescent="0.2">
      <c r="B379" s="2"/>
      <c r="C379" s="27"/>
      <c r="D379" s="27"/>
      <c r="E379" s="27"/>
      <c r="F379" s="27"/>
      <c r="G379" s="2"/>
      <c r="H379" s="2"/>
      <c r="I379" s="2"/>
      <c r="J379" s="2"/>
      <c r="K379" s="2"/>
      <c r="L379" s="2"/>
      <c r="M379" s="2"/>
      <c r="N379" s="2"/>
    </row>
    <row r="380" spans="2:14" ht="15.75" customHeight="1" x14ac:dyDescent="0.2">
      <c r="B380" s="2"/>
      <c r="C380" s="27"/>
      <c r="D380" s="27"/>
      <c r="E380" s="27"/>
      <c r="F380" s="27"/>
      <c r="G380" s="2"/>
      <c r="H380" s="2"/>
      <c r="I380" s="2"/>
      <c r="J380" s="2"/>
      <c r="K380" s="2"/>
      <c r="L380" s="2"/>
      <c r="M380" s="2"/>
      <c r="N380" s="2"/>
    </row>
    <row r="381" spans="2:14" ht="15.75" customHeight="1" x14ac:dyDescent="0.2">
      <c r="B381" s="2"/>
      <c r="C381" s="27"/>
      <c r="D381" s="27"/>
      <c r="E381" s="27"/>
      <c r="F381" s="27"/>
      <c r="G381" s="2"/>
      <c r="H381" s="2"/>
      <c r="I381" s="2"/>
      <c r="J381" s="2"/>
      <c r="K381" s="2"/>
      <c r="L381" s="2"/>
      <c r="M381" s="2"/>
      <c r="N381" s="2"/>
    </row>
    <row r="382" spans="2:14" ht="15.75" customHeight="1" x14ac:dyDescent="0.2">
      <c r="B382" s="2"/>
      <c r="C382" s="27"/>
      <c r="D382" s="27"/>
      <c r="E382" s="27"/>
      <c r="F382" s="27"/>
      <c r="G382" s="2"/>
      <c r="H382" s="2"/>
      <c r="I382" s="2"/>
      <c r="J382" s="2"/>
      <c r="K382" s="2"/>
      <c r="L382" s="2"/>
      <c r="M382" s="2"/>
      <c r="N382" s="2"/>
    </row>
    <row r="383" spans="2:14" ht="15.75" customHeight="1" x14ac:dyDescent="0.2">
      <c r="B383" s="2"/>
      <c r="C383" s="27"/>
      <c r="D383" s="27"/>
      <c r="E383" s="27"/>
      <c r="F383" s="27"/>
      <c r="G383" s="2"/>
      <c r="H383" s="2"/>
      <c r="I383" s="2"/>
      <c r="J383" s="2"/>
      <c r="K383" s="2"/>
      <c r="L383" s="2"/>
      <c r="M383" s="2"/>
      <c r="N383" s="2"/>
    </row>
    <row r="384" spans="2:14" ht="15.75" customHeight="1" x14ac:dyDescent="0.2">
      <c r="B384" s="2"/>
      <c r="C384" s="27"/>
      <c r="D384" s="27"/>
      <c r="E384" s="27"/>
      <c r="F384" s="27"/>
      <c r="G384" s="2"/>
      <c r="H384" s="2"/>
      <c r="I384" s="2"/>
      <c r="J384" s="2"/>
      <c r="K384" s="2"/>
      <c r="L384" s="2"/>
      <c r="M384" s="2"/>
      <c r="N384" s="2"/>
    </row>
    <row r="385" spans="2:14" ht="15.75" customHeight="1" x14ac:dyDescent="0.2">
      <c r="B385" s="2"/>
      <c r="C385" s="27"/>
      <c r="D385" s="27"/>
      <c r="E385" s="27"/>
      <c r="F385" s="27"/>
      <c r="G385" s="2"/>
      <c r="H385" s="2"/>
      <c r="I385" s="2"/>
      <c r="J385" s="2"/>
      <c r="K385" s="2"/>
      <c r="L385" s="2"/>
      <c r="M385" s="2"/>
      <c r="N385" s="2"/>
    </row>
    <row r="386" spans="2:14" ht="15.75" customHeight="1" x14ac:dyDescent="0.2">
      <c r="B386" s="2"/>
      <c r="C386" s="27"/>
      <c r="D386" s="27"/>
      <c r="E386" s="27"/>
      <c r="F386" s="27"/>
      <c r="G386" s="2"/>
      <c r="H386" s="2"/>
      <c r="I386" s="2"/>
      <c r="J386" s="2"/>
      <c r="K386" s="2"/>
      <c r="L386" s="2"/>
      <c r="M386" s="2"/>
      <c r="N386" s="2"/>
    </row>
    <row r="387" spans="2:14" ht="15.75" customHeight="1" x14ac:dyDescent="0.2">
      <c r="B387" s="2"/>
      <c r="C387" s="27"/>
      <c r="D387" s="27"/>
      <c r="E387" s="27"/>
      <c r="F387" s="27"/>
      <c r="G387" s="2"/>
      <c r="H387" s="2"/>
      <c r="I387" s="2"/>
      <c r="J387" s="2"/>
      <c r="K387" s="2"/>
      <c r="L387" s="2"/>
      <c r="M387" s="2"/>
      <c r="N387" s="2"/>
    </row>
    <row r="388" spans="2:14" ht="15.75" customHeight="1" x14ac:dyDescent="0.2">
      <c r="B388" s="2"/>
      <c r="C388" s="27"/>
      <c r="D388" s="27"/>
      <c r="E388" s="27"/>
      <c r="F388" s="27"/>
      <c r="G388" s="2"/>
      <c r="H388" s="2"/>
      <c r="I388" s="2"/>
      <c r="J388" s="2"/>
      <c r="K388" s="2"/>
      <c r="L388" s="2"/>
      <c r="M388" s="2"/>
      <c r="N388" s="2"/>
    </row>
    <row r="389" spans="2:14" ht="15.75" customHeight="1" x14ac:dyDescent="0.2">
      <c r="B389" s="2"/>
      <c r="C389" s="27"/>
      <c r="D389" s="27"/>
      <c r="E389" s="27"/>
      <c r="F389" s="27"/>
      <c r="G389" s="2"/>
      <c r="H389" s="2"/>
      <c r="I389" s="2"/>
      <c r="J389" s="2"/>
      <c r="K389" s="2"/>
      <c r="L389" s="2"/>
      <c r="M389" s="2"/>
      <c r="N389" s="2"/>
    </row>
    <row r="390" spans="2:14" ht="15.75" customHeight="1" x14ac:dyDescent="0.2">
      <c r="B390" s="2"/>
      <c r="C390" s="27"/>
      <c r="D390" s="27"/>
      <c r="E390" s="27"/>
      <c r="F390" s="27"/>
      <c r="G390" s="2"/>
      <c r="H390" s="2"/>
      <c r="I390" s="2"/>
      <c r="J390" s="2"/>
      <c r="K390" s="2"/>
      <c r="L390" s="2"/>
      <c r="M390" s="2"/>
      <c r="N390" s="2"/>
    </row>
    <row r="391" spans="2:14" ht="15.75" customHeight="1" x14ac:dyDescent="0.2">
      <c r="B391" s="2"/>
      <c r="C391" s="27"/>
      <c r="D391" s="27"/>
      <c r="E391" s="27"/>
      <c r="F391" s="27"/>
      <c r="G391" s="2"/>
      <c r="H391" s="2"/>
      <c r="I391" s="2"/>
      <c r="J391" s="2"/>
      <c r="K391" s="2"/>
      <c r="L391" s="2"/>
      <c r="M391" s="2"/>
      <c r="N391" s="2"/>
    </row>
    <row r="392" spans="2:14" ht="15.75" customHeight="1" x14ac:dyDescent="0.2">
      <c r="B392" s="2"/>
      <c r="C392" s="27"/>
      <c r="D392" s="27"/>
      <c r="E392" s="27"/>
      <c r="F392" s="27"/>
      <c r="G392" s="2"/>
      <c r="H392" s="2"/>
      <c r="I392" s="2"/>
      <c r="J392" s="2"/>
      <c r="K392" s="2"/>
      <c r="L392" s="2"/>
      <c r="M392" s="2"/>
      <c r="N392" s="2"/>
    </row>
    <row r="393" spans="2:14" ht="15.75" customHeight="1" x14ac:dyDescent="0.2">
      <c r="B393" s="2"/>
      <c r="C393" s="27"/>
      <c r="D393" s="27"/>
      <c r="E393" s="27"/>
      <c r="F393" s="27"/>
      <c r="G393" s="2"/>
      <c r="H393" s="2"/>
      <c r="I393" s="2"/>
      <c r="J393" s="2"/>
      <c r="K393" s="2"/>
      <c r="L393" s="2"/>
      <c r="M393" s="2"/>
      <c r="N393" s="2"/>
    </row>
    <row r="394" spans="2:14" ht="15.75" customHeight="1" x14ac:dyDescent="0.2">
      <c r="B394" s="2"/>
      <c r="C394" s="27"/>
      <c r="D394" s="27"/>
      <c r="E394" s="27"/>
      <c r="F394" s="27"/>
      <c r="G394" s="2"/>
      <c r="H394" s="2"/>
      <c r="I394" s="2"/>
      <c r="J394" s="2"/>
      <c r="K394" s="2"/>
      <c r="L394" s="2"/>
      <c r="M394" s="2"/>
      <c r="N394" s="2"/>
    </row>
    <row r="395" spans="2:14" ht="15.75" customHeight="1" x14ac:dyDescent="0.2">
      <c r="B395" s="2"/>
      <c r="C395" s="27"/>
      <c r="D395" s="27"/>
      <c r="E395" s="27"/>
      <c r="F395" s="27"/>
      <c r="G395" s="2"/>
      <c r="H395" s="2"/>
      <c r="I395" s="2"/>
      <c r="J395" s="2"/>
      <c r="K395" s="2"/>
      <c r="L395" s="2"/>
      <c r="M395" s="2"/>
      <c r="N395" s="2"/>
    </row>
    <row r="396" spans="2:14" ht="15.75" customHeight="1" x14ac:dyDescent="0.2">
      <c r="B396" s="2"/>
      <c r="C396" s="27"/>
      <c r="D396" s="27"/>
      <c r="E396" s="27"/>
      <c r="F396" s="27"/>
      <c r="G396" s="2"/>
      <c r="H396" s="2"/>
      <c r="I396" s="2"/>
      <c r="J396" s="2"/>
      <c r="K396" s="2"/>
      <c r="L396" s="2"/>
      <c r="M396" s="2"/>
      <c r="N396" s="2"/>
    </row>
    <row r="397" spans="2:14" ht="15.75" customHeight="1" x14ac:dyDescent="0.2">
      <c r="B397" s="2"/>
      <c r="C397" s="27"/>
      <c r="D397" s="27"/>
      <c r="E397" s="27"/>
      <c r="F397" s="27"/>
      <c r="G397" s="2"/>
      <c r="H397" s="2"/>
      <c r="I397" s="2"/>
      <c r="J397" s="2"/>
      <c r="K397" s="2"/>
      <c r="L397" s="2"/>
      <c r="M397" s="2"/>
      <c r="N397" s="2"/>
    </row>
    <row r="398" spans="2:14" ht="15.75" customHeight="1" x14ac:dyDescent="0.2">
      <c r="B398" s="2"/>
      <c r="C398" s="27"/>
      <c r="D398" s="27"/>
      <c r="E398" s="27"/>
      <c r="F398" s="27"/>
      <c r="G398" s="2"/>
      <c r="H398" s="2"/>
      <c r="I398" s="2"/>
      <c r="J398" s="2"/>
      <c r="K398" s="2"/>
      <c r="L398" s="2"/>
      <c r="M398" s="2"/>
      <c r="N398" s="2"/>
    </row>
    <row r="399" spans="2:14" ht="15.75" customHeight="1" x14ac:dyDescent="0.2">
      <c r="B399" s="2"/>
      <c r="C399" s="27"/>
      <c r="D399" s="27"/>
      <c r="E399" s="27"/>
      <c r="F399" s="27"/>
      <c r="G399" s="2"/>
      <c r="H399" s="2"/>
      <c r="I399" s="2"/>
      <c r="J399" s="2"/>
      <c r="K399" s="2"/>
      <c r="L399" s="2"/>
      <c r="M399" s="2"/>
      <c r="N399" s="2"/>
    </row>
    <row r="400" spans="2:14" ht="15.75" customHeight="1" x14ac:dyDescent="0.2">
      <c r="B400" s="2"/>
      <c r="C400" s="27"/>
      <c r="D400" s="27"/>
      <c r="E400" s="27"/>
      <c r="F400" s="27"/>
      <c r="G400" s="2"/>
      <c r="H400" s="2"/>
      <c r="I400" s="2"/>
      <c r="J400" s="2"/>
      <c r="K400" s="2"/>
      <c r="L400" s="2"/>
      <c r="M400" s="2"/>
      <c r="N400" s="2"/>
    </row>
    <row r="401" spans="2:14" ht="15.75" customHeight="1" x14ac:dyDescent="0.2">
      <c r="B401" s="2"/>
      <c r="C401" s="27"/>
      <c r="D401" s="27"/>
      <c r="E401" s="27"/>
      <c r="F401" s="27"/>
      <c r="G401" s="2"/>
      <c r="H401" s="2"/>
      <c r="I401" s="2"/>
      <c r="J401" s="2"/>
      <c r="K401" s="2"/>
      <c r="L401" s="2"/>
      <c r="M401" s="2"/>
      <c r="N401" s="2"/>
    </row>
    <row r="402" spans="2:14" ht="15.75" customHeight="1" x14ac:dyDescent="0.2">
      <c r="B402" s="2"/>
      <c r="C402" s="27"/>
      <c r="D402" s="27"/>
      <c r="E402" s="27"/>
      <c r="F402" s="27"/>
      <c r="G402" s="2"/>
      <c r="H402" s="2"/>
      <c r="I402" s="2"/>
      <c r="J402" s="2"/>
      <c r="K402" s="2"/>
      <c r="L402" s="2"/>
      <c r="M402" s="2"/>
      <c r="N402" s="2"/>
    </row>
    <row r="403" spans="2:14" ht="15.75" customHeight="1" x14ac:dyDescent="0.2">
      <c r="B403" s="2"/>
      <c r="C403" s="27"/>
      <c r="D403" s="27"/>
      <c r="E403" s="27"/>
      <c r="F403" s="27"/>
      <c r="G403" s="2"/>
      <c r="H403" s="2"/>
      <c r="I403" s="2"/>
      <c r="J403" s="2"/>
      <c r="K403" s="2"/>
      <c r="L403" s="2"/>
      <c r="M403" s="2"/>
      <c r="N403" s="2"/>
    </row>
    <row r="404" spans="2:14" ht="15.75" customHeight="1" x14ac:dyDescent="0.2">
      <c r="B404" s="2"/>
      <c r="C404" s="27"/>
      <c r="D404" s="27"/>
      <c r="E404" s="27"/>
      <c r="F404" s="27"/>
      <c r="G404" s="2"/>
      <c r="H404" s="2"/>
      <c r="I404" s="2"/>
      <c r="J404" s="2"/>
      <c r="K404" s="2"/>
      <c r="L404" s="2"/>
      <c r="M404" s="2"/>
      <c r="N404" s="2"/>
    </row>
    <row r="405" spans="2:14" ht="15.75" customHeight="1" x14ac:dyDescent="0.2">
      <c r="B405" s="2"/>
      <c r="C405" s="27"/>
      <c r="D405" s="27"/>
      <c r="E405" s="27"/>
      <c r="F405" s="27"/>
      <c r="G405" s="2"/>
      <c r="H405" s="2"/>
      <c r="I405" s="2"/>
      <c r="J405" s="2"/>
      <c r="K405" s="2"/>
      <c r="L405" s="2"/>
      <c r="M405" s="2"/>
      <c r="N405" s="2"/>
    </row>
    <row r="406" spans="2:14" ht="15.75" customHeight="1" x14ac:dyDescent="0.2">
      <c r="B406" s="2"/>
      <c r="C406" s="27"/>
      <c r="D406" s="27"/>
      <c r="E406" s="27"/>
      <c r="F406" s="27"/>
      <c r="G406" s="2"/>
      <c r="H406" s="2"/>
      <c r="I406" s="2"/>
      <c r="J406" s="2"/>
      <c r="K406" s="2"/>
      <c r="L406" s="2"/>
      <c r="M406" s="2"/>
      <c r="N406" s="2"/>
    </row>
    <row r="407" spans="2:14" ht="15.75" customHeight="1" x14ac:dyDescent="0.2">
      <c r="B407" s="2"/>
      <c r="C407" s="27"/>
      <c r="D407" s="27"/>
      <c r="E407" s="27"/>
      <c r="F407" s="27"/>
      <c r="G407" s="2"/>
      <c r="H407" s="2"/>
      <c r="I407" s="2"/>
      <c r="J407" s="2"/>
      <c r="K407" s="2"/>
      <c r="L407" s="2"/>
      <c r="M407" s="2"/>
      <c r="N407" s="2"/>
    </row>
    <row r="408" spans="2:14" ht="15.75" customHeight="1" x14ac:dyDescent="0.2">
      <c r="B408" s="2"/>
      <c r="C408" s="27"/>
      <c r="D408" s="27"/>
      <c r="E408" s="27"/>
      <c r="F408" s="27"/>
      <c r="G408" s="2"/>
      <c r="H408" s="2"/>
      <c r="I408" s="2"/>
      <c r="J408" s="2"/>
      <c r="K408" s="2"/>
      <c r="L408" s="2"/>
      <c r="M408" s="2"/>
      <c r="N408" s="2"/>
    </row>
    <row r="409" spans="2:14" ht="15.75" customHeight="1" x14ac:dyDescent="0.2">
      <c r="B409" s="2"/>
      <c r="C409" s="27"/>
      <c r="D409" s="27"/>
      <c r="E409" s="27"/>
      <c r="F409" s="27"/>
      <c r="G409" s="2"/>
      <c r="H409" s="2"/>
      <c r="I409" s="2"/>
      <c r="J409" s="2"/>
      <c r="K409" s="2"/>
      <c r="L409" s="2"/>
      <c r="M409" s="2"/>
      <c r="N409" s="2"/>
    </row>
    <row r="410" spans="2:14" ht="15.75" customHeight="1" x14ac:dyDescent="0.2">
      <c r="B410" s="2"/>
      <c r="C410" s="27"/>
      <c r="D410" s="27"/>
      <c r="E410" s="27"/>
      <c r="F410" s="27"/>
      <c r="G410" s="2"/>
      <c r="H410" s="2"/>
      <c r="I410" s="2"/>
      <c r="J410" s="2"/>
      <c r="K410" s="2"/>
      <c r="L410" s="2"/>
      <c r="M410" s="2"/>
      <c r="N410" s="2"/>
    </row>
    <row r="411" spans="2:14" ht="15.75" customHeight="1" x14ac:dyDescent="0.2">
      <c r="B411" s="2"/>
      <c r="C411" s="27"/>
      <c r="D411" s="27"/>
      <c r="E411" s="27"/>
      <c r="F411" s="27"/>
      <c r="G411" s="2"/>
      <c r="H411" s="2"/>
      <c r="I411" s="2"/>
      <c r="J411" s="2"/>
      <c r="K411" s="2"/>
      <c r="L411" s="2"/>
      <c r="M411" s="2"/>
      <c r="N411" s="2"/>
    </row>
    <row r="412" spans="2:14" ht="15.75" customHeight="1" x14ac:dyDescent="0.2">
      <c r="B412" s="2"/>
      <c r="C412" s="27"/>
      <c r="D412" s="27"/>
      <c r="E412" s="27"/>
      <c r="F412" s="27"/>
      <c r="G412" s="2"/>
      <c r="H412" s="2"/>
      <c r="I412" s="2"/>
      <c r="J412" s="2"/>
      <c r="K412" s="2"/>
      <c r="L412" s="2"/>
      <c r="M412" s="2"/>
      <c r="N412" s="2"/>
    </row>
    <row r="413" spans="2:14" ht="15.75" customHeight="1" x14ac:dyDescent="0.2">
      <c r="B413" s="2"/>
      <c r="C413" s="27"/>
      <c r="D413" s="27"/>
      <c r="E413" s="27"/>
      <c r="F413" s="27"/>
      <c r="G413" s="2"/>
      <c r="H413" s="2"/>
      <c r="I413" s="2"/>
      <c r="J413" s="2"/>
      <c r="K413" s="2"/>
      <c r="L413" s="2"/>
      <c r="M413" s="2"/>
      <c r="N413" s="2"/>
    </row>
    <row r="414" spans="2:14" ht="15.75" customHeight="1" x14ac:dyDescent="0.2">
      <c r="B414" s="2"/>
      <c r="C414" s="27"/>
      <c r="D414" s="27"/>
      <c r="E414" s="27"/>
      <c r="F414" s="27"/>
      <c r="G414" s="2"/>
      <c r="H414" s="2"/>
      <c r="I414" s="2"/>
      <c r="J414" s="2"/>
      <c r="K414" s="2"/>
      <c r="L414" s="2"/>
      <c r="M414" s="2"/>
      <c r="N414" s="2"/>
    </row>
    <row r="415" spans="2:14" ht="15.75" customHeight="1" x14ac:dyDescent="0.2">
      <c r="B415" s="2"/>
      <c r="C415" s="27"/>
      <c r="D415" s="27"/>
      <c r="E415" s="27"/>
      <c r="F415" s="27"/>
      <c r="G415" s="2"/>
      <c r="H415" s="2"/>
      <c r="I415" s="2"/>
      <c r="J415" s="2"/>
      <c r="K415" s="2"/>
      <c r="L415" s="2"/>
      <c r="M415" s="2"/>
      <c r="N415" s="2"/>
    </row>
    <row r="416" spans="2:14" ht="15.75" customHeight="1" x14ac:dyDescent="0.2">
      <c r="B416" s="2"/>
      <c r="C416" s="27"/>
      <c r="D416" s="27"/>
      <c r="E416" s="27"/>
      <c r="F416" s="27"/>
      <c r="G416" s="2"/>
      <c r="H416" s="2"/>
      <c r="I416" s="2"/>
      <c r="J416" s="2"/>
      <c r="K416" s="2"/>
      <c r="L416" s="2"/>
      <c r="M416" s="2"/>
      <c r="N416" s="2"/>
    </row>
    <row r="417" spans="2:14" ht="15.75" customHeight="1" x14ac:dyDescent="0.2">
      <c r="B417" s="2"/>
      <c r="C417" s="27"/>
      <c r="D417" s="27"/>
      <c r="E417" s="27"/>
      <c r="F417" s="27"/>
      <c r="G417" s="2"/>
      <c r="H417" s="2"/>
      <c r="I417" s="2"/>
      <c r="J417" s="2"/>
      <c r="K417" s="2"/>
      <c r="L417" s="2"/>
      <c r="M417" s="2"/>
      <c r="N417" s="2"/>
    </row>
    <row r="418" spans="2:14" ht="15.75" customHeight="1" x14ac:dyDescent="0.2">
      <c r="B418" s="2"/>
      <c r="C418" s="27"/>
      <c r="D418" s="27"/>
      <c r="E418" s="27"/>
      <c r="F418" s="27"/>
      <c r="G418" s="2"/>
      <c r="H418" s="2"/>
      <c r="I418" s="2"/>
      <c r="J418" s="2"/>
      <c r="K418" s="2"/>
      <c r="L418" s="2"/>
      <c r="M418" s="2"/>
      <c r="N418" s="2"/>
    </row>
    <row r="419" spans="2:14" ht="15.75" customHeight="1" x14ac:dyDescent="0.2">
      <c r="B419" s="2"/>
      <c r="C419" s="27"/>
      <c r="D419" s="27"/>
      <c r="E419" s="27"/>
      <c r="F419" s="27"/>
      <c r="G419" s="2"/>
      <c r="H419" s="2"/>
      <c r="I419" s="2"/>
      <c r="J419" s="2"/>
      <c r="K419" s="2"/>
      <c r="L419" s="2"/>
      <c r="M419" s="2"/>
      <c r="N419" s="2"/>
    </row>
    <row r="420" spans="2:14" ht="15.75" customHeight="1" x14ac:dyDescent="0.2">
      <c r="B420" s="2"/>
      <c r="C420" s="27"/>
      <c r="D420" s="27"/>
      <c r="E420" s="27"/>
      <c r="F420" s="27"/>
      <c r="G420" s="2"/>
      <c r="H420" s="2"/>
      <c r="I420" s="2"/>
      <c r="J420" s="2"/>
      <c r="K420" s="2"/>
      <c r="L420" s="2"/>
      <c r="M420" s="2"/>
      <c r="N420" s="2"/>
    </row>
    <row r="421" spans="2:14" ht="15.75" customHeight="1" x14ac:dyDescent="0.2">
      <c r="B421" s="2"/>
      <c r="C421" s="27"/>
      <c r="D421" s="27"/>
      <c r="E421" s="27"/>
      <c r="F421" s="27"/>
      <c r="G421" s="2"/>
      <c r="H421" s="2"/>
      <c r="I421" s="2"/>
      <c r="J421" s="2"/>
      <c r="K421" s="2"/>
      <c r="L421" s="2"/>
      <c r="M421" s="2"/>
      <c r="N421" s="2"/>
    </row>
    <row r="422" spans="2:14" ht="15.75" customHeight="1" x14ac:dyDescent="0.2">
      <c r="B422" s="2"/>
      <c r="C422" s="27"/>
      <c r="D422" s="27"/>
      <c r="E422" s="27"/>
      <c r="F422" s="27"/>
      <c r="G422" s="2"/>
      <c r="H422" s="2"/>
      <c r="I422" s="2"/>
      <c r="J422" s="2"/>
      <c r="K422" s="2"/>
      <c r="L422" s="2"/>
      <c r="M422" s="2"/>
      <c r="N422" s="2"/>
    </row>
    <row r="423" spans="2:14" ht="15.75" customHeight="1" x14ac:dyDescent="0.2">
      <c r="B423" s="2"/>
      <c r="C423" s="27"/>
      <c r="D423" s="27"/>
      <c r="E423" s="27"/>
      <c r="F423" s="27"/>
      <c r="G423" s="2"/>
      <c r="H423" s="2"/>
      <c r="I423" s="2"/>
      <c r="J423" s="2"/>
      <c r="K423" s="2"/>
      <c r="L423" s="2"/>
      <c r="M423" s="2"/>
      <c r="N423" s="2"/>
    </row>
    <row r="424" spans="2:14" ht="15.75" customHeight="1" x14ac:dyDescent="0.2">
      <c r="B424" s="2"/>
      <c r="C424" s="27"/>
      <c r="D424" s="27"/>
      <c r="E424" s="27"/>
      <c r="F424" s="27"/>
      <c r="G424" s="2"/>
      <c r="H424" s="2"/>
      <c r="I424" s="2"/>
      <c r="J424" s="2"/>
      <c r="K424" s="2"/>
      <c r="L424" s="2"/>
      <c r="M424" s="2"/>
      <c r="N424" s="2"/>
    </row>
    <row r="425" spans="2:14" ht="15.75" customHeight="1" x14ac:dyDescent="0.2">
      <c r="B425" s="2"/>
      <c r="C425" s="27"/>
      <c r="D425" s="27"/>
      <c r="E425" s="27"/>
      <c r="F425" s="27"/>
      <c r="G425" s="2"/>
      <c r="H425" s="2"/>
      <c r="I425" s="2"/>
      <c r="J425" s="2"/>
      <c r="K425" s="2"/>
      <c r="L425" s="2"/>
      <c r="M425" s="2"/>
      <c r="N425" s="2"/>
    </row>
    <row r="426" spans="2:14" ht="15.75" customHeight="1" x14ac:dyDescent="0.2">
      <c r="B426" s="2"/>
      <c r="C426" s="27"/>
      <c r="D426" s="27"/>
      <c r="E426" s="27"/>
      <c r="F426" s="27"/>
      <c r="G426" s="2"/>
      <c r="H426" s="2"/>
      <c r="I426" s="2"/>
      <c r="J426" s="2"/>
      <c r="K426" s="2"/>
      <c r="L426" s="2"/>
      <c r="M426" s="2"/>
      <c r="N426" s="2"/>
    </row>
    <row r="427" spans="2:14" ht="15.75" customHeight="1" x14ac:dyDescent="0.2">
      <c r="B427" s="2"/>
      <c r="C427" s="27"/>
      <c r="D427" s="27"/>
      <c r="E427" s="27"/>
      <c r="F427" s="27"/>
      <c r="G427" s="2"/>
      <c r="H427" s="2"/>
      <c r="I427" s="2"/>
      <c r="J427" s="2"/>
      <c r="K427" s="2"/>
      <c r="L427" s="2"/>
      <c r="M427" s="2"/>
      <c r="N427" s="2"/>
    </row>
    <row r="428" spans="2:14" ht="15.75" customHeight="1" x14ac:dyDescent="0.2">
      <c r="B428" s="2"/>
      <c r="C428" s="27"/>
      <c r="D428" s="27"/>
      <c r="E428" s="27"/>
      <c r="F428" s="27"/>
      <c r="G428" s="2"/>
      <c r="H428" s="2"/>
      <c r="I428" s="2"/>
      <c r="J428" s="2"/>
      <c r="K428" s="2"/>
      <c r="L428" s="2"/>
      <c r="M428" s="2"/>
      <c r="N428" s="2"/>
    </row>
    <row r="429" spans="2:14" ht="15.75" customHeight="1" x14ac:dyDescent="0.2">
      <c r="B429" s="2"/>
      <c r="C429" s="27"/>
      <c r="D429" s="27"/>
      <c r="E429" s="27"/>
      <c r="F429" s="27"/>
      <c r="G429" s="2"/>
      <c r="H429" s="2"/>
      <c r="I429" s="2"/>
      <c r="J429" s="2"/>
      <c r="K429" s="2"/>
      <c r="L429" s="2"/>
      <c r="M429" s="2"/>
      <c r="N429" s="2"/>
    </row>
    <row r="430" spans="2:14" ht="15.75" customHeight="1" x14ac:dyDescent="0.2">
      <c r="B430" s="2"/>
      <c r="C430" s="27"/>
      <c r="D430" s="27"/>
      <c r="E430" s="27"/>
      <c r="F430" s="27"/>
      <c r="G430" s="2"/>
      <c r="H430" s="2"/>
      <c r="I430" s="2"/>
      <c r="J430" s="2"/>
      <c r="K430" s="2"/>
      <c r="L430" s="2"/>
      <c r="M430" s="2"/>
      <c r="N430" s="2"/>
    </row>
    <row r="431" spans="2:14" ht="15.75" customHeight="1" x14ac:dyDescent="0.2">
      <c r="B431" s="2"/>
      <c r="C431" s="27"/>
      <c r="D431" s="27"/>
      <c r="E431" s="27"/>
      <c r="F431" s="27"/>
      <c r="G431" s="2"/>
      <c r="H431" s="2"/>
      <c r="I431" s="2"/>
      <c r="J431" s="2"/>
      <c r="K431" s="2"/>
      <c r="L431" s="2"/>
      <c r="M431" s="2"/>
      <c r="N431" s="2"/>
    </row>
    <row r="432" spans="2:14" ht="15.75" customHeight="1" x14ac:dyDescent="0.2">
      <c r="B432" s="2"/>
      <c r="C432" s="27"/>
      <c r="D432" s="27"/>
      <c r="E432" s="27"/>
      <c r="F432" s="27"/>
      <c r="G432" s="2"/>
      <c r="H432" s="2"/>
      <c r="I432" s="2"/>
      <c r="J432" s="2"/>
      <c r="K432" s="2"/>
      <c r="L432" s="2"/>
      <c r="M432" s="2"/>
      <c r="N432" s="2"/>
    </row>
    <row r="433" spans="2:14" ht="15.75" customHeight="1" x14ac:dyDescent="0.2">
      <c r="B433" s="2"/>
      <c r="C433" s="27"/>
      <c r="D433" s="27"/>
      <c r="E433" s="27"/>
      <c r="F433" s="27"/>
      <c r="G433" s="2"/>
      <c r="H433" s="2"/>
      <c r="I433" s="2"/>
      <c r="J433" s="2"/>
      <c r="K433" s="2"/>
      <c r="L433" s="2"/>
      <c r="M433" s="2"/>
      <c r="N433" s="2"/>
    </row>
    <row r="434" spans="2:14" ht="15.75" customHeight="1" x14ac:dyDescent="0.2">
      <c r="B434" s="2"/>
      <c r="C434" s="27"/>
      <c r="D434" s="27"/>
      <c r="E434" s="27"/>
      <c r="F434" s="27"/>
      <c r="G434" s="2"/>
      <c r="H434" s="2"/>
      <c r="I434" s="2"/>
      <c r="J434" s="2"/>
      <c r="K434" s="2"/>
      <c r="L434" s="2"/>
      <c r="M434" s="2"/>
      <c r="N434" s="2"/>
    </row>
    <row r="435" spans="2:14" ht="15.75" customHeight="1" x14ac:dyDescent="0.2">
      <c r="B435" s="2"/>
      <c r="C435" s="27"/>
      <c r="D435" s="27"/>
      <c r="E435" s="27"/>
      <c r="F435" s="27"/>
      <c r="G435" s="2"/>
      <c r="H435" s="2"/>
      <c r="I435" s="2"/>
      <c r="J435" s="2"/>
      <c r="K435" s="2"/>
      <c r="L435" s="2"/>
      <c r="M435" s="2"/>
      <c r="N435" s="2"/>
    </row>
    <row r="436" spans="2:14" ht="15.75" customHeight="1" x14ac:dyDescent="0.2">
      <c r="B436" s="2"/>
      <c r="C436" s="27"/>
      <c r="D436" s="27"/>
      <c r="E436" s="27"/>
      <c r="F436" s="27"/>
      <c r="G436" s="2"/>
      <c r="H436" s="2"/>
      <c r="I436" s="2"/>
      <c r="J436" s="2"/>
      <c r="K436" s="2"/>
      <c r="L436" s="2"/>
      <c r="M436" s="2"/>
      <c r="N436" s="2"/>
    </row>
    <row r="437" spans="2:14" ht="15.75" customHeight="1" x14ac:dyDescent="0.2">
      <c r="B437" s="2"/>
      <c r="C437" s="27"/>
      <c r="D437" s="27"/>
      <c r="E437" s="27"/>
      <c r="F437" s="27"/>
      <c r="G437" s="2"/>
      <c r="H437" s="2"/>
      <c r="I437" s="2"/>
      <c r="J437" s="2"/>
      <c r="K437" s="2"/>
      <c r="L437" s="2"/>
      <c r="M437" s="2"/>
      <c r="N437" s="2"/>
    </row>
    <row r="438" spans="2:14" ht="15.75" customHeight="1" x14ac:dyDescent="0.2">
      <c r="B438" s="2"/>
      <c r="C438" s="27"/>
      <c r="D438" s="27"/>
      <c r="E438" s="27"/>
      <c r="F438" s="27"/>
      <c r="G438" s="2"/>
      <c r="H438" s="2"/>
      <c r="I438" s="2"/>
      <c r="J438" s="2"/>
      <c r="K438" s="2"/>
      <c r="L438" s="2"/>
      <c r="M438" s="2"/>
      <c r="N438" s="2"/>
    </row>
    <row r="439" spans="2:14" ht="15.75" customHeight="1" x14ac:dyDescent="0.2">
      <c r="B439" s="2"/>
      <c r="C439" s="27"/>
      <c r="D439" s="27"/>
      <c r="E439" s="27"/>
      <c r="F439" s="27"/>
      <c r="G439" s="2"/>
      <c r="H439" s="2"/>
      <c r="I439" s="2"/>
      <c r="J439" s="2"/>
      <c r="K439" s="2"/>
      <c r="L439" s="2"/>
      <c r="M439" s="2"/>
      <c r="N439" s="2"/>
    </row>
    <row r="440" spans="2:14" ht="15.75" customHeight="1" x14ac:dyDescent="0.2">
      <c r="B440" s="2"/>
      <c r="C440" s="27"/>
      <c r="D440" s="27"/>
      <c r="E440" s="27"/>
      <c r="F440" s="27"/>
      <c r="G440" s="2"/>
      <c r="H440" s="2"/>
      <c r="I440" s="2"/>
      <c r="J440" s="2"/>
      <c r="K440" s="2"/>
      <c r="L440" s="2"/>
      <c r="M440" s="2"/>
      <c r="N440" s="2"/>
    </row>
    <row r="441" spans="2:14" ht="15.75" customHeight="1" x14ac:dyDescent="0.2">
      <c r="B441" s="2"/>
      <c r="C441" s="27"/>
      <c r="D441" s="27"/>
      <c r="E441" s="27"/>
      <c r="F441" s="27"/>
      <c r="G441" s="2"/>
      <c r="H441" s="2"/>
      <c r="I441" s="2"/>
      <c r="J441" s="2"/>
      <c r="K441" s="2"/>
      <c r="L441" s="2"/>
      <c r="M441" s="2"/>
      <c r="N441" s="2"/>
    </row>
    <row r="442" spans="2:14" ht="15.75" customHeight="1" x14ac:dyDescent="0.2">
      <c r="B442" s="2"/>
      <c r="C442" s="27"/>
      <c r="D442" s="27"/>
      <c r="E442" s="27"/>
      <c r="F442" s="27"/>
      <c r="G442" s="2"/>
      <c r="H442" s="2"/>
      <c r="I442" s="2"/>
      <c r="J442" s="2"/>
      <c r="K442" s="2"/>
      <c r="L442" s="2"/>
      <c r="M442" s="2"/>
      <c r="N442" s="2"/>
    </row>
    <row r="443" spans="2:14" ht="15.75" customHeight="1" x14ac:dyDescent="0.2">
      <c r="B443" s="2"/>
      <c r="C443" s="27"/>
      <c r="D443" s="27"/>
      <c r="E443" s="27"/>
      <c r="F443" s="27"/>
      <c r="G443" s="2"/>
      <c r="H443" s="2"/>
      <c r="I443" s="2"/>
      <c r="J443" s="2"/>
      <c r="K443" s="2"/>
      <c r="L443" s="2"/>
      <c r="M443" s="2"/>
      <c r="N443" s="2"/>
    </row>
    <row r="444" spans="2:14" ht="15.75" customHeight="1" x14ac:dyDescent="0.2">
      <c r="B444" s="2"/>
      <c r="C444" s="27"/>
      <c r="D444" s="27"/>
      <c r="E444" s="27"/>
      <c r="F444" s="27"/>
      <c r="G444" s="2"/>
      <c r="H444" s="2"/>
      <c r="I444" s="2"/>
      <c r="J444" s="2"/>
      <c r="K444" s="2"/>
      <c r="L444" s="2"/>
      <c r="M444" s="2"/>
      <c r="N444" s="2"/>
    </row>
    <row r="445" spans="2:14" ht="15.75" customHeight="1" x14ac:dyDescent="0.2">
      <c r="B445" s="2"/>
      <c r="C445" s="27"/>
      <c r="D445" s="27"/>
      <c r="E445" s="27"/>
      <c r="F445" s="27"/>
      <c r="G445" s="2"/>
      <c r="H445" s="2"/>
      <c r="I445" s="2"/>
      <c r="J445" s="2"/>
      <c r="K445" s="2"/>
      <c r="L445" s="2"/>
      <c r="M445" s="2"/>
      <c r="N445" s="2"/>
    </row>
    <row r="446" spans="2:14" ht="15.75" customHeight="1" x14ac:dyDescent="0.2">
      <c r="B446" s="2"/>
      <c r="C446" s="27"/>
      <c r="D446" s="27"/>
      <c r="E446" s="27"/>
      <c r="F446" s="27"/>
      <c r="G446" s="2"/>
      <c r="H446" s="2"/>
      <c r="I446" s="2"/>
      <c r="J446" s="2"/>
      <c r="K446" s="2"/>
      <c r="L446" s="2"/>
      <c r="M446" s="2"/>
      <c r="N446" s="2"/>
    </row>
    <row r="447" spans="2:14" ht="15.75" customHeight="1" x14ac:dyDescent="0.2">
      <c r="B447" s="2"/>
      <c r="C447" s="27"/>
      <c r="D447" s="27"/>
      <c r="E447" s="27"/>
      <c r="F447" s="27"/>
      <c r="G447" s="2"/>
      <c r="H447" s="2"/>
      <c r="I447" s="2"/>
      <c r="J447" s="2"/>
      <c r="K447" s="2"/>
      <c r="L447" s="2"/>
      <c r="M447" s="2"/>
      <c r="N447" s="2"/>
    </row>
    <row r="448" spans="2:14" ht="15.75" customHeight="1" x14ac:dyDescent="0.2">
      <c r="B448" s="2"/>
      <c r="C448" s="27"/>
      <c r="D448" s="27"/>
      <c r="E448" s="27"/>
      <c r="F448" s="27"/>
      <c r="G448" s="2"/>
      <c r="H448" s="2"/>
      <c r="I448" s="2"/>
      <c r="J448" s="2"/>
      <c r="K448" s="2"/>
      <c r="L448" s="2"/>
      <c r="M448" s="2"/>
      <c r="N448" s="2"/>
    </row>
    <row r="449" spans="2:14" ht="15.75" customHeight="1" x14ac:dyDescent="0.2">
      <c r="B449" s="2"/>
      <c r="C449" s="27"/>
      <c r="D449" s="27"/>
      <c r="E449" s="27"/>
      <c r="F449" s="27"/>
      <c r="G449" s="2"/>
      <c r="H449" s="2"/>
      <c r="I449" s="2"/>
      <c r="J449" s="2"/>
      <c r="K449" s="2"/>
      <c r="L449" s="2"/>
      <c r="M449" s="2"/>
      <c r="N449" s="2"/>
    </row>
    <row r="450" spans="2:14" ht="15.75" customHeight="1" x14ac:dyDescent="0.2">
      <c r="B450" s="2"/>
      <c r="C450" s="27"/>
      <c r="D450" s="27"/>
      <c r="E450" s="27"/>
      <c r="F450" s="27"/>
      <c r="G450" s="2"/>
      <c r="H450" s="2"/>
      <c r="I450" s="2"/>
      <c r="J450" s="2"/>
      <c r="K450" s="2"/>
      <c r="L450" s="2"/>
      <c r="M450" s="2"/>
      <c r="N450" s="2"/>
    </row>
    <row r="451" spans="2:14" ht="15.75" customHeight="1" x14ac:dyDescent="0.2">
      <c r="B451" s="2"/>
      <c r="C451" s="27"/>
      <c r="D451" s="27"/>
      <c r="E451" s="27"/>
      <c r="F451" s="27"/>
      <c r="G451" s="2"/>
      <c r="H451" s="2"/>
      <c r="I451" s="2"/>
      <c r="J451" s="2"/>
      <c r="K451" s="2"/>
      <c r="L451" s="2"/>
      <c r="M451" s="2"/>
      <c r="N451" s="2"/>
    </row>
    <row r="452" spans="2:14" ht="15.75" customHeight="1" x14ac:dyDescent="0.2">
      <c r="B452" s="2"/>
      <c r="C452" s="27"/>
      <c r="D452" s="27"/>
      <c r="E452" s="27"/>
      <c r="F452" s="27"/>
      <c r="G452" s="2"/>
      <c r="H452" s="2"/>
      <c r="I452" s="2"/>
      <c r="J452" s="2"/>
      <c r="K452" s="2"/>
      <c r="L452" s="2"/>
      <c r="M452" s="2"/>
      <c r="N452" s="2"/>
    </row>
    <row r="453" spans="2:14" ht="15.75" customHeight="1" x14ac:dyDescent="0.2">
      <c r="B453" s="2"/>
      <c r="C453" s="27"/>
      <c r="D453" s="27"/>
      <c r="E453" s="27"/>
      <c r="F453" s="27"/>
      <c r="G453" s="2"/>
      <c r="H453" s="2"/>
      <c r="I453" s="2"/>
      <c r="J453" s="2"/>
      <c r="K453" s="2"/>
      <c r="L453" s="2"/>
      <c r="M453" s="2"/>
      <c r="N453" s="2"/>
    </row>
    <row r="454" spans="2:14" ht="15.75" customHeight="1" x14ac:dyDescent="0.2">
      <c r="B454" s="2"/>
      <c r="C454" s="27"/>
      <c r="D454" s="27"/>
      <c r="E454" s="27"/>
      <c r="F454" s="27"/>
      <c r="G454" s="2"/>
      <c r="H454" s="2"/>
      <c r="I454" s="2"/>
      <c r="J454" s="2"/>
      <c r="K454" s="2"/>
      <c r="L454" s="2"/>
      <c r="M454" s="2"/>
      <c r="N454" s="2"/>
    </row>
    <row r="455" spans="2:14" ht="15.75" customHeight="1" x14ac:dyDescent="0.2">
      <c r="B455" s="2"/>
      <c r="C455" s="27"/>
      <c r="D455" s="27"/>
      <c r="E455" s="27"/>
      <c r="F455" s="27"/>
      <c r="G455" s="2"/>
      <c r="H455" s="2"/>
      <c r="I455" s="2"/>
      <c r="J455" s="2"/>
      <c r="K455" s="2"/>
      <c r="L455" s="2"/>
      <c r="M455" s="2"/>
      <c r="N455" s="2"/>
    </row>
    <row r="456" spans="2:14" ht="15.75" customHeight="1" x14ac:dyDescent="0.2">
      <c r="B456" s="2"/>
      <c r="C456" s="27"/>
      <c r="D456" s="27"/>
      <c r="E456" s="27"/>
      <c r="F456" s="27"/>
      <c r="G456" s="2"/>
      <c r="H456" s="2"/>
      <c r="I456" s="2"/>
      <c r="J456" s="2"/>
      <c r="K456" s="2"/>
      <c r="L456" s="2"/>
      <c r="M456" s="2"/>
      <c r="N456" s="2"/>
    </row>
    <row r="457" spans="2:14" ht="15.75" customHeight="1" x14ac:dyDescent="0.2">
      <c r="B457" s="2"/>
      <c r="C457" s="27"/>
      <c r="D457" s="27"/>
      <c r="E457" s="27"/>
      <c r="F457" s="27"/>
      <c r="G457" s="2"/>
      <c r="H457" s="2"/>
      <c r="I457" s="2"/>
      <c r="J457" s="2"/>
      <c r="K457" s="2"/>
      <c r="L457" s="2"/>
      <c r="M457" s="2"/>
      <c r="N457" s="2"/>
    </row>
    <row r="458" spans="2:14" ht="15.75" customHeight="1" x14ac:dyDescent="0.2">
      <c r="B458" s="2"/>
      <c r="C458" s="27"/>
      <c r="D458" s="27"/>
      <c r="E458" s="27"/>
      <c r="F458" s="27"/>
      <c r="G458" s="2"/>
      <c r="H458" s="2"/>
      <c r="I458" s="2"/>
      <c r="J458" s="2"/>
      <c r="K458" s="2"/>
      <c r="L458" s="2"/>
      <c r="M458" s="2"/>
      <c r="N458" s="2"/>
    </row>
    <row r="459" spans="2:14" ht="15.75" customHeight="1" x14ac:dyDescent="0.2">
      <c r="B459" s="2"/>
      <c r="C459" s="27"/>
      <c r="D459" s="27"/>
      <c r="E459" s="27"/>
      <c r="F459" s="27"/>
      <c r="G459" s="2"/>
      <c r="H459" s="2"/>
      <c r="I459" s="2"/>
      <c r="J459" s="2"/>
      <c r="K459" s="2"/>
      <c r="L459" s="2"/>
      <c r="M459" s="2"/>
      <c r="N459" s="2"/>
    </row>
    <row r="460" spans="2:14" ht="15.75" customHeight="1" x14ac:dyDescent="0.2">
      <c r="B460" s="2"/>
      <c r="C460" s="27"/>
      <c r="D460" s="27"/>
      <c r="E460" s="27"/>
      <c r="F460" s="27"/>
      <c r="G460" s="2"/>
      <c r="H460" s="2"/>
      <c r="I460" s="2"/>
      <c r="J460" s="2"/>
      <c r="K460" s="2"/>
      <c r="L460" s="2"/>
      <c r="M460" s="2"/>
      <c r="N460" s="2"/>
    </row>
    <row r="461" spans="2:14" ht="15.75" customHeight="1" x14ac:dyDescent="0.2">
      <c r="B461" s="2"/>
      <c r="C461" s="27"/>
      <c r="D461" s="27"/>
      <c r="E461" s="27"/>
      <c r="F461" s="27"/>
      <c r="G461" s="2"/>
      <c r="H461" s="2"/>
      <c r="I461" s="2"/>
      <c r="J461" s="2"/>
      <c r="K461" s="2"/>
      <c r="L461" s="2"/>
      <c r="M461" s="2"/>
      <c r="N461" s="2"/>
    </row>
    <row r="462" spans="2:14" ht="15.75" customHeight="1" x14ac:dyDescent="0.2">
      <c r="B462" s="2"/>
      <c r="C462" s="27"/>
      <c r="D462" s="27"/>
      <c r="E462" s="27"/>
      <c r="F462" s="27"/>
      <c r="G462" s="2"/>
      <c r="H462" s="2"/>
      <c r="I462" s="2"/>
      <c r="J462" s="2"/>
      <c r="K462" s="2"/>
      <c r="L462" s="2"/>
      <c r="M462" s="2"/>
      <c r="N462" s="2"/>
    </row>
    <row r="463" spans="2:14" ht="15.75" customHeight="1" x14ac:dyDescent="0.2">
      <c r="B463" s="2"/>
      <c r="C463" s="27"/>
      <c r="D463" s="27"/>
      <c r="E463" s="27"/>
      <c r="F463" s="27"/>
      <c r="G463" s="2"/>
      <c r="H463" s="2"/>
      <c r="I463" s="2"/>
      <c r="J463" s="2"/>
      <c r="K463" s="2"/>
      <c r="L463" s="2"/>
      <c r="M463" s="2"/>
      <c r="N463" s="2"/>
    </row>
    <row r="464" spans="2:14" ht="15.75" customHeight="1" x14ac:dyDescent="0.2">
      <c r="B464" s="2"/>
      <c r="C464" s="27"/>
      <c r="D464" s="27"/>
      <c r="E464" s="27"/>
      <c r="F464" s="27"/>
      <c r="G464" s="2"/>
      <c r="H464" s="2"/>
      <c r="I464" s="2"/>
      <c r="J464" s="2"/>
      <c r="K464" s="2"/>
      <c r="L464" s="2"/>
      <c r="M464" s="2"/>
      <c r="N464" s="2"/>
    </row>
    <row r="465" spans="2:14" ht="15.75" customHeight="1" x14ac:dyDescent="0.2">
      <c r="B465" s="2"/>
      <c r="C465" s="27"/>
      <c r="D465" s="27"/>
      <c r="E465" s="27"/>
      <c r="F465" s="27"/>
      <c r="G465" s="2"/>
      <c r="H465" s="2"/>
      <c r="I465" s="2"/>
      <c r="J465" s="2"/>
      <c r="K465" s="2"/>
      <c r="L465" s="2"/>
      <c r="M465" s="2"/>
      <c r="N465" s="2"/>
    </row>
    <row r="466" spans="2:14" ht="15.75" customHeight="1" x14ac:dyDescent="0.2">
      <c r="B466" s="2"/>
      <c r="C466" s="27"/>
      <c r="D466" s="27"/>
      <c r="E466" s="27"/>
      <c r="F466" s="27"/>
      <c r="G466" s="2"/>
      <c r="H466" s="2"/>
      <c r="I466" s="2"/>
      <c r="J466" s="2"/>
      <c r="K466" s="2"/>
      <c r="L466" s="2"/>
      <c r="M466" s="2"/>
      <c r="N466" s="2"/>
    </row>
    <row r="467" spans="2:14" ht="15.75" customHeight="1" x14ac:dyDescent="0.2">
      <c r="B467" s="2"/>
      <c r="C467" s="27"/>
      <c r="D467" s="27"/>
      <c r="E467" s="27"/>
      <c r="F467" s="27"/>
      <c r="G467" s="2"/>
      <c r="H467" s="2"/>
      <c r="I467" s="2"/>
      <c r="J467" s="2"/>
      <c r="K467" s="2"/>
      <c r="L467" s="2"/>
      <c r="M467" s="2"/>
      <c r="N467" s="2"/>
    </row>
    <row r="468" spans="2:14" ht="15.75" customHeight="1" x14ac:dyDescent="0.2">
      <c r="B468" s="2"/>
      <c r="C468" s="27"/>
      <c r="D468" s="27"/>
      <c r="E468" s="27"/>
      <c r="F468" s="27"/>
      <c r="G468" s="2"/>
      <c r="H468" s="2"/>
      <c r="I468" s="2"/>
      <c r="J468" s="2"/>
      <c r="K468" s="2"/>
      <c r="L468" s="2"/>
      <c r="M468" s="2"/>
      <c r="N468" s="2"/>
    </row>
    <row r="469" spans="2:14" ht="15.75" customHeight="1" x14ac:dyDescent="0.2">
      <c r="B469" s="2"/>
      <c r="C469" s="27"/>
      <c r="D469" s="27"/>
      <c r="E469" s="27"/>
      <c r="F469" s="27"/>
      <c r="G469" s="2"/>
      <c r="H469" s="2"/>
      <c r="I469" s="2"/>
      <c r="J469" s="2"/>
      <c r="K469" s="2"/>
      <c r="L469" s="2"/>
      <c r="M469" s="2"/>
      <c r="N469" s="2"/>
    </row>
    <row r="470" spans="2:14" ht="15.75" customHeight="1" x14ac:dyDescent="0.2">
      <c r="B470" s="2"/>
      <c r="C470" s="27"/>
      <c r="D470" s="27"/>
      <c r="E470" s="27"/>
      <c r="F470" s="27"/>
      <c r="G470" s="2"/>
      <c r="H470" s="2"/>
      <c r="I470" s="2"/>
      <c r="J470" s="2"/>
      <c r="K470" s="2"/>
      <c r="L470" s="2"/>
      <c r="M470" s="2"/>
      <c r="N470" s="2"/>
    </row>
    <row r="471" spans="2:14" ht="15.75" customHeight="1" x14ac:dyDescent="0.2">
      <c r="B471" s="2"/>
      <c r="C471" s="27"/>
      <c r="D471" s="27"/>
      <c r="E471" s="27"/>
      <c r="F471" s="27"/>
      <c r="G471" s="2"/>
      <c r="H471" s="2"/>
      <c r="I471" s="2"/>
      <c r="J471" s="2"/>
      <c r="K471" s="2"/>
      <c r="L471" s="2"/>
      <c r="M471" s="2"/>
      <c r="N471" s="2"/>
    </row>
    <row r="472" spans="2:14" ht="15.75" customHeight="1" x14ac:dyDescent="0.2">
      <c r="B472" s="2"/>
      <c r="C472" s="27"/>
      <c r="D472" s="27"/>
      <c r="E472" s="27"/>
      <c r="F472" s="27"/>
      <c r="G472" s="2"/>
      <c r="H472" s="2"/>
      <c r="I472" s="2"/>
      <c r="J472" s="2"/>
      <c r="K472" s="2"/>
      <c r="L472" s="2"/>
      <c r="M472" s="2"/>
      <c r="N472" s="2"/>
    </row>
    <row r="473" spans="2:14" ht="15.75" customHeight="1" x14ac:dyDescent="0.2">
      <c r="B473" s="2"/>
      <c r="C473" s="27"/>
      <c r="D473" s="27"/>
      <c r="E473" s="27"/>
      <c r="F473" s="27"/>
      <c r="G473" s="2"/>
      <c r="H473" s="2"/>
      <c r="I473" s="2"/>
      <c r="J473" s="2"/>
      <c r="K473" s="2"/>
      <c r="L473" s="2"/>
      <c r="M473" s="2"/>
      <c r="N473" s="2"/>
    </row>
    <row r="474" spans="2:14" ht="15.75" customHeight="1" x14ac:dyDescent="0.2">
      <c r="B474" s="2"/>
      <c r="C474" s="27"/>
      <c r="D474" s="27"/>
      <c r="E474" s="27"/>
      <c r="F474" s="27"/>
      <c r="G474" s="2"/>
      <c r="H474" s="2"/>
      <c r="I474" s="2"/>
      <c r="J474" s="2"/>
      <c r="K474" s="2"/>
      <c r="L474" s="2"/>
      <c r="M474" s="2"/>
      <c r="N474" s="2"/>
    </row>
    <row r="475" spans="2:14" ht="15.75" customHeight="1" x14ac:dyDescent="0.2">
      <c r="B475" s="2"/>
      <c r="C475" s="27"/>
      <c r="D475" s="27"/>
      <c r="E475" s="27"/>
      <c r="F475" s="27"/>
      <c r="G475" s="2"/>
      <c r="H475" s="2"/>
      <c r="I475" s="2"/>
      <c r="J475" s="2"/>
      <c r="K475" s="2"/>
      <c r="L475" s="2"/>
      <c r="M475" s="2"/>
      <c r="N475" s="2"/>
    </row>
    <row r="476" spans="2:14" ht="15.75" customHeight="1" x14ac:dyDescent="0.2">
      <c r="B476" s="2"/>
      <c r="C476" s="27"/>
      <c r="D476" s="27"/>
      <c r="E476" s="27"/>
      <c r="F476" s="27"/>
      <c r="G476" s="2"/>
      <c r="H476" s="2"/>
      <c r="I476" s="2"/>
      <c r="J476" s="2"/>
      <c r="K476" s="2"/>
      <c r="L476" s="2"/>
      <c r="M476" s="2"/>
      <c r="N476" s="2"/>
    </row>
    <row r="477" spans="2:14" ht="15.75" customHeight="1" x14ac:dyDescent="0.2">
      <c r="B477" s="2"/>
      <c r="C477" s="27"/>
      <c r="D477" s="27"/>
      <c r="E477" s="27"/>
      <c r="F477" s="27"/>
      <c r="G477" s="2"/>
      <c r="H477" s="2"/>
      <c r="I477" s="2"/>
      <c r="J477" s="2"/>
      <c r="K477" s="2"/>
      <c r="L477" s="2"/>
      <c r="M477" s="2"/>
      <c r="N477" s="2"/>
    </row>
    <row r="478" spans="2:14" ht="15.75" customHeight="1" x14ac:dyDescent="0.2">
      <c r="B478" s="2"/>
      <c r="C478" s="27"/>
      <c r="D478" s="27"/>
      <c r="E478" s="27"/>
      <c r="F478" s="27"/>
      <c r="G478" s="2"/>
      <c r="H478" s="2"/>
      <c r="I478" s="2"/>
      <c r="J478" s="2"/>
      <c r="K478" s="2"/>
      <c r="L478" s="2"/>
      <c r="M478" s="2"/>
      <c r="N478" s="2"/>
    </row>
    <row r="479" spans="2:14" ht="15.75" customHeight="1" x14ac:dyDescent="0.2">
      <c r="B479" s="2"/>
      <c r="C479" s="27"/>
      <c r="D479" s="27"/>
      <c r="E479" s="27"/>
      <c r="F479" s="27"/>
      <c r="G479" s="2"/>
      <c r="H479" s="2"/>
      <c r="I479" s="2"/>
      <c r="J479" s="2"/>
      <c r="K479" s="2"/>
      <c r="L479" s="2"/>
      <c r="M479" s="2"/>
      <c r="N479" s="2"/>
    </row>
    <row r="480" spans="2:14" ht="15.75" customHeight="1" x14ac:dyDescent="0.2">
      <c r="B480" s="2"/>
      <c r="C480" s="27"/>
      <c r="D480" s="27"/>
      <c r="E480" s="27"/>
      <c r="F480" s="27"/>
      <c r="G480" s="2"/>
      <c r="H480" s="2"/>
      <c r="I480" s="2"/>
      <c r="J480" s="2"/>
      <c r="K480" s="2"/>
      <c r="L480" s="2"/>
      <c r="M480" s="2"/>
      <c r="N480" s="2"/>
    </row>
    <row r="481" spans="2:14" ht="15.75" customHeight="1" x14ac:dyDescent="0.2">
      <c r="B481" s="2"/>
      <c r="C481" s="27"/>
      <c r="D481" s="27"/>
      <c r="E481" s="27"/>
      <c r="F481" s="27"/>
      <c r="G481" s="2"/>
      <c r="H481" s="2"/>
      <c r="I481" s="2"/>
      <c r="J481" s="2"/>
      <c r="K481" s="2"/>
      <c r="L481" s="2"/>
      <c r="M481" s="2"/>
      <c r="N481" s="2"/>
    </row>
    <row r="482" spans="2:14" ht="15.75" customHeight="1" x14ac:dyDescent="0.2">
      <c r="B482" s="2"/>
      <c r="C482" s="27"/>
      <c r="D482" s="27"/>
      <c r="E482" s="27"/>
      <c r="F482" s="27"/>
      <c r="G482" s="2"/>
      <c r="H482" s="2"/>
      <c r="I482" s="2"/>
      <c r="J482" s="2"/>
      <c r="K482" s="2"/>
      <c r="L482" s="2"/>
      <c r="M482" s="2"/>
      <c r="N482" s="2"/>
    </row>
    <row r="483" spans="2:14" ht="15.75" customHeight="1" x14ac:dyDescent="0.2">
      <c r="B483" s="2"/>
      <c r="C483" s="27"/>
      <c r="D483" s="27"/>
      <c r="E483" s="27"/>
      <c r="F483" s="27"/>
      <c r="G483" s="2"/>
      <c r="H483" s="2"/>
      <c r="I483" s="2"/>
      <c r="J483" s="2"/>
      <c r="K483" s="2"/>
      <c r="L483" s="2"/>
      <c r="M483" s="2"/>
      <c r="N483" s="2"/>
    </row>
    <row r="484" spans="2:14" ht="15.75" customHeight="1" x14ac:dyDescent="0.2">
      <c r="B484" s="2"/>
      <c r="C484" s="27"/>
      <c r="D484" s="27"/>
      <c r="E484" s="27"/>
      <c r="F484" s="27"/>
      <c r="G484" s="2"/>
      <c r="H484" s="2"/>
      <c r="I484" s="2"/>
      <c r="J484" s="2"/>
      <c r="K484" s="2"/>
      <c r="L484" s="2"/>
      <c r="M484" s="2"/>
      <c r="N484" s="2"/>
    </row>
    <row r="485" spans="2:14" ht="15.75" customHeight="1" x14ac:dyDescent="0.2">
      <c r="B485" s="2"/>
      <c r="C485" s="27"/>
      <c r="D485" s="27"/>
      <c r="E485" s="27"/>
      <c r="F485" s="27"/>
      <c r="G485" s="2"/>
      <c r="H485" s="2"/>
      <c r="I485" s="2"/>
      <c r="J485" s="2"/>
      <c r="K485" s="2"/>
      <c r="L485" s="2"/>
      <c r="M485" s="2"/>
      <c r="N485" s="2"/>
    </row>
    <row r="486" spans="2:14" ht="15.75" customHeight="1" x14ac:dyDescent="0.2">
      <c r="B486" s="2"/>
      <c r="C486" s="27"/>
      <c r="D486" s="27"/>
      <c r="E486" s="27"/>
      <c r="F486" s="27"/>
      <c r="G486" s="2"/>
      <c r="H486" s="2"/>
      <c r="I486" s="2"/>
      <c r="J486" s="2"/>
      <c r="K486" s="2"/>
      <c r="L486" s="2"/>
      <c r="M486" s="2"/>
      <c r="N486" s="2"/>
    </row>
    <row r="487" spans="2:14" ht="15.75" customHeight="1" x14ac:dyDescent="0.2">
      <c r="B487" s="2"/>
      <c r="C487" s="27"/>
      <c r="D487" s="27"/>
      <c r="E487" s="27"/>
      <c r="F487" s="27"/>
      <c r="G487" s="2"/>
      <c r="H487" s="2"/>
      <c r="I487" s="2"/>
      <c r="J487" s="2"/>
      <c r="K487" s="2"/>
      <c r="L487" s="2"/>
      <c r="M487" s="2"/>
      <c r="N487" s="2"/>
    </row>
    <row r="488" spans="2:14" ht="15.75" customHeight="1" x14ac:dyDescent="0.2">
      <c r="B488" s="2"/>
      <c r="C488" s="27"/>
      <c r="D488" s="27"/>
      <c r="E488" s="27"/>
      <c r="F488" s="27"/>
      <c r="G488" s="2"/>
      <c r="H488" s="2"/>
      <c r="I488" s="2"/>
      <c r="J488" s="2"/>
      <c r="K488" s="2"/>
      <c r="L488" s="2"/>
      <c r="M488" s="2"/>
      <c r="N488" s="2"/>
    </row>
    <row r="489" spans="2:14" ht="15.75" customHeight="1" x14ac:dyDescent="0.2">
      <c r="B489" s="2"/>
      <c r="C489" s="27"/>
      <c r="D489" s="27"/>
      <c r="E489" s="27"/>
      <c r="F489" s="27"/>
      <c r="G489" s="2"/>
      <c r="H489" s="2"/>
      <c r="I489" s="2"/>
      <c r="J489" s="2"/>
      <c r="K489" s="2"/>
      <c r="L489" s="2"/>
      <c r="M489" s="2"/>
      <c r="N489" s="2"/>
    </row>
    <row r="490" spans="2:14" ht="15.75" customHeight="1" x14ac:dyDescent="0.2">
      <c r="B490" s="2"/>
      <c r="C490" s="27"/>
      <c r="D490" s="27"/>
      <c r="E490" s="27"/>
      <c r="F490" s="27"/>
      <c r="G490" s="2"/>
      <c r="H490" s="2"/>
      <c r="I490" s="2"/>
      <c r="J490" s="2"/>
      <c r="K490" s="2"/>
      <c r="L490" s="2"/>
      <c r="M490" s="2"/>
      <c r="N490" s="2"/>
    </row>
    <row r="491" spans="2:14" ht="15.75" customHeight="1" x14ac:dyDescent="0.2">
      <c r="B491" s="2"/>
      <c r="C491" s="27"/>
      <c r="D491" s="27"/>
      <c r="E491" s="27"/>
      <c r="F491" s="27"/>
      <c r="G491" s="2"/>
      <c r="H491" s="2"/>
      <c r="I491" s="2"/>
      <c r="J491" s="2"/>
      <c r="K491" s="2"/>
      <c r="L491" s="2"/>
      <c r="M491" s="2"/>
      <c r="N491" s="2"/>
    </row>
    <row r="492" spans="2:14" ht="15.75" customHeight="1" x14ac:dyDescent="0.2">
      <c r="B492" s="2"/>
      <c r="C492" s="27"/>
      <c r="D492" s="27"/>
      <c r="E492" s="27"/>
      <c r="F492" s="27"/>
      <c r="G492" s="2"/>
      <c r="H492" s="2"/>
      <c r="I492" s="2"/>
      <c r="J492" s="2"/>
      <c r="K492" s="2"/>
      <c r="L492" s="2"/>
      <c r="M492" s="2"/>
      <c r="N492" s="2"/>
    </row>
    <row r="493" spans="2:14" ht="15.75" customHeight="1" x14ac:dyDescent="0.2">
      <c r="B493" s="2"/>
      <c r="C493" s="27"/>
      <c r="D493" s="27"/>
      <c r="E493" s="27"/>
      <c r="F493" s="27"/>
      <c r="G493" s="2"/>
      <c r="H493" s="2"/>
      <c r="I493" s="2"/>
      <c r="J493" s="2"/>
      <c r="K493" s="2"/>
      <c r="L493" s="2"/>
      <c r="M493" s="2"/>
      <c r="N493" s="2"/>
    </row>
    <row r="494" spans="2:14" ht="15.75" customHeight="1" x14ac:dyDescent="0.2">
      <c r="B494" s="2"/>
      <c r="C494" s="27"/>
      <c r="D494" s="27"/>
      <c r="E494" s="27"/>
      <c r="F494" s="27"/>
      <c r="G494" s="2"/>
      <c r="H494" s="2"/>
      <c r="I494" s="2"/>
      <c r="J494" s="2"/>
      <c r="K494" s="2"/>
      <c r="L494" s="2"/>
      <c r="M494" s="2"/>
      <c r="N494" s="2"/>
    </row>
    <row r="495" spans="2:14" ht="15.75" customHeight="1" x14ac:dyDescent="0.2">
      <c r="B495" s="2"/>
      <c r="C495" s="27"/>
      <c r="D495" s="27"/>
      <c r="E495" s="27"/>
      <c r="F495" s="27"/>
      <c r="G495" s="2"/>
      <c r="H495" s="2"/>
      <c r="I495" s="2"/>
      <c r="J495" s="2"/>
      <c r="K495" s="2"/>
      <c r="L495" s="2"/>
      <c r="M495" s="2"/>
      <c r="N495" s="2"/>
    </row>
    <row r="496" spans="2:14" ht="15.75" customHeight="1" x14ac:dyDescent="0.2">
      <c r="B496" s="2"/>
      <c r="C496" s="27"/>
      <c r="D496" s="27"/>
      <c r="E496" s="27"/>
      <c r="F496" s="27"/>
      <c r="G496" s="2"/>
      <c r="H496" s="2"/>
      <c r="I496" s="2"/>
      <c r="J496" s="2"/>
      <c r="K496" s="2"/>
      <c r="L496" s="2"/>
      <c r="M496" s="2"/>
      <c r="N496" s="2"/>
    </row>
    <row r="497" spans="2:14" ht="15.75" customHeight="1" x14ac:dyDescent="0.2">
      <c r="B497" s="2"/>
      <c r="C497" s="27"/>
      <c r="D497" s="27"/>
      <c r="E497" s="27"/>
      <c r="F497" s="27"/>
      <c r="G497" s="2"/>
      <c r="H497" s="2"/>
      <c r="I497" s="2"/>
      <c r="J497" s="2"/>
      <c r="K497" s="2"/>
      <c r="L497" s="2"/>
      <c r="M497" s="2"/>
      <c r="N497" s="2"/>
    </row>
    <row r="498" spans="2:14" ht="15.75" customHeight="1" x14ac:dyDescent="0.2">
      <c r="B498" s="2"/>
      <c r="C498" s="27"/>
      <c r="D498" s="27"/>
      <c r="E498" s="27"/>
      <c r="F498" s="27"/>
      <c r="G498" s="2"/>
      <c r="H498" s="2"/>
      <c r="I498" s="2"/>
      <c r="J498" s="2"/>
      <c r="K498" s="2"/>
      <c r="L498" s="2"/>
      <c r="M498" s="2"/>
      <c r="N498" s="2"/>
    </row>
    <row r="499" spans="2:14" ht="15.75" customHeight="1" x14ac:dyDescent="0.2">
      <c r="B499" s="2"/>
      <c r="C499" s="27"/>
      <c r="D499" s="27"/>
      <c r="E499" s="27"/>
      <c r="F499" s="27"/>
      <c r="G499" s="2"/>
      <c r="H499" s="2"/>
      <c r="I499" s="2"/>
      <c r="J499" s="2"/>
      <c r="K499" s="2"/>
      <c r="L499" s="2"/>
      <c r="M499" s="2"/>
      <c r="N499" s="2"/>
    </row>
    <row r="500" spans="2:14" ht="15.75" customHeight="1" x14ac:dyDescent="0.2">
      <c r="B500" s="2"/>
      <c r="C500" s="27"/>
      <c r="D500" s="27"/>
      <c r="E500" s="27"/>
      <c r="F500" s="27"/>
      <c r="G500" s="2"/>
      <c r="H500" s="2"/>
      <c r="I500" s="2"/>
      <c r="J500" s="2"/>
      <c r="K500" s="2"/>
      <c r="L500" s="2"/>
      <c r="M500" s="2"/>
      <c r="N500" s="2"/>
    </row>
    <row r="501" spans="2:14" ht="15.75" customHeight="1" x14ac:dyDescent="0.2">
      <c r="B501" s="2"/>
      <c r="C501" s="27"/>
      <c r="D501" s="27"/>
      <c r="E501" s="27"/>
      <c r="F501" s="27"/>
      <c r="G501" s="2"/>
      <c r="H501" s="2"/>
      <c r="I501" s="2"/>
      <c r="J501" s="2"/>
      <c r="K501" s="2"/>
      <c r="L501" s="2"/>
      <c r="M501" s="2"/>
      <c r="N501" s="2"/>
    </row>
    <row r="502" spans="2:14" ht="15.75" customHeight="1" x14ac:dyDescent="0.2">
      <c r="B502" s="2"/>
      <c r="C502" s="27"/>
      <c r="D502" s="27"/>
      <c r="E502" s="27"/>
      <c r="F502" s="27"/>
      <c r="G502" s="2"/>
      <c r="H502" s="2"/>
      <c r="I502" s="2"/>
      <c r="J502" s="2"/>
      <c r="K502" s="2"/>
      <c r="L502" s="2"/>
      <c r="M502" s="2"/>
      <c r="N502" s="2"/>
    </row>
    <row r="503" spans="2:14" ht="15.75" customHeight="1" x14ac:dyDescent="0.2">
      <c r="B503" s="2"/>
      <c r="C503" s="27"/>
      <c r="D503" s="27"/>
      <c r="E503" s="27"/>
      <c r="F503" s="27"/>
      <c r="G503" s="2"/>
      <c r="H503" s="2"/>
      <c r="I503" s="2"/>
      <c r="J503" s="2"/>
      <c r="K503" s="2"/>
      <c r="L503" s="2"/>
      <c r="M503" s="2"/>
      <c r="N503" s="2"/>
    </row>
    <row r="504" spans="2:14" ht="15.75" customHeight="1" x14ac:dyDescent="0.2">
      <c r="B504" s="2"/>
      <c r="C504" s="27"/>
      <c r="D504" s="27"/>
      <c r="E504" s="27"/>
      <c r="F504" s="27"/>
      <c r="G504" s="2"/>
      <c r="H504" s="2"/>
      <c r="I504" s="2"/>
      <c r="J504" s="2"/>
      <c r="K504" s="2"/>
      <c r="L504" s="2"/>
      <c r="M504" s="2"/>
      <c r="N504" s="2"/>
    </row>
    <row r="505" spans="2:14" ht="15.75" customHeight="1" x14ac:dyDescent="0.2">
      <c r="B505" s="2"/>
      <c r="C505" s="27"/>
      <c r="D505" s="27"/>
      <c r="E505" s="27"/>
      <c r="F505" s="27"/>
      <c r="G505" s="2"/>
      <c r="H505" s="2"/>
      <c r="I505" s="2"/>
      <c r="J505" s="2"/>
      <c r="K505" s="2"/>
      <c r="L505" s="2"/>
      <c r="M505" s="2"/>
      <c r="N505" s="2"/>
    </row>
    <row r="506" spans="2:14" ht="15.75" customHeight="1" x14ac:dyDescent="0.2">
      <c r="B506" s="2"/>
      <c r="C506" s="27"/>
      <c r="D506" s="27"/>
      <c r="E506" s="27"/>
      <c r="F506" s="27"/>
      <c r="G506" s="2"/>
      <c r="H506" s="2"/>
      <c r="I506" s="2"/>
      <c r="J506" s="2"/>
      <c r="K506" s="2"/>
      <c r="L506" s="2"/>
      <c r="M506" s="2"/>
      <c r="N506" s="2"/>
    </row>
    <row r="507" spans="2:14" ht="15.75" customHeight="1" x14ac:dyDescent="0.2">
      <c r="B507" s="2"/>
      <c r="C507" s="27"/>
      <c r="D507" s="27"/>
      <c r="E507" s="27"/>
      <c r="F507" s="27"/>
      <c r="G507" s="2"/>
      <c r="H507" s="2"/>
      <c r="I507" s="2"/>
      <c r="J507" s="2"/>
      <c r="K507" s="2"/>
      <c r="L507" s="2"/>
      <c r="M507" s="2"/>
      <c r="N507" s="2"/>
    </row>
    <row r="508" spans="2:14" ht="15.75" customHeight="1" x14ac:dyDescent="0.2">
      <c r="B508" s="2"/>
      <c r="C508" s="27"/>
      <c r="D508" s="27"/>
      <c r="E508" s="27"/>
      <c r="F508" s="27"/>
      <c r="G508" s="2"/>
      <c r="H508" s="2"/>
      <c r="I508" s="2"/>
      <c r="J508" s="2"/>
      <c r="K508" s="2"/>
      <c r="L508" s="2"/>
      <c r="M508" s="2"/>
      <c r="N508" s="2"/>
    </row>
    <row r="509" spans="2:14" ht="15.75" customHeight="1" x14ac:dyDescent="0.2">
      <c r="B509" s="2"/>
      <c r="C509" s="27"/>
      <c r="D509" s="27"/>
      <c r="E509" s="27"/>
      <c r="F509" s="27"/>
      <c r="G509" s="2"/>
      <c r="H509" s="2"/>
      <c r="I509" s="2"/>
      <c r="J509" s="2"/>
      <c r="K509" s="2"/>
      <c r="L509" s="2"/>
      <c r="M509" s="2"/>
      <c r="N509" s="2"/>
    </row>
    <row r="510" spans="2:14" ht="15.75" customHeight="1" x14ac:dyDescent="0.2">
      <c r="B510" s="2"/>
      <c r="C510" s="27"/>
      <c r="D510" s="27"/>
      <c r="E510" s="27"/>
      <c r="F510" s="27"/>
      <c r="G510" s="2"/>
      <c r="H510" s="2"/>
      <c r="I510" s="2"/>
      <c r="J510" s="2"/>
      <c r="K510" s="2"/>
      <c r="L510" s="2"/>
      <c r="M510" s="2"/>
      <c r="N510" s="2"/>
    </row>
    <row r="511" spans="2:14" ht="15.75" customHeight="1" x14ac:dyDescent="0.2">
      <c r="B511" s="2"/>
      <c r="C511" s="27"/>
      <c r="D511" s="27"/>
      <c r="E511" s="27"/>
      <c r="F511" s="27"/>
      <c r="G511" s="2"/>
      <c r="H511" s="2"/>
      <c r="I511" s="2"/>
      <c r="J511" s="2"/>
      <c r="K511" s="2"/>
      <c r="L511" s="2"/>
      <c r="M511" s="2"/>
      <c r="N511" s="2"/>
    </row>
    <row r="512" spans="2:14" ht="15.75" customHeight="1" x14ac:dyDescent="0.2">
      <c r="B512" s="2"/>
      <c r="C512" s="27"/>
      <c r="D512" s="27"/>
      <c r="E512" s="27"/>
      <c r="F512" s="27"/>
      <c r="G512" s="2"/>
      <c r="H512" s="2"/>
      <c r="I512" s="2"/>
      <c r="J512" s="2"/>
      <c r="K512" s="2"/>
      <c r="L512" s="2"/>
      <c r="M512" s="2"/>
      <c r="N512" s="2"/>
    </row>
    <row r="513" spans="2:14" ht="15.75" customHeight="1" x14ac:dyDescent="0.2">
      <c r="B513" s="2"/>
      <c r="C513" s="27"/>
      <c r="D513" s="27"/>
      <c r="E513" s="27"/>
      <c r="F513" s="27"/>
      <c r="G513" s="2"/>
      <c r="H513" s="2"/>
      <c r="I513" s="2"/>
      <c r="J513" s="2"/>
      <c r="K513" s="2"/>
      <c r="L513" s="2"/>
      <c r="M513" s="2"/>
      <c r="N513" s="2"/>
    </row>
    <row r="514" spans="2:14" ht="15.75" customHeight="1" x14ac:dyDescent="0.2">
      <c r="B514" s="2"/>
      <c r="C514" s="27"/>
      <c r="D514" s="27"/>
      <c r="E514" s="27"/>
      <c r="F514" s="27"/>
      <c r="G514" s="2"/>
      <c r="H514" s="2"/>
      <c r="I514" s="2"/>
      <c r="J514" s="2"/>
      <c r="K514" s="2"/>
      <c r="L514" s="2"/>
      <c r="M514" s="2"/>
      <c r="N514" s="2"/>
    </row>
    <row r="515" spans="2:14" ht="15.75" customHeight="1" x14ac:dyDescent="0.2">
      <c r="B515" s="2"/>
      <c r="C515" s="27"/>
      <c r="D515" s="27"/>
      <c r="E515" s="27"/>
      <c r="F515" s="27"/>
      <c r="G515" s="2"/>
      <c r="H515" s="2"/>
      <c r="I515" s="2"/>
      <c r="J515" s="2"/>
      <c r="K515" s="2"/>
      <c r="L515" s="2"/>
      <c r="M515" s="2"/>
      <c r="N515" s="2"/>
    </row>
    <row r="516" spans="2:14" ht="15.75" customHeight="1" x14ac:dyDescent="0.2">
      <c r="B516" s="2"/>
      <c r="C516" s="27"/>
      <c r="D516" s="27"/>
      <c r="E516" s="27"/>
      <c r="F516" s="27"/>
      <c r="G516" s="2"/>
      <c r="H516" s="2"/>
      <c r="I516" s="2"/>
      <c r="J516" s="2"/>
      <c r="K516" s="2"/>
      <c r="L516" s="2"/>
      <c r="M516" s="2"/>
      <c r="N516" s="2"/>
    </row>
    <row r="517" spans="2:14" ht="15.75" customHeight="1" x14ac:dyDescent="0.2">
      <c r="B517" s="2"/>
      <c r="C517" s="27"/>
      <c r="D517" s="27"/>
      <c r="E517" s="27"/>
      <c r="F517" s="27"/>
      <c r="G517" s="2"/>
      <c r="H517" s="2"/>
      <c r="I517" s="2"/>
      <c r="J517" s="2"/>
      <c r="K517" s="2"/>
      <c r="L517" s="2"/>
      <c r="M517" s="2"/>
      <c r="N517" s="2"/>
    </row>
    <row r="518" spans="2:14" ht="15.75" customHeight="1" x14ac:dyDescent="0.2">
      <c r="B518" s="2"/>
      <c r="C518" s="27"/>
      <c r="D518" s="27"/>
      <c r="E518" s="27"/>
      <c r="F518" s="27"/>
      <c r="G518" s="2"/>
      <c r="H518" s="2"/>
      <c r="I518" s="2"/>
      <c r="J518" s="2"/>
      <c r="K518" s="2"/>
      <c r="L518" s="2"/>
      <c r="M518" s="2"/>
      <c r="N518" s="2"/>
    </row>
    <row r="519" spans="2:14" ht="15.75" customHeight="1" x14ac:dyDescent="0.2">
      <c r="B519" s="2"/>
      <c r="C519" s="27"/>
      <c r="D519" s="27"/>
      <c r="E519" s="27"/>
      <c r="F519" s="27"/>
      <c r="G519" s="2"/>
      <c r="H519" s="2"/>
      <c r="I519" s="2"/>
      <c r="J519" s="2"/>
      <c r="K519" s="2"/>
      <c r="L519" s="2"/>
      <c r="M519" s="2"/>
      <c r="N519" s="2"/>
    </row>
    <row r="520" spans="2:14" ht="15.75" customHeight="1" x14ac:dyDescent="0.2">
      <c r="B520" s="2"/>
      <c r="C520" s="27"/>
      <c r="D520" s="27"/>
      <c r="E520" s="27"/>
      <c r="F520" s="27"/>
      <c r="G520" s="2"/>
      <c r="H520" s="2"/>
      <c r="I520" s="2"/>
      <c r="J520" s="2"/>
      <c r="K520" s="2"/>
      <c r="L520" s="2"/>
      <c r="M520" s="2"/>
      <c r="N520" s="2"/>
    </row>
    <row r="521" spans="2:14" ht="15.75" customHeight="1" x14ac:dyDescent="0.2">
      <c r="B521" s="2"/>
      <c r="C521" s="27"/>
      <c r="D521" s="27"/>
      <c r="E521" s="27"/>
      <c r="F521" s="27"/>
      <c r="G521" s="2"/>
      <c r="H521" s="2"/>
      <c r="I521" s="2"/>
      <c r="J521" s="2"/>
      <c r="K521" s="2"/>
      <c r="L521" s="2"/>
      <c r="M521" s="2"/>
      <c r="N521" s="2"/>
    </row>
    <row r="522" spans="2:14" ht="15.75" customHeight="1" x14ac:dyDescent="0.2">
      <c r="B522" s="2"/>
      <c r="C522" s="27"/>
      <c r="D522" s="27"/>
      <c r="E522" s="27"/>
      <c r="F522" s="27"/>
      <c r="G522" s="2"/>
      <c r="H522" s="2"/>
      <c r="I522" s="2"/>
      <c r="J522" s="2"/>
      <c r="K522" s="2"/>
      <c r="L522" s="2"/>
      <c r="M522" s="2"/>
      <c r="N522" s="2"/>
    </row>
    <row r="523" spans="2:14" ht="15.75" customHeight="1" x14ac:dyDescent="0.2">
      <c r="B523" s="2"/>
      <c r="C523" s="27"/>
      <c r="D523" s="27"/>
      <c r="E523" s="27"/>
      <c r="F523" s="27"/>
      <c r="G523" s="2"/>
      <c r="H523" s="2"/>
      <c r="I523" s="2"/>
      <c r="J523" s="2"/>
      <c r="K523" s="2"/>
      <c r="L523" s="2"/>
      <c r="M523" s="2"/>
      <c r="N523" s="2"/>
    </row>
    <row r="524" spans="2:14" ht="15.75" customHeight="1" x14ac:dyDescent="0.2">
      <c r="B524" s="2"/>
      <c r="C524" s="27"/>
      <c r="D524" s="27"/>
      <c r="E524" s="27"/>
      <c r="F524" s="27"/>
      <c r="G524" s="2"/>
      <c r="H524" s="2"/>
      <c r="I524" s="2"/>
      <c r="J524" s="2"/>
      <c r="K524" s="2"/>
      <c r="L524" s="2"/>
      <c r="M524" s="2"/>
      <c r="N524" s="2"/>
    </row>
    <row r="525" spans="2:14" ht="15.75" customHeight="1" x14ac:dyDescent="0.2">
      <c r="B525" s="2"/>
      <c r="C525" s="27"/>
      <c r="D525" s="27"/>
      <c r="E525" s="27"/>
      <c r="F525" s="27"/>
      <c r="G525" s="2"/>
      <c r="H525" s="2"/>
      <c r="I525" s="2"/>
      <c r="J525" s="2"/>
      <c r="K525" s="2"/>
      <c r="L525" s="2"/>
      <c r="M525" s="2"/>
      <c r="N525" s="2"/>
    </row>
    <row r="526" spans="2:14" ht="15.75" customHeight="1" x14ac:dyDescent="0.2">
      <c r="B526" s="2"/>
      <c r="C526" s="27"/>
      <c r="D526" s="27"/>
      <c r="E526" s="27"/>
      <c r="F526" s="27"/>
      <c r="G526" s="2"/>
      <c r="H526" s="2"/>
      <c r="I526" s="2"/>
      <c r="J526" s="2"/>
      <c r="K526" s="2"/>
      <c r="L526" s="2"/>
      <c r="M526" s="2"/>
      <c r="N526" s="2"/>
    </row>
    <row r="527" spans="2:14" ht="15.75" customHeight="1" x14ac:dyDescent="0.2">
      <c r="B527" s="2"/>
      <c r="C527" s="27"/>
      <c r="D527" s="27"/>
      <c r="E527" s="27"/>
      <c r="F527" s="27"/>
      <c r="G527" s="2"/>
      <c r="H527" s="2"/>
      <c r="I527" s="2"/>
      <c r="J527" s="2"/>
      <c r="K527" s="2"/>
      <c r="L527" s="2"/>
      <c r="M527" s="2"/>
      <c r="N527" s="2"/>
    </row>
    <row r="528" spans="2:14" ht="15.75" customHeight="1" x14ac:dyDescent="0.2">
      <c r="B528" s="2"/>
      <c r="C528" s="27"/>
      <c r="D528" s="27"/>
      <c r="E528" s="27"/>
      <c r="F528" s="27"/>
      <c r="G528" s="2"/>
      <c r="H528" s="2"/>
      <c r="I528" s="2"/>
      <c r="J528" s="2"/>
      <c r="K528" s="2"/>
      <c r="L528" s="2"/>
      <c r="M528" s="2"/>
      <c r="N528" s="2"/>
    </row>
    <row r="529" spans="2:14" ht="15.75" customHeight="1" x14ac:dyDescent="0.2">
      <c r="B529" s="2"/>
      <c r="C529" s="27"/>
      <c r="D529" s="27"/>
      <c r="E529" s="27"/>
      <c r="F529" s="27"/>
      <c r="G529" s="2"/>
      <c r="H529" s="2"/>
      <c r="I529" s="2"/>
      <c r="J529" s="2"/>
      <c r="K529" s="2"/>
      <c r="L529" s="2"/>
      <c r="M529" s="2"/>
      <c r="N529" s="2"/>
    </row>
    <row r="530" spans="2:14" ht="15.75" customHeight="1" x14ac:dyDescent="0.2">
      <c r="B530" s="2"/>
      <c r="C530" s="27"/>
      <c r="D530" s="27"/>
      <c r="E530" s="27"/>
      <c r="F530" s="27"/>
      <c r="G530" s="2"/>
      <c r="H530" s="2"/>
      <c r="I530" s="2"/>
      <c r="J530" s="2"/>
      <c r="K530" s="2"/>
      <c r="L530" s="2"/>
      <c r="M530" s="2"/>
      <c r="N530" s="2"/>
    </row>
    <row r="531" spans="2:14" ht="15.75" customHeight="1" x14ac:dyDescent="0.2">
      <c r="B531" s="2"/>
      <c r="C531" s="27"/>
      <c r="D531" s="27"/>
      <c r="E531" s="27"/>
      <c r="F531" s="27"/>
      <c r="G531" s="2"/>
      <c r="H531" s="2"/>
      <c r="I531" s="2"/>
      <c r="J531" s="2"/>
      <c r="K531" s="2"/>
      <c r="L531" s="2"/>
      <c r="M531" s="2"/>
      <c r="N531" s="2"/>
    </row>
    <row r="532" spans="2:14" ht="15.75" customHeight="1" x14ac:dyDescent="0.2">
      <c r="B532" s="2"/>
      <c r="C532" s="27"/>
      <c r="D532" s="27"/>
      <c r="E532" s="27"/>
      <c r="F532" s="27"/>
      <c r="G532" s="2"/>
      <c r="H532" s="2"/>
      <c r="I532" s="2"/>
      <c r="J532" s="2"/>
      <c r="K532" s="2"/>
      <c r="L532" s="2"/>
      <c r="M532" s="2"/>
      <c r="N532" s="2"/>
    </row>
    <row r="533" spans="2:14" ht="15.75" customHeight="1" x14ac:dyDescent="0.2">
      <c r="B533" s="2"/>
      <c r="C533" s="27"/>
      <c r="D533" s="27"/>
      <c r="E533" s="27"/>
      <c r="F533" s="27"/>
      <c r="G533" s="2"/>
      <c r="H533" s="2"/>
      <c r="I533" s="2"/>
      <c r="J533" s="2"/>
      <c r="K533" s="2"/>
      <c r="L533" s="2"/>
      <c r="M533" s="2"/>
      <c r="N533" s="2"/>
    </row>
    <row r="534" spans="2:14" ht="15.75" customHeight="1" x14ac:dyDescent="0.2">
      <c r="B534" s="2"/>
      <c r="C534" s="27"/>
      <c r="D534" s="27"/>
      <c r="E534" s="27"/>
      <c r="F534" s="27"/>
      <c r="G534" s="2"/>
      <c r="H534" s="2"/>
      <c r="I534" s="2"/>
      <c r="J534" s="2"/>
      <c r="K534" s="2"/>
      <c r="L534" s="2"/>
      <c r="M534" s="2"/>
      <c r="N534" s="2"/>
    </row>
    <row r="535" spans="2:14" ht="15.75" customHeight="1" x14ac:dyDescent="0.2">
      <c r="B535" s="2"/>
      <c r="C535" s="27"/>
      <c r="D535" s="27"/>
      <c r="E535" s="27"/>
      <c r="F535" s="27"/>
      <c r="G535" s="2"/>
      <c r="H535" s="2"/>
      <c r="I535" s="2"/>
      <c r="J535" s="2"/>
      <c r="K535" s="2"/>
      <c r="L535" s="2"/>
      <c r="M535" s="2"/>
      <c r="N535" s="2"/>
    </row>
    <row r="536" spans="2:14" ht="15.75" customHeight="1" x14ac:dyDescent="0.2">
      <c r="B536" s="2"/>
      <c r="C536" s="27"/>
      <c r="D536" s="27"/>
      <c r="E536" s="27"/>
      <c r="F536" s="27"/>
      <c r="G536" s="2"/>
      <c r="H536" s="2"/>
      <c r="I536" s="2"/>
      <c r="J536" s="2"/>
      <c r="K536" s="2"/>
      <c r="L536" s="2"/>
      <c r="M536" s="2"/>
      <c r="N536" s="2"/>
    </row>
    <row r="537" spans="2:14" ht="15.75" customHeight="1" x14ac:dyDescent="0.2">
      <c r="B537" s="2"/>
      <c r="C537" s="27"/>
      <c r="D537" s="27"/>
      <c r="E537" s="27"/>
      <c r="F537" s="27"/>
      <c r="G537" s="2"/>
      <c r="H537" s="2"/>
      <c r="I537" s="2"/>
      <c r="J537" s="2"/>
      <c r="K537" s="2"/>
      <c r="L537" s="2"/>
      <c r="M537" s="2"/>
      <c r="N537" s="2"/>
    </row>
    <row r="538" spans="2:14" ht="15.75" customHeight="1" x14ac:dyDescent="0.2">
      <c r="B538" s="2"/>
      <c r="C538" s="27"/>
      <c r="D538" s="27"/>
      <c r="E538" s="27"/>
      <c r="F538" s="27"/>
      <c r="G538" s="2"/>
      <c r="H538" s="2"/>
      <c r="I538" s="2"/>
      <c r="J538" s="2"/>
      <c r="K538" s="2"/>
      <c r="L538" s="2"/>
      <c r="M538" s="2"/>
      <c r="N538" s="2"/>
    </row>
    <row r="539" spans="2:14" ht="15.75" customHeight="1" x14ac:dyDescent="0.2">
      <c r="B539" s="2"/>
      <c r="C539" s="27"/>
      <c r="D539" s="27"/>
      <c r="E539" s="27"/>
      <c r="F539" s="27"/>
      <c r="G539" s="2"/>
      <c r="H539" s="2"/>
      <c r="I539" s="2"/>
      <c r="J539" s="2"/>
      <c r="K539" s="2"/>
      <c r="L539" s="2"/>
      <c r="M539" s="2"/>
      <c r="N539" s="2"/>
    </row>
    <row r="540" spans="2:14" ht="15.75" customHeight="1" x14ac:dyDescent="0.2">
      <c r="B540" s="2"/>
      <c r="C540" s="27"/>
      <c r="D540" s="27"/>
      <c r="E540" s="27"/>
      <c r="F540" s="27"/>
      <c r="G540" s="2"/>
      <c r="H540" s="2"/>
      <c r="I540" s="2"/>
      <c r="J540" s="2"/>
      <c r="K540" s="2"/>
      <c r="L540" s="2"/>
      <c r="M540" s="2"/>
      <c r="N540" s="2"/>
    </row>
    <row r="541" spans="2:14" ht="15.75" customHeight="1" x14ac:dyDescent="0.2">
      <c r="B541" s="2"/>
      <c r="C541" s="27"/>
      <c r="D541" s="27"/>
      <c r="E541" s="27"/>
      <c r="F541" s="27"/>
      <c r="G541" s="2"/>
      <c r="H541" s="2"/>
      <c r="I541" s="2"/>
      <c r="J541" s="2"/>
      <c r="K541" s="2"/>
      <c r="L541" s="2"/>
      <c r="M541" s="2"/>
      <c r="N541" s="2"/>
    </row>
    <row r="542" spans="2:14" ht="15.75" customHeight="1" x14ac:dyDescent="0.2">
      <c r="B542" s="2"/>
      <c r="C542" s="27"/>
      <c r="D542" s="27"/>
      <c r="E542" s="27"/>
      <c r="F542" s="27"/>
      <c r="G542" s="2"/>
      <c r="H542" s="2"/>
      <c r="I542" s="2"/>
      <c r="J542" s="2"/>
      <c r="K542" s="2"/>
      <c r="L542" s="2"/>
      <c r="M542" s="2"/>
      <c r="N542" s="2"/>
    </row>
    <row r="543" spans="2:14" ht="15.75" customHeight="1" x14ac:dyDescent="0.2">
      <c r="B543" s="2"/>
      <c r="C543" s="27"/>
      <c r="D543" s="27"/>
      <c r="E543" s="27"/>
      <c r="F543" s="27"/>
      <c r="G543" s="2"/>
      <c r="H543" s="2"/>
      <c r="I543" s="2"/>
      <c r="J543" s="2"/>
      <c r="K543" s="2"/>
      <c r="L543" s="2"/>
      <c r="M543" s="2"/>
      <c r="N543" s="2"/>
    </row>
    <row r="544" spans="2:14" ht="15.75" customHeight="1" x14ac:dyDescent="0.2">
      <c r="B544" s="2"/>
      <c r="C544" s="27"/>
      <c r="D544" s="27"/>
      <c r="E544" s="27"/>
      <c r="F544" s="27"/>
      <c r="G544" s="2"/>
      <c r="H544" s="2"/>
      <c r="I544" s="2"/>
      <c r="J544" s="2"/>
      <c r="K544" s="2"/>
      <c r="L544" s="2"/>
      <c r="M544" s="2"/>
      <c r="N544" s="2"/>
    </row>
    <row r="545" spans="2:14" ht="15.75" customHeight="1" x14ac:dyDescent="0.2">
      <c r="B545" s="2"/>
      <c r="C545" s="27"/>
      <c r="D545" s="27"/>
      <c r="E545" s="27"/>
      <c r="F545" s="27"/>
      <c r="G545" s="2"/>
      <c r="H545" s="2"/>
      <c r="I545" s="2"/>
      <c r="J545" s="2"/>
      <c r="K545" s="2"/>
      <c r="L545" s="2"/>
      <c r="M545" s="2"/>
      <c r="N545" s="2"/>
    </row>
    <row r="546" spans="2:14" ht="15.75" customHeight="1" x14ac:dyDescent="0.2">
      <c r="B546" s="2"/>
      <c r="C546" s="27"/>
      <c r="D546" s="27"/>
      <c r="E546" s="27"/>
      <c r="F546" s="27"/>
      <c r="G546" s="2"/>
      <c r="H546" s="2"/>
      <c r="I546" s="2"/>
      <c r="J546" s="2"/>
      <c r="K546" s="2"/>
      <c r="L546" s="2"/>
      <c r="M546" s="2"/>
      <c r="N546" s="2"/>
    </row>
    <row r="547" spans="2:14" ht="15.75" customHeight="1" x14ac:dyDescent="0.2">
      <c r="B547" s="2"/>
      <c r="C547" s="27"/>
      <c r="D547" s="27"/>
      <c r="E547" s="27"/>
      <c r="F547" s="27"/>
      <c r="G547" s="2"/>
      <c r="H547" s="2"/>
      <c r="I547" s="2"/>
      <c r="J547" s="2"/>
      <c r="K547" s="2"/>
      <c r="L547" s="2"/>
      <c r="M547" s="2"/>
      <c r="N547" s="2"/>
    </row>
    <row r="548" spans="2:14" ht="15.75" customHeight="1" x14ac:dyDescent="0.2">
      <c r="B548" s="2"/>
      <c r="C548" s="27"/>
      <c r="D548" s="27"/>
      <c r="E548" s="27"/>
      <c r="F548" s="27"/>
      <c r="G548" s="2"/>
      <c r="H548" s="2"/>
      <c r="I548" s="2"/>
      <c r="J548" s="2"/>
      <c r="K548" s="2"/>
      <c r="L548" s="2"/>
      <c r="M548" s="2"/>
      <c r="N548" s="2"/>
    </row>
    <row r="549" spans="2:14" ht="15.75" customHeight="1" x14ac:dyDescent="0.2">
      <c r="B549" s="2"/>
      <c r="C549" s="27"/>
      <c r="D549" s="27"/>
      <c r="E549" s="27"/>
      <c r="F549" s="27"/>
      <c r="G549" s="2"/>
      <c r="H549" s="2"/>
      <c r="I549" s="2"/>
      <c r="J549" s="2"/>
      <c r="K549" s="2"/>
      <c r="L549" s="2"/>
      <c r="M549" s="2"/>
      <c r="N549" s="2"/>
    </row>
    <row r="550" spans="2:14" ht="15.75" customHeight="1" x14ac:dyDescent="0.2">
      <c r="B550" s="2"/>
      <c r="C550" s="27"/>
      <c r="D550" s="27"/>
      <c r="E550" s="27"/>
      <c r="F550" s="27"/>
      <c r="G550" s="2"/>
      <c r="H550" s="2"/>
      <c r="I550" s="2"/>
      <c r="J550" s="2"/>
      <c r="K550" s="2"/>
      <c r="L550" s="2"/>
      <c r="M550" s="2"/>
      <c r="N550" s="2"/>
    </row>
    <row r="551" spans="2:14" ht="15.75" customHeight="1" x14ac:dyDescent="0.2">
      <c r="B551" s="2"/>
      <c r="C551" s="27"/>
      <c r="D551" s="27"/>
      <c r="E551" s="27"/>
      <c r="F551" s="27"/>
      <c r="G551" s="2"/>
      <c r="H551" s="2"/>
      <c r="I551" s="2"/>
      <c r="J551" s="2"/>
      <c r="K551" s="2"/>
      <c r="L551" s="2"/>
      <c r="M551" s="2"/>
      <c r="N551" s="2"/>
    </row>
    <row r="552" spans="2:14" ht="15.75" customHeight="1" x14ac:dyDescent="0.2">
      <c r="B552" s="2"/>
      <c r="C552" s="27"/>
      <c r="D552" s="27"/>
      <c r="E552" s="27"/>
      <c r="F552" s="27"/>
      <c r="G552" s="2"/>
      <c r="H552" s="2"/>
      <c r="I552" s="2"/>
      <c r="J552" s="2"/>
      <c r="K552" s="2"/>
      <c r="L552" s="2"/>
      <c r="M552" s="2"/>
      <c r="N552" s="2"/>
    </row>
    <row r="553" spans="2:14" ht="15.75" customHeight="1" x14ac:dyDescent="0.2">
      <c r="B553" s="2"/>
      <c r="C553" s="27"/>
      <c r="D553" s="27"/>
      <c r="E553" s="27"/>
      <c r="F553" s="27"/>
      <c r="G553" s="2"/>
      <c r="H553" s="2"/>
      <c r="I553" s="2"/>
      <c r="J553" s="2"/>
      <c r="K553" s="2"/>
      <c r="L553" s="2"/>
      <c r="M553" s="2"/>
      <c r="N553" s="2"/>
    </row>
    <row r="554" spans="2:14" ht="15.75" customHeight="1" x14ac:dyDescent="0.2">
      <c r="B554" s="2"/>
      <c r="C554" s="27"/>
      <c r="D554" s="27"/>
      <c r="E554" s="27"/>
      <c r="F554" s="27"/>
      <c r="G554" s="2"/>
      <c r="H554" s="2"/>
      <c r="I554" s="2"/>
      <c r="J554" s="2"/>
      <c r="K554" s="2"/>
      <c r="L554" s="2"/>
      <c r="M554" s="2"/>
      <c r="N554" s="2"/>
    </row>
    <row r="555" spans="2:14" ht="15.75" customHeight="1" x14ac:dyDescent="0.2">
      <c r="B555" s="2"/>
      <c r="C555" s="27"/>
      <c r="D555" s="27"/>
      <c r="E555" s="27"/>
      <c r="F555" s="27"/>
      <c r="G555" s="2"/>
      <c r="H555" s="2"/>
      <c r="I555" s="2"/>
      <c r="J555" s="2"/>
      <c r="K555" s="2"/>
      <c r="L555" s="2"/>
      <c r="M555" s="2"/>
      <c r="N555" s="2"/>
    </row>
    <row r="556" spans="2:14" ht="15.75" customHeight="1" x14ac:dyDescent="0.2">
      <c r="B556" s="2"/>
      <c r="C556" s="27"/>
      <c r="D556" s="27"/>
      <c r="E556" s="27"/>
      <c r="F556" s="27"/>
      <c r="G556" s="2"/>
      <c r="H556" s="2"/>
      <c r="I556" s="2"/>
      <c r="J556" s="2"/>
      <c r="K556" s="2"/>
      <c r="L556" s="2"/>
      <c r="M556" s="2"/>
      <c r="N556" s="2"/>
    </row>
    <row r="557" spans="2:14" ht="15.75" customHeight="1" x14ac:dyDescent="0.2">
      <c r="B557" s="2"/>
      <c r="C557" s="27"/>
      <c r="D557" s="27"/>
      <c r="E557" s="27"/>
      <c r="F557" s="27"/>
      <c r="G557" s="2"/>
      <c r="H557" s="2"/>
      <c r="I557" s="2"/>
      <c r="J557" s="2"/>
      <c r="K557" s="2"/>
      <c r="L557" s="2"/>
      <c r="M557" s="2"/>
      <c r="N557" s="2"/>
    </row>
    <row r="558" spans="2:14" ht="15.75" customHeight="1" x14ac:dyDescent="0.2">
      <c r="B558" s="2"/>
      <c r="C558" s="27"/>
      <c r="D558" s="27"/>
      <c r="E558" s="27"/>
      <c r="F558" s="27"/>
      <c r="G558" s="2"/>
      <c r="H558" s="2"/>
      <c r="I558" s="2"/>
      <c r="J558" s="2"/>
      <c r="K558" s="2"/>
      <c r="L558" s="2"/>
      <c r="M558" s="2"/>
      <c r="N558" s="2"/>
    </row>
    <row r="559" spans="2:14" ht="15.75" customHeight="1" x14ac:dyDescent="0.2">
      <c r="B559" s="2"/>
      <c r="C559" s="27"/>
      <c r="D559" s="27"/>
      <c r="E559" s="27"/>
      <c r="F559" s="27"/>
      <c r="G559" s="2"/>
      <c r="H559" s="2"/>
      <c r="I559" s="2"/>
      <c r="J559" s="2"/>
      <c r="K559" s="2"/>
      <c r="L559" s="2"/>
      <c r="M559" s="2"/>
      <c r="N559" s="2"/>
    </row>
    <row r="560" spans="2:14" ht="15.75" customHeight="1" x14ac:dyDescent="0.2">
      <c r="B560" s="2"/>
      <c r="C560" s="27"/>
      <c r="D560" s="27"/>
      <c r="E560" s="27"/>
      <c r="F560" s="27"/>
      <c r="G560" s="2"/>
      <c r="H560" s="2"/>
      <c r="I560" s="2"/>
      <c r="J560" s="2"/>
      <c r="K560" s="2"/>
      <c r="L560" s="2"/>
      <c r="M560" s="2"/>
      <c r="N560" s="2"/>
    </row>
    <row r="561" spans="2:14" ht="15.75" customHeight="1" x14ac:dyDescent="0.2">
      <c r="B561" s="2"/>
      <c r="C561" s="27"/>
      <c r="D561" s="27"/>
      <c r="E561" s="27"/>
      <c r="F561" s="27"/>
      <c r="G561" s="2"/>
      <c r="H561" s="2"/>
      <c r="I561" s="2"/>
      <c r="J561" s="2"/>
      <c r="K561" s="2"/>
      <c r="L561" s="2"/>
      <c r="M561" s="2"/>
      <c r="N561" s="2"/>
    </row>
    <row r="562" spans="2:14" ht="15.75" customHeight="1" x14ac:dyDescent="0.2">
      <c r="B562" s="2"/>
      <c r="C562" s="27"/>
      <c r="D562" s="27"/>
      <c r="E562" s="27"/>
      <c r="F562" s="27"/>
      <c r="G562" s="2"/>
      <c r="H562" s="2"/>
      <c r="I562" s="2"/>
      <c r="J562" s="2"/>
      <c r="K562" s="2"/>
      <c r="L562" s="2"/>
      <c r="M562" s="2"/>
      <c r="N562" s="2"/>
    </row>
    <row r="563" spans="2:14" ht="15.75" customHeight="1" x14ac:dyDescent="0.2">
      <c r="B563" s="2"/>
      <c r="C563" s="27"/>
      <c r="D563" s="27"/>
      <c r="E563" s="27"/>
      <c r="F563" s="27"/>
      <c r="G563" s="2"/>
      <c r="H563" s="2"/>
      <c r="I563" s="2"/>
      <c r="J563" s="2"/>
      <c r="K563" s="2"/>
      <c r="L563" s="2"/>
      <c r="M563" s="2"/>
      <c r="N563" s="2"/>
    </row>
    <row r="564" spans="2:14" ht="15.75" customHeight="1" x14ac:dyDescent="0.2">
      <c r="B564" s="2"/>
      <c r="C564" s="27"/>
      <c r="D564" s="27"/>
      <c r="E564" s="27"/>
      <c r="F564" s="27"/>
      <c r="G564" s="2"/>
      <c r="H564" s="2"/>
      <c r="I564" s="2"/>
      <c r="J564" s="2"/>
      <c r="K564" s="2"/>
      <c r="L564" s="2"/>
      <c r="M564" s="2"/>
      <c r="N564" s="2"/>
    </row>
    <row r="565" spans="2:14" ht="15.75" customHeight="1" x14ac:dyDescent="0.2">
      <c r="B565" s="2"/>
      <c r="C565" s="27"/>
      <c r="D565" s="27"/>
      <c r="E565" s="27"/>
      <c r="F565" s="27"/>
      <c r="G565" s="2"/>
      <c r="H565" s="2"/>
      <c r="I565" s="2"/>
      <c r="J565" s="2"/>
      <c r="K565" s="2"/>
      <c r="L565" s="2"/>
      <c r="M565" s="2"/>
      <c r="N565" s="2"/>
    </row>
    <row r="566" spans="2:14" ht="15.75" customHeight="1" x14ac:dyDescent="0.2">
      <c r="B566" s="2"/>
      <c r="C566" s="27"/>
      <c r="D566" s="27"/>
      <c r="E566" s="27"/>
      <c r="F566" s="27"/>
      <c r="G566" s="2"/>
      <c r="H566" s="2"/>
      <c r="I566" s="2"/>
      <c r="J566" s="2"/>
      <c r="K566" s="2"/>
      <c r="L566" s="2"/>
      <c r="M566" s="2"/>
      <c r="N566" s="2"/>
    </row>
    <row r="567" spans="2:14" ht="15.75" customHeight="1" x14ac:dyDescent="0.2">
      <c r="B567" s="2"/>
      <c r="C567" s="27"/>
      <c r="D567" s="27"/>
      <c r="E567" s="27"/>
      <c r="F567" s="27"/>
      <c r="G567" s="2"/>
      <c r="H567" s="2"/>
      <c r="I567" s="2"/>
      <c r="J567" s="2"/>
      <c r="K567" s="2"/>
      <c r="L567" s="2"/>
      <c r="M567" s="2"/>
      <c r="N567" s="2"/>
    </row>
    <row r="568" spans="2:14" ht="15.75" customHeight="1" x14ac:dyDescent="0.2">
      <c r="B568" s="2"/>
      <c r="C568" s="27"/>
      <c r="D568" s="27"/>
      <c r="E568" s="27"/>
      <c r="F568" s="27"/>
      <c r="G568" s="2"/>
      <c r="H568" s="2"/>
      <c r="I568" s="2"/>
      <c r="J568" s="2"/>
      <c r="K568" s="2"/>
      <c r="L568" s="2"/>
      <c r="M568" s="2"/>
      <c r="N568" s="2"/>
    </row>
    <row r="569" spans="2:14" ht="15.75" customHeight="1" x14ac:dyDescent="0.2">
      <c r="B569" s="2"/>
      <c r="C569" s="27"/>
      <c r="D569" s="27"/>
      <c r="E569" s="27"/>
      <c r="F569" s="27"/>
      <c r="G569" s="2"/>
      <c r="H569" s="2"/>
      <c r="I569" s="2"/>
      <c r="J569" s="2"/>
      <c r="K569" s="2"/>
      <c r="L569" s="2"/>
      <c r="M569" s="2"/>
      <c r="N569" s="2"/>
    </row>
    <row r="570" spans="2:14" ht="15.75" customHeight="1" x14ac:dyDescent="0.2">
      <c r="B570" s="2"/>
      <c r="C570" s="27"/>
      <c r="D570" s="27"/>
      <c r="E570" s="27"/>
      <c r="F570" s="27"/>
      <c r="G570" s="2"/>
      <c r="H570" s="2"/>
      <c r="I570" s="2"/>
      <c r="J570" s="2"/>
      <c r="K570" s="2"/>
      <c r="L570" s="2"/>
      <c r="M570" s="2"/>
      <c r="N570" s="2"/>
    </row>
    <row r="571" spans="2:14" ht="15.75" customHeight="1" x14ac:dyDescent="0.2">
      <c r="B571" s="2"/>
      <c r="C571" s="27"/>
      <c r="D571" s="27"/>
      <c r="E571" s="27"/>
      <c r="F571" s="27"/>
      <c r="G571" s="2"/>
      <c r="H571" s="2"/>
      <c r="I571" s="2"/>
      <c r="J571" s="2"/>
      <c r="K571" s="2"/>
      <c r="L571" s="2"/>
      <c r="M571" s="2"/>
      <c r="N571" s="2"/>
    </row>
    <row r="572" spans="2:14" ht="15.75" customHeight="1" x14ac:dyDescent="0.2">
      <c r="B572" s="2"/>
      <c r="C572" s="27"/>
      <c r="D572" s="27"/>
      <c r="E572" s="27"/>
      <c r="F572" s="27"/>
      <c r="G572" s="2"/>
      <c r="H572" s="2"/>
      <c r="I572" s="2"/>
      <c r="J572" s="2"/>
      <c r="K572" s="2"/>
      <c r="L572" s="2"/>
      <c r="M572" s="2"/>
      <c r="N572" s="2"/>
    </row>
    <row r="573" spans="2:14" ht="15.75" customHeight="1" x14ac:dyDescent="0.2">
      <c r="B573" s="2"/>
      <c r="C573" s="27"/>
      <c r="D573" s="27"/>
      <c r="E573" s="27"/>
      <c r="F573" s="27"/>
      <c r="G573" s="2"/>
      <c r="H573" s="2"/>
      <c r="I573" s="2"/>
      <c r="J573" s="2"/>
      <c r="K573" s="2"/>
      <c r="L573" s="2"/>
      <c r="M573" s="2"/>
      <c r="N573" s="2"/>
    </row>
    <row r="574" spans="2:14" ht="15.75" customHeight="1" x14ac:dyDescent="0.2">
      <c r="B574" s="2"/>
      <c r="C574" s="27"/>
      <c r="D574" s="27"/>
      <c r="E574" s="27"/>
      <c r="F574" s="27"/>
      <c r="G574" s="2"/>
      <c r="H574" s="2"/>
      <c r="I574" s="2"/>
      <c r="J574" s="2"/>
      <c r="K574" s="2"/>
      <c r="L574" s="2"/>
      <c r="M574" s="2"/>
      <c r="N574" s="2"/>
    </row>
    <row r="575" spans="2:14" ht="15.75" customHeight="1" x14ac:dyDescent="0.2">
      <c r="B575" s="2"/>
      <c r="C575" s="27"/>
      <c r="D575" s="27"/>
      <c r="E575" s="27"/>
      <c r="F575" s="27"/>
      <c r="G575" s="2"/>
      <c r="H575" s="2"/>
      <c r="I575" s="2"/>
      <c r="J575" s="2"/>
      <c r="K575" s="2"/>
      <c r="L575" s="2"/>
      <c r="M575" s="2"/>
      <c r="N575" s="2"/>
    </row>
    <row r="576" spans="2:14" ht="15.75" customHeight="1" x14ac:dyDescent="0.2">
      <c r="B576" s="2"/>
      <c r="C576" s="27"/>
      <c r="D576" s="27"/>
      <c r="E576" s="27"/>
      <c r="F576" s="27"/>
      <c r="G576" s="2"/>
      <c r="H576" s="2"/>
      <c r="I576" s="2"/>
      <c r="J576" s="2"/>
      <c r="K576" s="2"/>
      <c r="L576" s="2"/>
      <c r="M576" s="2"/>
      <c r="N576" s="2"/>
    </row>
    <row r="577" spans="2:14" ht="15.75" customHeight="1" x14ac:dyDescent="0.2">
      <c r="B577" s="2"/>
      <c r="C577" s="27"/>
      <c r="D577" s="27"/>
      <c r="E577" s="27"/>
      <c r="F577" s="27"/>
      <c r="G577" s="2"/>
      <c r="H577" s="2"/>
      <c r="I577" s="2"/>
      <c r="J577" s="2"/>
      <c r="K577" s="2"/>
      <c r="L577" s="2"/>
      <c r="M577" s="2"/>
      <c r="N577" s="2"/>
    </row>
    <row r="578" spans="2:14" ht="15.75" customHeight="1" x14ac:dyDescent="0.2">
      <c r="B578" s="2"/>
      <c r="C578" s="27"/>
      <c r="D578" s="27"/>
      <c r="E578" s="27"/>
      <c r="F578" s="27"/>
      <c r="G578" s="2"/>
      <c r="H578" s="2"/>
      <c r="I578" s="2"/>
      <c r="J578" s="2"/>
      <c r="K578" s="2"/>
      <c r="L578" s="2"/>
      <c r="M578" s="2"/>
      <c r="N578" s="2"/>
    </row>
    <row r="579" spans="2:14" ht="15.75" customHeight="1" x14ac:dyDescent="0.2">
      <c r="B579" s="2"/>
      <c r="C579" s="27"/>
      <c r="D579" s="27"/>
      <c r="E579" s="27"/>
      <c r="F579" s="27"/>
      <c r="G579" s="2"/>
      <c r="H579" s="2"/>
      <c r="I579" s="2"/>
      <c r="J579" s="2"/>
      <c r="K579" s="2"/>
      <c r="L579" s="2"/>
      <c r="M579" s="2"/>
      <c r="N579" s="2"/>
    </row>
    <row r="580" spans="2:14" ht="15.75" customHeight="1" x14ac:dyDescent="0.2">
      <c r="B580" s="2"/>
      <c r="C580" s="27"/>
      <c r="D580" s="27"/>
      <c r="E580" s="27"/>
      <c r="F580" s="27"/>
      <c r="G580" s="2"/>
      <c r="H580" s="2"/>
      <c r="I580" s="2"/>
      <c r="J580" s="2"/>
      <c r="K580" s="2"/>
      <c r="L580" s="2"/>
      <c r="M580" s="2"/>
      <c r="N580" s="2"/>
    </row>
    <row r="581" spans="2:14" ht="15.75" customHeight="1" x14ac:dyDescent="0.2">
      <c r="B581" s="2"/>
      <c r="C581" s="27"/>
      <c r="D581" s="27"/>
      <c r="E581" s="27"/>
      <c r="F581" s="27"/>
      <c r="G581" s="2"/>
      <c r="H581" s="2"/>
      <c r="I581" s="2"/>
      <c r="J581" s="2"/>
      <c r="K581" s="2"/>
      <c r="L581" s="2"/>
      <c r="M581" s="2"/>
      <c r="N581" s="2"/>
    </row>
    <row r="582" spans="2:14" ht="15.75" customHeight="1" x14ac:dyDescent="0.2">
      <c r="B582" s="2"/>
      <c r="C582" s="27"/>
      <c r="D582" s="27"/>
      <c r="E582" s="27"/>
      <c r="F582" s="27"/>
      <c r="G582" s="2"/>
      <c r="H582" s="2"/>
      <c r="I582" s="2"/>
      <c r="J582" s="2"/>
      <c r="K582" s="2"/>
      <c r="L582" s="2"/>
      <c r="M582" s="2"/>
      <c r="N582" s="2"/>
    </row>
    <row r="583" spans="2:14" ht="15.75" customHeight="1" x14ac:dyDescent="0.2">
      <c r="B583" s="2"/>
      <c r="C583" s="27"/>
      <c r="D583" s="27"/>
      <c r="E583" s="27"/>
      <c r="F583" s="27"/>
      <c r="G583" s="2"/>
      <c r="H583" s="2"/>
      <c r="I583" s="2"/>
      <c r="J583" s="2"/>
      <c r="K583" s="2"/>
      <c r="L583" s="2"/>
      <c r="M583" s="2"/>
      <c r="N583" s="2"/>
    </row>
    <row r="584" spans="2:14" ht="15.75" customHeight="1" x14ac:dyDescent="0.2">
      <c r="B584" s="2"/>
      <c r="C584" s="27"/>
      <c r="D584" s="27"/>
      <c r="E584" s="27"/>
      <c r="F584" s="27"/>
      <c r="G584" s="2"/>
      <c r="H584" s="2"/>
      <c r="I584" s="2"/>
      <c r="J584" s="2"/>
      <c r="K584" s="2"/>
      <c r="L584" s="2"/>
      <c r="M584" s="2"/>
      <c r="N584" s="2"/>
    </row>
    <row r="585" spans="2:14" ht="15.75" customHeight="1" x14ac:dyDescent="0.2">
      <c r="B585" s="2"/>
      <c r="C585" s="27"/>
      <c r="D585" s="27"/>
      <c r="E585" s="27"/>
      <c r="F585" s="27"/>
      <c r="G585" s="2"/>
      <c r="H585" s="2"/>
      <c r="I585" s="2"/>
      <c r="J585" s="2"/>
      <c r="K585" s="2"/>
      <c r="L585" s="2"/>
      <c r="M585" s="2"/>
      <c r="N585" s="2"/>
    </row>
    <row r="586" spans="2:14" ht="15.75" customHeight="1" x14ac:dyDescent="0.2">
      <c r="B586" s="2"/>
      <c r="C586" s="27"/>
      <c r="D586" s="27"/>
      <c r="E586" s="27"/>
      <c r="F586" s="27"/>
      <c r="G586" s="2"/>
      <c r="H586" s="2"/>
      <c r="I586" s="2"/>
      <c r="J586" s="2"/>
      <c r="K586" s="2"/>
      <c r="L586" s="2"/>
      <c r="M586" s="2"/>
      <c r="N586" s="2"/>
    </row>
    <row r="587" spans="2:14" ht="15.75" customHeight="1" x14ac:dyDescent="0.2">
      <c r="B587" s="2"/>
      <c r="C587" s="27"/>
      <c r="D587" s="27"/>
      <c r="E587" s="27"/>
      <c r="F587" s="27"/>
      <c r="G587" s="2"/>
      <c r="H587" s="2"/>
      <c r="I587" s="2"/>
      <c r="J587" s="2"/>
      <c r="K587" s="2"/>
      <c r="L587" s="2"/>
      <c r="M587" s="2"/>
      <c r="N587" s="2"/>
    </row>
    <row r="588" spans="2:14" ht="15.75" customHeight="1" x14ac:dyDescent="0.2">
      <c r="B588" s="2"/>
      <c r="C588" s="27"/>
      <c r="D588" s="27"/>
      <c r="E588" s="27"/>
      <c r="F588" s="27"/>
      <c r="G588" s="2"/>
      <c r="H588" s="2"/>
      <c r="I588" s="2"/>
      <c r="J588" s="2"/>
      <c r="K588" s="2"/>
      <c r="L588" s="2"/>
      <c r="M588" s="2"/>
      <c r="N588" s="2"/>
    </row>
    <row r="589" spans="2:14" ht="15.75" customHeight="1" x14ac:dyDescent="0.2">
      <c r="B589" s="2"/>
      <c r="C589" s="27"/>
      <c r="D589" s="27"/>
      <c r="E589" s="27"/>
      <c r="F589" s="27"/>
      <c r="G589" s="2"/>
      <c r="H589" s="2"/>
      <c r="I589" s="2"/>
      <c r="J589" s="2"/>
      <c r="K589" s="2"/>
      <c r="L589" s="2"/>
      <c r="M589" s="2"/>
      <c r="N589" s="2"/>
    </row>
    <row r="590" spans="2:14" ht="15.75" customHeight="1" x14ac:dyDescent="0.2">
      <c r="B590" s="2"/>
      <c r="C590" s="27"/>
      <c r="D590" s="27"/>
      <c r="E590" s="27"/>
      <c r="F590" s="27"/>
      <c r="G590" s="2"/>
      <c r="H590" s="2"/>
      <c r="I590" s="2"/>
      <c r="J590" s="2"/>
      <c r="K590" s="2"/>
      <c r="L590" s="2"/>
      <c r="M590" s="2"/>
      <c r="N590" s="2"/>
    </row>
    <row r="591" spans="2:14" ht="15.75" customHeight="1" x14ac:dyDescent="0.2">
      <c r="B591" s="2"/>
      <c r="C591" s="27"/>
      <c r="D591" s="27"/>
      <c r="E591" s="27"/>
      <c r="F591" s="27"/>
      <c r="G591" s="2"/>
      <c r="H591" s="2"/>
      <c r="I591" s="2"/>
      <c r="J591" s="2"/>
      <c r="K591" s="2"/>
      <c r="L591" s="2"/>
      <c r="M591" s="2"/>
      <c r="N591" s="2"/>
    </row>
    <row r="592" spans="2:14" ht="15.75" customHeight="1" x14ac:dyDescent="0.2">
      <c r="B592" s="2"/>
      <c r="C592" s="27"/>
      <c r="D592" s="27"/>
      <c r="E592" s="27"/>
      <c r="F592" s="27"/>
      <c r="G592" s="2"/>
      <c r="H592" s="2"/>
      <c r="I592" s="2"/>
      <c r="J592" s="2"/>
      <c r="K592" s="2"/>
      <c r="L592" s="2"/>
      <c r="M592" s="2"/>
      <c r="N592" s="2"/>
    </row>
    <row r="593" spans="2:14" ht="15.75" customHeight="1" x14ac:dyDescent="0.2">
      <c r="B593" s="2"/>
      <c r="C593" s="27"/>
      <c r="D593" s="27"/>
      <c r="E593" s="27"/>
      <c r="F593" s="27"/>
      <c r="G593" s="2"/>
      <c r="H593" s="2"/>
      <c r="I593" s="2"/>
      <c r="J593" s="2"/>
      <c r="K593" s="2"/>
      <c r="L593" s="2"/>
      <c r="M593" s="2"/>
      <c r="N593" s="2"/>
    </row>
    <row r="594" spans="2:14" ht="15.75" customHeight="1" x14ac:dyDescent="0.2">
      <c r="B594" s="2"/>
      <c r="C594" s="27"/>
      <c r="D594" s="27"/>
      <c r="E594" s="27"/>
      <c r="F594" s="27"/>
      <c r="G594" s="2"/>
      <c r="H594" s="2"/>
      <c r="I594" s="2"/>
      <c r="J594" s="2"/>
      <c r="K594" s="2"/>
      <c r="L594" s="2"/>
      <c r="M594" s="2"/>
      <c r="N594" s="2"/>
    </row>
    <row r="595" spans="2:14" ht="15.75" customHeight="1" x14ac:dyDescent="0.2">
      <c r="B595" s="2"/>
      <c r="C595" s="27"/>
      <c r="D595" s="27"/>
      <c r="E595" s="27"/>
      <c r="F595" s="27"/>
      <c r="G595" s="2"/>
      <c r="H595" s="2"/>
      <c r="I595" s="2"/>
      <c r="J595" s="2"/>
      <c r="K595" s="2"/>
      <c r="L595" s="2"/>
      <c r="M595" s="2"/>
      <c r="N595" s="2"/>
    </row>
    <row r="596" spans="2:14" ht="15.75" customHeight="1" x14ac:dyDescent="0.2">
      <c r="B596" s="2"/>
      <c r="C596" s="27"/>
      <c r="D596" s="27"/>
      <c r="E596" s="27"/>
      <c r="F596" s="27"/>
      <c r="G596" s="2"/>
      <c r="H596" s="2"/>
      <c r="I596" s="2"/>
      <c r="J596" s="2"/>
      <c r="K596" s="2"/>
      <c r="L596" s="2"/>
      <c r="M596" s="2"/>
      <c r="N596" s="2"/>
    </row>
    <row r="597" spans="2:14" ht="15.75" customHeight="1" x14ac:dyDescent="0.2">
      <c r="B597" s="2"/>
      <c r="C597" s="27"/>
      <c r="D597" s="27"/>
      <c r="E597" s="27"/>
      <c r="F597" s="27"/>
      <c r="G597" s="2"/>
      <c r="H597" s="2"/>
      <c r="I597" s="2"/>
      <c r="J597" s="2"/>
      <c r="K597" s="2"/>
      <c r="L597" s="2"/>
      <c r="M597" s="2"/>
      <c r="N597" s="2"/>
    </row>
    <row r="598" spans="2:14" ht="15.75" customHeight="1" x14ac:dyDescent="0.2">
      <c r="B598" s="2"/>
      <c r="C598" s="27"/>
      <c r="D598" s="27"/>
      <c r="E598" s="27"/>
      <c r="F598" s="27"/>
      <c r="G598" s="2"/>
      <c r="H598" s="2"/>
      <c r="I598" s="2"/>
      <c r="J598" s="2"/>
      <c r="K598" s="2"/>
      <c r="L598" s="2"/>
      <c r="M598" s="2"/>
      <c r="N598" s="2"/>
    </row>
    <row r="599" spans="2:14" ht="15.75" customHeight="1" x14ac:dyDescent="0.2">
      <c r="B599" s="2"/>
      <c r="C599" s="27"/>
      <c r="D599" s="27"/>
      <c r="E599" s="27"/>
      <c r="F599" s="27"/>
      <c r="G599" s="2"/>
      <c r="H599" s="2"/>
      <c r="I599" s="2"/>
      <c r="J599" s="2"/>
      <c r="K599" s="2"/>
      <c r="L599" s="2"/>
      <c r="M599" s="2"/>
      <c r="N599" s="2"/>
    </row>
    <row r="600" spans="2:14" ht="15.75" customHeight="1" x14ac:dyDescent="0.2">
      <c r="B600" s="2"/>
      <c r="C600" s="27"/>
      <c r="D600" s="27"/>
      <c r="E600" s="27"/>
      <c r="F600" s="27"/>
      <c r="G600" s="2"/>
      <c r="H600" s="2"/>
      <c r="I600" s="2"/>
      <c r="J600" s="2"/>
      <c r="K600" s="2"/>
      <c r="L600" s="2"/>
      <c r="M600" s="2"/>
      <c r="N600" s="2"/>
    </row>
    <row r="601" spans="2:14" ht="15.75" customHeight="1" x14ac:dyDescent="0.2">
      <c r="B601" s="2"/>
      <c r="C601" s="27"/>
      <c r="D601" s="27"/>
      <c r="E601" s="27"/>
      <c r="F601" s="27"/>
      <c r="G601" s="2"/>
      <c r="H601" s="2"/>
      <c r="I601" s="2"/>
      <c r="J601" s="2"/>
      <c r="K601" s="2"/>
      <c r="L601" s="2"/>
      <c r="M601" s="2"/>
      <c r="N601" s="2"/>
    </row>
    <row r="602" spans="2:14" ht="15.75" customHeight="1" x14ac:dyDescent="0.2">
      <c r="B602" s="2"/>
      <c r="C602" s="27"/>
      <c r="D602" s="27"/>
      <c r="E602" s="27"/>
      <c r="F602" s="27"/>
      <c r="G602" s="2"/>
      <c r="H602" s="2"/>
      <c r="I602" s="2"/>
      <c r="J602" s="2"/>
      <c r="K602" s="2"/>
      <c r="L602" s="2"/>
      <c r="M602" s="2"/>
      <c r="N602" s="2"/>
    </row>
    <row r="603" spans="2:14" ht="15.75" customHeight="1" x14ac:dyDescent="0.2">
      <c r="B603" s="2"/>
      <c r="C603" s="27"/>
      <c r="D603" s="27"/>
      <c r="E603" s="27"/>
      <c r="F603" s="27"/>
      <c r="G603" s="2"/>
      <c r="H603" s="2"/>
      <c r="I603" s="2"/>
      <c r="J603" s="2"/>
      <c r="K603" s="2"/>
      <c r="L603" s="2"/>
      <c r="M603" s="2"/>
      <c r="N603" s="2"/>
    </row>
    <row r="604" spans="2:14" ht="15.75" customHeight="1" x14ac:dyDescent="0.2">
      <c r="B604" s="2"/>
      <c r="C604" s="27"/>
      <c r="D604" s="27"/>
      <c r="E604" s="27"/>
      <c r="F604" s="27"/>
      <c r="G604" s="2"/>
      <c r="H604" s="2"/>
      <c r="I604" s="2"/>
      <c r="J604" s="2"/>
      <c r="K604" s="2"/>
      <c r="L604" s="2"/>
      <c r="M604" s="2"/>
      <c r="N604" s="2"/>
    </row>
    <row r="605" spans="2:14" ht="15.75" customHeight="1" x14ac:dyDescent="0.2">
      <c r="B605" s="2"/>
      <c r="C605" s="27"/>
      <c r="D605" s="27"/>
      <c r="E605" s="27"/>
      <c r="F605" s="27"/>
      <c r="G605" s="2"/>
      <c r="H605" s="2"/>
      <c r="I605" s="2"/>
      <c r="J605" s="2"/>
      <c r="K605" s="2"/>
      <c r="L605" s="2"/>
      <c r="M605" s="2"/>
      <c r="N605" s="2"/>
    </row>
    <row r="606" spans="2:14" ht="15.75" customHeight="1" x14ac:dyDescent="0.2">
      <c r="B606" s="2"/>
      <c r="C606" s="27"/>
      <c r="D606" s="27"/>
      <c r="E606" s="27"/>
      <c r="F606" s="27"/>
      <c r="G606" s="2"/>
      <c r="H606" s="2"/>
      <c r="I606" s="2"/>
      <c r="J606" s="2"/>
      <c r="K606" s="2"/>
      <c r="L606" s="2"/>
      <c r="M606" s="2"/>
      <c r="N606" s="2"/>
    </row>
    <row r="607" spans="2:14" ht="15.75" customHeight="1" x14ac:dyDescent="0.2">
      <c r="B607" s="2"/>
      <c r="C607" s="27"/>
      <c r="D607" s="27"/>
      <c r="E607" s="27"/>
      <c r="F607" s="27"/>
      <c r="G607" s="2"/>
      <c r="H607" s="2"/>
      <c r="I607" s="2"/>
      <c r="J607" s="2"/>
      <c r="K607" s="2"/>
      <c r="L607" s="2"/>
      <c r="M607" s="2"/>
      <c r="N607" s="2"/>
    </row>
    <row r="608" spans="2:14" ht="15.75" customHeight="1" x14ac:dyDescent="0.2">
      <c r="B608" s="2"/>
      <c r="C608" s="27"/>
      <c r="D608" s="27"/>
      <c r="E608" s="27"/>
      <c r="F608" s="27"/>
      <c r="G608" s="2"/>
      <c r="H608" s="2"/>
      <c r="I608" s="2"/>
      <c r="J608" s="2"/>
      <c r="K608" s="2"/>
      <c r="L608" s="2"/>
      <c r="M608" s="2"/>
      <c r="N608" s="2"/>
    </row>
    <row r="609" spans="2:14" ht="15.75" customHeight="1" x14ac:dyDescent="0.2">
      <c r="B609" s="2"/>
      <c r="C609" s="27"/>
      <c r="D609" s="27"/>
      <c r="E609" s="27"/>
      <c r="F609" s="27"/>
      <c r="G609" s="2"/>
      <c r="H609" s="2"/>
      <c r="I609" s="2"/>
      <c r="J609" s="2"/>
      <c r="K609" s="2"/>
      <c r="L609" s="2"/>
      <c r="M609" s="2"/>
      <c r="N609" s="2"/>
    </row>
    <row r="610" spans="2:14" ht="15.75" customHeight="1" x14ac:dyDescent="0.2">
      <c r="B610" s="2"/>
      <c r="C610" s="27"/>
      <c r="D610" s="27"/>
      <c r="E610" s="27"/>
      <c r="F610" s="27"/>
      <c r="G610" s="2"/>
      <c r="H610" s="2"/>
      <c r="I610" s="2"/>
      <c r="J610" s="2"/>
      <c r="K610" s="2"/>
      <c r="L610" s="2"/>
      <c r="M610" s="2"/>
      <c r="N610" s="2"/>
    </row>
    <row r="611" spans="2:14" ht="15.75" customHeight="1" x14ac:dyDescent="0.2">
      <c r="B611" s="2"/>
      <c r="C611" s="27"/>
      <c r="D611" s="27"/>
      <c r="E611" s="27"/>
      <c r="F611" s="27"/>
      <c r="G611" s="2"/>
      <c r="H611" s="2"/>
      <c r="I611" s="2"/>
      <c r="J611" s="2"/>
      <c r="K611" s="2"/>
      <c r="L611" s="2"/>
      <c r="M611" s="2"/>
      <c r="N611" s="2"/>
    </row>
    <row r="612" spans="2:14" ht="15.75" customHeight="1" x14ac:dyDescent="0.2">
      <c r="B612" s="2"/>
      <c r="C612" s="27"/>
      <c r="D612" s="27"/>
      <c r="E612" s="27"/>
      <c r="F612" s="27"/>
      <c r="G612" s="2"/>
      <c r="H612" s="2"/>
      <c r="I612" s="2"/>
      <c r="J612" s="2"/>
      <c r="K612" s="2"/>
      <c r="L612" s="2"/>
      <c r="M612" s="2"/>
      <c r="N612" s="2"/>
    </row>
    <row r="613" spans="2:14" ht="15.75" customHeight="1" x14ac:dyDescent="0.2">
      <c r="B613" s="2"/>
      <c r="C613" s="27"/>
      <c r="D613" s="27"/>
      <c r="E613" s="27"/>
      <c r="F613" s="27"/>
      <c r="G613" s="2"/>
      <c r="H613" s="2"/>
      <c r="I613" s="2"/>
      <c r="J613" s="2"/>
      <c r="K613" s="2"/>
      <c r="L613" s="2"/>
      <c r="M613" s="2"/>
      <c r="N613" s="2"/>
    </row>
    <row r="614" spans="2:14" ht="15.75" customHeight="1" x14ac:dyDescent="0.2">
      <c r="B614" s="2"/>
      <c r="C614" s="27"/>
      <c r="D614" s="27"/>
      <c r="E614" s="27"/>
      <c r="F614" s="27"/>
      <c r="G614" s="2"/>
      <c r="H614" s="2"/>
      <c r="I614" s="2"/>
      <c r="J614" s="2"/>
      <c r="K614" s="2"/>
      <c r="L614" s="2"/>
      <c r="M614" s="2"/>
      <c r="N614" s="2"/>
    </row>
    <row r="615" spans="2:14" ht="15.75" customHeight="1" x14ac:dyDescent="0.2">
      <c r="B615" s="2"/>
      <c r="C615" s="27"/>
      <c r="D615" s="27"/>
      <c r="E615" s="27"/>
      <c r="F615" s="27"/>
      <c r="G615" s="2"/>
      <c r="H615" s="2"/>
      <c r="I615" s="2"/>
      <c r="J615" s="2"/>
      <c r="K615" s="2"/>
      <c r="L615" s="2"/>
      <c r="M615" s="2"/>
      <c r="N615" s="2"/>
    </row>
    <row r="616" spans="2:14" ht="15.75" customHeight="1" x14ac:dyDescent="0.2">
      <c r="B616" s="2"/>
      <c r="C616" s="27"/>
      <c r="D616" s="27"/>
      <c r="E616" s="27"/>
      <c r="F616" s="27"/>
      <c r="G616" s="2"/>
      <c r="H616" s="2"/>
      <c r="I616" s="2"/>
      <c r="J616" s="2"/>
      <c r="K616" s="2"/>
      <c r="L616" s="2"/>
      <c r="M616" s="2"/>
      <c r="N616" s="2"/>
    </row>
    <row r="617" spans="2:14" ht="15.75" customHeight="1" x14ac:dyDescent="0.2">
      <c r="B617" s="2"/>
      <c r="C617" s="27"/>
      <c r="D617" s="27"/>
      <c r="E617" s="27"/>
      <c r="F617" s="27"/>
      <c r="G617" s="2"/>
      <c r="H617" s="2"/>
      <c r="I617" s="2"/>
      <c r="J617" s="2"/>
      <c r="K617" s="2"/>
      <c r="L617" s="2"/>
      <c r="M617" s="2"/>
      <c r="N617" s="2"/>
    </row>
    <row r="618" spans="2:14" ht="15.75" customHeight="1" x14ac:dyDescent="0.2">
      <c r="B618" s="2"/>
      <c r="C618" s="27"/>
      <c r="D618" s="27"/>
      <c r="E618" s="27"/>
      <c r="F618" s="27"/>
      <c r="G618" s="2"/>
      <c r="H618" s="2"/>
      <c r="I618" s="2"/>
      <c r="J618" s="2"/>
      <c r="K618" s="2"/>
      <c r="L618" s="2"/>
      <c r="M618" s="2"/>
      <c r="N618" s="2"/>
    </row>
    <row r="619" spans="2:14" ht="15.75" customHeight="1" x14ac:dyDescent="0.2">
      <c r="B619" s="2"/>
      <c r="C619" s="27"/>
      <c r="D619" s="27"/>
      <c r="E619" s="27"/>
      <c r="F619" s="27"/>
      <c r="G619" s="2"/>
      <c r="H619" s="2"/>
      <c r="I619" s="2"/>
      <c r="J619" s="2"/>
      <c r="K619" s="2"/>
      <c r="L619" s="2"/>
      <c r="M619" s="2"/>
      <c r="N619" s="2"/>
    </row>
    <row r="620" spans="2:14" ht="15.75" customHeight="1" x14ac:dyDescent="0.2">
      <c r="B620" s="2"/>
      <c r="C620" s="27"/>
      <c r="D620" s="27"/>
      <c r="E620" s="27"/>
      <c r="F620" s="27"/>
      <c r="G620" s="2"/>
      <c r="H620" s="2"/>
      <c r="I620" s="2"/>
      <c r="J620" s="2"/>
      <c r="K620" s="2"/>
      <c r="L620" s="2"/>
      <c r="M620" s="2"/>
      <c r="N620" s="2"/>
    </row>
    <row r="621" spans="2:14" ht="15.75" customHeight="1" x14ac:dyDescent="0.2">
      <c r="B621" s="2"/>
      <c r="C621" s="27"/>
      <c r="D621" s="27"/>
      <c r="E621" s="27"/>
      <c r="F621" s="27"/>
      <c r="G621" s="2"/>
      <c r="H621" s="2"/>
      <c r="I621" s="2"/>
      <c r="J621" s="2"/>
      <c r="K621" s="2"/>
      <c r="L621" s="2"/>
      <c r="M621" s="2"/>
      <c r="N621" s="2"/>
    </row>
    <row r="622" spans="2:14" ht="15.75" customHeight="1" x14ac:dyDescent="0.2">
      <c r="B622" s="2"/>
      <c r="C622" s="27"/>
      <c r="D622" s="27"/>
      <c r="E622" s="27"/>
      <c r="F622" s="27"/>
      <c r="G622" s="2"/>
      <c r="H622" s="2"/>
      <c r="I622" s="2"/>
      <c r="J622" s="2"/>
      <c r="K622" s="2"/>
      <c r="L622" s="2"/>
      <c r="M622" s="2"/>
      <c r="N622" s="2"/>
    </row>
    <row r="623" spans="2:14" ht="15.75" customHeight="1" x14ac:dyDescent="0.2">
      <c r="B623" s="2"/>
      <c r="C623" s="27"/>
      <c r="D623" s="27"/>
      <c r="E623" s="27"/>
      <c r="F623" s="27"/>
      <c r="G623" s="2"/>
      <c r="H623" s="2"/>
      <c r="I623" s="2"/>
      <c r="J623" s="2"/>
      <c r="K623" s="2"/>
      <c r="L623" s="2"/>
      <c r="M623" s="2"/>
      <c r="N623" s="2"/>
    </row>
    <row r="624" spans="2:14" ht="15.75" customHeight="1" x14ac:dyDescent="0.2">
      <c r="B624" s="2"/>
      <c r="C624" s="27"/>
      <c r="D624" s="27"/>
      <c r="E624" s="27"/>
      <c r="F624" s="27"/>
      <c r="G624" s="2"/>
      <c r="H624" s="2"/>
      <c r="I624" s="2"/>
      <c r="J624" s="2"/>
      <c r="K624" s="2"/>
      <c r="L624" s="2"/>
      <c r="M624" s="2"/>
      <c r="N624" s="2"/>
    </row>
    <row r="625" spans="2:14" ht="15.75" customHeight="1" x14ac:dyDescent="0.2">
      <c r="B625" s="2"/>
      <c r="C625" s="27"/>
      <c r="D625" s="27"/>
      <c r="E625" s="27"/>
      <c r="F625" s="27"/>
      <c r="G625" s="2"/>
      <c r="H625" s="2"/>
      <c r="I625" s="2"/>
      <c r="J625" s="2"/>
      <c r="K625" s="2"/>
      <c r="L625" s="2"/>
      <c r="M625" s="2"/>
      <c r="N625" s="2"/>
    </row>
    <row r="626" spans="2:14" ht="15.75" customHeight="1" x14ac:dyDescent="0.2">
      <c r="B626" s="2"/>
      <c r="C626" s="27"/>
      <c r="D626" s="27"/>
      <c r="E626" s="27"/>
      <c r="F626" s="27"/>
      <c r="G626" s="2"/>
      <c r="H626" s="2"/>
      <c r="I626" s="2"/>
      <c r="J626" s="2"/>
      <c r="K626" s="2"/>
      <c r="L626" s="2"/>
      <c r="M626" s="2"/>
      <c r="N626" s="2"/>
    </row>
    <row r="627" spans="2:14" ht="15.75" customHeight="1" x14ac:dyDescent="0.2">
      <c r="B627" s="2"/>
      <c r="C627" s="27"/>
      <c r="D627" s="27"/>
      <c r="E627" s="27"/>
      <c r="F627" s="27"/>
      <c r="G627" s="2"/>
      <c r="H627" s="2"/>
      <c r="I627" s="2"/>
      <c r="J627" s="2"/>
      <c r="K627" s="2"/>
      <c r="L627" s="2"/>
      <c r="M627" s="2"/>
      <c r="N627" s="2"/>
    </row>
    <row r="628" spans="2:14" ht="15.75" customHeight="1" x14ac:dyDescent="0.2">
      <c r="B628" s="2"/>
      <c r="C628" s="27"/>
      <c r="D628" s="27"/>
      <c r="E628" s="27"/>
      <c r="F628" s="27"/>
      <c r="G628" s="2"/>
      <c r="H628" s="2"/>
      <c r="I628" s="2"/>
      <c r="J628" s="2"/>
      <c r="K628" s="2"/>
      <c r="L628" s="2"/>
      <c r="M628" s="2"/>
      <c r="N628" s="2"/>
    </row>
    <row r="629" spans="2:14" ht="15.75" customHeight="1" x14ac:dyDescent="0.2">
      <c r="B629" s="2"/>
      <c r="C629" s="27"/>
      <c r="D629" s="27"/>
      <c r="E629" s="27"/>
      <c r="F629" s="27"/>
      <c r="G629" s="2"/>
      <c r="H629" s="2"/>
      <c r="I629" s="2"/>
      <c r="J629" s="2"/>
      <c r="K629" s="2"/>
      <c r="L629" s="2"/>
      <c r="M629" s="2"/>
      <c r="N629" s="2"/>
    </row>
    <row r="630" spans="2:14" ht="15.75" customHeight="1" x14ac:dyDescent="0.2">
      <c r="B630" s="2"/>
      <c r="C630" s="27"/>
      <c r="D630" s="27"/>
      <c r="E630" s="27"/>
      <c r="F630" s="27"/>
      <c r="G630" s="2"/>
      <c r="H630" s="2"/>
      <c r="I630" s="2"/>
      <c r="J630" s="2"/>
      <c r="K630" s="2"/>
      <c r="L630" s="2"/>
      <c r="M630" s="2"/>
      <c r="N630" s="2"/>
    </row>
    <row r="631" spans="2:14" ht="15.75" customHeight="1" x14ac:dyDescent="0.2">
      <c r="B631" s="2"/>
      <c r="C631" s="27"/>
      <c r="D631" s="27"/>
      <c r="E631" s="27"/>
      <c r="F631" s="27"/>
      <c r="G631" s="2"/>
      <c r="H631" s="2"/>
      <c r="I631" s="2"/>
      <c r="J631" s="2"/>
      <c r="K631" s="2"/>
      <c r="L631" s="2"/>
      <c r="M631" s="2"/>
      <c r="N631" s="2"/>
    </row>
    <row r="632" spans="2:14" ht="15.75" customHeight="1" x14ac:dyDescent="0.2">
      <c r="B632" s="2"/>
      <c r="C632" s="27"/>
      <c r="D632" s="27"/>
      <c r="E632" s="27"/>
      <c r="F632" s="27"/>
      <c r="G632" s="2"/>
      <c r="H632" s="2"/>
      <c r="I632" s="2"/>
      <c r="J632" s="2"/>
      <c r="K632" s="2"/>
      <c r="L632" s="2"/>
      <c r="M632" s="2"/>
      <c r="N632" s="2"/>
    </row>
    <row r="633" spans="2:14" ht="15.75" customHeight="1" x14ac:dyDescent="0.2">
      <c r="B633" s="2"/>
      <c r="C633" s="27"/>
      <c r="D633" s="27"/>
      <c r="E633" s="27"/>
      <c r="F633" s="27"/>
      <c r="G633" s="2"/>
      <c r="H633" s="2"/>
      <c r="I633" s="2"/>
      <c r="J633" s="2"/>
      <c r="K633" s="2"/>
      <c r="L633" s="2"/>
      <c r="M633" s="2"/>
      <c r="N633" s="2"/>
    </row>
    <row r="634" spans="2:14" ht="15.75" customHeight="1" x14ac:dyDescent="0.2">
      <c r="B634" s="2"/>
      <c r="C634" s="27"/>
      <c r="D634" s="27"/>
      <c r="E634" s="27"/>
      <c r="F634" s="27"/>
      <c r="G634" s="2"/>
      <c r="H634" s="2"/>
      <c r="I634" s="2"/>
      <c r="J634" s="2"/>
      <c r="K634" s="2"/>
      <c r="L634" s="2"/>
      <c r="M634" s="2"/>
      <c r="N634" s="2"/>
    </row>
    <row r="635" spans="2:14" ht="15.75" customHeight="1" x14ac:dyDescent="0.2">
      <c r="B635" s="2"/>
      <c r="C635" s="27"/>
      <c r="D635" s="27"/>
      <c r="E635" s="27"/>
      <c r="F635" s="27"/>
      <c r="G635" s="2"/>
      <c r="H635" s="2"/>
      <c r="I635" s="2"/>
      <c r="J635" s="2"/>
      <c r="K635" s="2"/>
      <c r="L635" s="2"/>
      <c r="M635" s="2"/>
      <c r="N635" s="2"/>
    </row>
    <row r="636" spans="2:14" ht="15.75" customHeight="1" x14ac:dyDescent="0.2">
      <c r="B636" s="2"/>
      <c r="C636" s="27"/>
      <c r="D636" s="27"/>
      <c r="E636" s="27"/>
      <c r="F636" s="27"/>
      <c r="G636" s="2"/>
      <c r="H636" s="2"/>
      <c r="I636" s="2"/>
      <c r="J636" s="2"/>
      <c r="K636" s="2"/>
      <c r="L636" s="2"/>
      <c r="M636" s="2"/>
      <c r="N636" s="2"/>
    </row>
    <row r="637" spans="2:14" ht="15.75" customHeight="1" x14ac:dyDescent="0.2">
      <c r="B637" s="2"/>
      <c r="C637" s="27"/>
      <c r="D637" s="27"/>
      <c r="E637" s="27"/>
      <c r="F637" s="27"/>
      <c r="G637" s="2"/>
      <c r="H637" s="2"/>
      <c r="I637" s="2"/>
      <c r="J637" s="2"/>
      <c r="K637" s="2"/>
      <c r="L637" s="2"/>
      <c r="M637" s="2"/>
      <c r="N637" s="2"/>
    </row>
    <row r="638" spans="2:14" ht="15.75" customHeight="1" x14ac:dyDescent="0.2">
      <c r="B638" s="2"/>
      <c r="C638" s="27"/>
      <c r="D638" s="27"/>
      <c r="E638" s="27"/>
      <c r="F638" s="27"/>
      <c r="G638" s="2"/>
      <c r="H638" s="2"/>
      <c r="I638" s="2"/>
      <c r="J638" s="2"/>
      <c r="K638" s="2"/>
      <c r="L638" s="2"/>
      <c r="M638" s="2"/>
      <c r="N638" s="2"/>
    </row>
    <row r="639" spans="2:14" ht="15.75" customHeight="1" x14ac:dyDescent="0.2">
      <c r="B639" s="2"/>
      <c r="C639" s="27"/>
      <c r="D639" s="27"/>
      <c r="E639" s="27"/>
      <c r="F639" s="27"/>
      <c r="G639" s="2"/>
      <c r="H639" s="2"/>
      <c r="I639" s="2"/>
      <c r="J639" s="2"/>
      <c r="K639" s="2"/>
      <c r="L639" s="2"/>
      <c r="M639" s="2"/>
      <c r="N639" s="2"/>
    </row>
    <row r="640" spans="2:14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</sheetData>
  <mergeCells count="2">
    <mergeCell ref="A4:F4"/>
    <mergeCell ref="A5:F5"/>
  </mergeCells>
  <phoneticPr fontId="15" type="noConversion"/>
  <pageMargins left="0.26" right="0.16" top="0.15748031496062992" bottom="0.15748031496062992" header="0.15748031496062992" footer="0.15748031496062992"/>
  <pageSetup paperSize="9" scale="7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3A4B-C16A-46BC-A8F6-187974BDBCDC}">
  <dimension ref="K1:K2"/>
  <sheetViews>
    <sheetView zoomScaleNormal="100" workbookViewId="0"/>
  </sheetViews>
  <sheetFormatPr defaultRowHeight="12.75" x14ac:dyDescent="0.2"/>
  <sheetData>
    <row r="1" spans="11:11" x14ac:dyDescent="0.2">
      <c r="K1" s="145" t="s">
        <v>1101</v>
      </c>
    </row>
    <row r="2" spans="11:11" x14ac:dyDescent="0.2">
      <c r="K2" s="145" t="str">
        <f>'1.Bev-kiad.'!L2</f>
        <v>a 9/2026.(V.29.) önkormányzati rendelethez</v>
      </c>
    </row>
  </sheetData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8"/>
  <sheetViews>
    <sheetView zoomScale="90" zoomScaleNormal="90" workbookViewId="0">
      <selection activeCell="I31" sqref="I31"/>
    </sheetView>
  </sheetViews>
  <sheetFormatPr defaultRowHeight="15" x14ac:dyDescent="0.25"/>
  <cols>
    <col min="1" max="1" width="11.140625" style="323" customWidth="1"/>
    <col min="2" max="2" width="45.28515625" style="323" customWidth="1"/>
    <col min="3" max="3" width="14.7109375" style="323" customWidth="1"/>
    <col min="4" max="4" width="14.7109375" style="323" bestFit="1" customWidth="1"/>
    <col min="5" max="5" width="14.7109375" style="323" customWidth="1"/>
    <col min="6" max="6" width="11" style="323" bestFit="1" customWidth="1"/>
    <col min="7" max="7" width="43.7109375" style="323" customWidth="1"/>
    <col min="8" max="8" width="14.7109375" style="323" customWidth="1"/>
    <col min="9" max="9" width="14.5703125" style="323" customWidth="1"/>
    <col min="10" max="10" width="14.7109375" style="323" customWidth="1"/>
    <col min="11" max="16384" width="9.140625" style="323"/>
  </cols>
  <sheetData>
    <row r="1" spans="1:10" x14ac:dyDescent="0.25">
      <c r="A1" s="322"/>
      <c r="B1" s="322"/>
      <c r="C1" s="322"/>
      <c r="D1" s="322"/>
      <c r="E1" s="322"/>
      <c r="F1" s="322"/>
      <c r="G1" s="322"/>
      <c r="H1" s="322"/>
      <c r="I1" s="322"/>
      <c r="J1" s="77" t="s">
        <v>1102</v>
      </c>
    </row>
    <row r="2" spans="1:10" x14ac:dyDescent="0.25">
      <c r="A2" s="322"/>
      <c r="B2" s="322"/>
      <c r="C2" s="322"/>
      <c r="D2" s="322"/>
      <c r="E2" s="322"/>
      <c r="F2" s="322"/>
      <c r="G2" s="322"/>
      <c r="H2" s="322"/>
      <c r="I2" s="322"/>
      <c r="J2" s="646" t="str">
        <f>'1.Bev-kiad.'!L2</f>
        <v>a 9/2026.(V.29.) önkormányzati rendelethez</v>
      </c>
    </row>
    <row r="3" spans="1:10" x14ac:dyDescent="0.25">
      <c r="A3" s="322"/>
      <c r="B3" s="322"/>
      <c r="C3" s="322"/>
      <c r="D3" s="322"/>
      <c r="E3" s="322"/>
      <c r="F3" s="322"/>
      <c r="G3" s="322"/>
      <c r="H3" s="322"/>
      <c r="I3" s="322"/>
      <c r="J3" s="324"/>
    </row>
    <row r="4" spans="1:10" ht="39" customHeight="1" x14ac:dyDescent="0.25">
      <c r="A4" s="322"/>
      <c r="B4" s="828" t="s">
        <v>1103</v>
      </c>
      <c r="C4" s="829"/>
      <c r="D4" s="829"/>
      <c r="E4" s="829"/>
      <c r="F4" s="829"/>
      <c r="G4" s="829"/>
      <c r="H4" s="829"/>
      <c r="I4" s="829"/>
      <c r="J4" s="324"/>
    </row>
    <row r="5" spans="1:10" ht="15.75" thickBot="1" x14ac:dyDescent="0.3">
      <c r="A5" s="322"/>
      <c r="B5" s="325"/>
      <c r="C5" s="325"/>
      <c r="D5" s="324"/>
      <c r="E5" s="324"/>
      <c r="F5" s="326"/>
      <c r="G5" s="326"/>
      <c r="H5" s="326"/>
      <c r="I5" s="326"/>
      <c r="J5" s="324" t="s">
        <v>0</v>
      </c>
    </row>
    <row r="6" spans="1:10" ht="26.25" hidden="1" customHeight="1" x14ac:dyDescent="0.25">
      <c r="A6" s="673"/>
      <c r="B6" s="355" t="s">
        <v>507</v>
      </c>
      <c r="C6" s="355" t="s">
        <v>1104</v>
      </c>
      <c r="D6" s="355" t="s">
        <v>1105</v>
      </c>
      <c r="E6" s="355" t="s">
        <v>1106</v>
      </c>
      <c r="F6" s="673"/>
      <c r="G6" s="355" t="s">
        <v>508</v>
      </c>
      <c r="H6" s="355" t="str">
        <f>C6</f>
        <v>2022. évi eredeti előirányzat</v>
      </c>
      <c r="I6" s="355" t="str">
        <f t="shared" ref="I6:J6" si="0">D6</f>
        <v>2022. évi  teljesítés</v>
      </c>
      <c r="J6" s="355" t="str">
        <f t="shared" si="0"/>
        <v>2021. évi  teljesítés</v>
      </c>
    </row>
    <row r="7" spans="1:10" ht="15.75" hidden="1" customHeight="1" thickBot="1" x14ac:dyDescent="0.3">
      <c r="A7" s="674"/>
      <c r="B7" s="327" t="s">
        <v>509</v>
      </c>
      <c r="C7" s="328">
        <f>SUM(C8+C14)</f>
        <v>1863162</v>
      </c>
      <c r="D7" s="328">
        <f t="shared" ref="D7:E7" si="1">SUM(D8+D14)</f>
        <v>1838375</v>
      </c>
      <c r="E7" s="328">
        <f t="shared" si="1"/>
        <v>1062363</v>
      </c>
      <c r="F7" s="674"/>
      <c r="G7" s="327" t="s">
        <v>510</v>
      </c>
      <c r="H7" s="328">
        <f>SUM(H8+H14)</f>
        <v>2946507</v>
      </c>
      <c r="I7" s="328">
        <f>SUM(I8+I14)</f>
        <v>2197456</v>
      </c>
      <c r="J7" s="328">
        <f>SUM(J8+J14)</f>
        <v>1247450</v>
      </c>
    </row>
    <row r="8" spans="1:10" ht="15.75" hidden="1" customHeight="1" thickBot="1" x14ac:dyDescent="0.3">
      <c r="A8" s="674"/>
      <c r="B8" s="329" t="s">
        <v>511</v>
      </c>
      <c r="C8" s="330">
        <f>SUM(C9:C12)</f>
        <v>1180370</v>
      </c>
      <c r="D8" s="330">
        <f t="shared" ref="D8:E8" si="2">SUM(D9:D12)</f>
        <v>1160932</v>
      </c>
      <c r="E8" s="330">
        <f t="shared" si="2"/>
        <v>967067</v>
      </c>
      <c r="F8" s="674"/>
      <c r="G8" s="329" t="s">
        <v>512</v>
      </c>
      <c r="H8" s="330">
        <f>SUM(H9:H13)</f>
        <v>1369580</v>
      </c>
      <c r="I8" s="331">
        <f>SUM(I9:I13)</f>
        <v>1102309</v>
      </c>
      <c r="J8" s="331">
        <f>SUM(J9:J13)</f>
        <v>856711</v>
      </c>
    </row>
    <row r="9" spans="1:10" ht="15.75" hidden="1" customHeight="1" thickBot="1" x14ac:dyDescent="0.3">
      <c r="A9" s="674" t="s">
        <v>74</v>
      </c>
      <c r="B9" s="332" t="s">
        <v>513</v>
      </c>
      <c r="C9" s="333">
        <v>606847</v>
      </c>
      <c r="D9" s="333">
        <v>596477</v>
      </c>
      <c r="E9" s="333">
        <v>507122</v>
      </c>
      <c r="F9" s="675" t="s">
        <v>169</v>
      </c>
      <c r="G9" s="332" t="s">
        <v>514</v>
      </c>
      <c r="H9" s="333">
        <v>267965</v>
      </c>
      <c r="I9" s="333">
        <v>247950</v>
      </c>
      <c r="J9" s="333">
        <v>218807</v>
      </c>
    </row>
    <row r="10" spans="1:10" ht="26.25" hidden="1" customHeight="1" thickBot="1" x14ac:dyDescent="0.3">
      <c r="A10" s="674" t="s">
        <v>94</v>
      </c>
      <c r="B10" s="332" t="s">
        <v>515</v>
      </c>
      <c r="C10" s="333">
        <v>397800</v>
      </c>
      <c r="D10" s="333">
        <v>395071</v>
      </c>
      <c r="E10" s="333">
        <v>348204</v>
      </c>
      <c r="F10" s="675" t="s">
        <v>170</v>
      </c>
      <c r="G10" s="334" t="s">
        <v>516</v>
      </c>
      <c r="H10" s="335">
        <v>35143</v>
      </c>
      <c r="I10" s="335">
        <v>33332</v>
      </c>
      <c r="J10" s="335">
        <v>33368</v>
      </c>
    </row>
    <row r="11" spans="1:10" ht="15.75" hidden="1" customHeight="1" thickBot="1" x14ac:dyDescent="0.3">
      <c r="A11" s="674" t="s">
        <v>105</v>
      </c>
      <c r="B11" s="332" t="s">
        <v>517</v>
      </c>
      <c r="C11" s="333">
        <v>151539</v>
      </c>
      <c r="D11" s="333">
        <v>145200</v>
      </c>
      <c r="E11" s="333">
        <v>71384</v>
      </c>
      <c r="F11" s="675" t="s">
        <v>171</v>
      </c>
      <c r="G11" s="334" t="s">
        <v>518</v>
      </c>
      <c r="H11" s="335">
        <v>447639</v>
      </c>
      <c r="I11" s="335">
        <v>372323</v>
      </c>
      <c r="J11" s="335">
        <v>214038</v>
      </c>
    </row>
    <row r="12" spans="1:10" ht="15.75" hidden="1" customHeight="1" thickBot="1" x14ac:dyDescent="0.3">
      <c r="A12" s="674" t="s">
        <v>143</v>
      </c>
      <c r="B12" s="332" t="s">
        <v>519</v>
      </c>
      <c r="C12" s="333">
        <v>24184</v>
      </c>
      <c r="D12" s="333">
        <v>24184</v>
      </c>
      <c r="E12" s="333">
        <v>40357</v>
      </c>
      <c r="F12" s="675" t="s">
        <v>172</v>
      </c>
      <c r="G12" s="334" t="s">
        <v>520</v>
      </c>
      <c r="H12" s="335">
        <v>11408</v>
      </c>
      <c r="I12" s="335">
        <v>11392</v>
      </c>
      <c r="J12" s="335">
        <v>10004</v>
      </c>
    </row>
    <row r="13" spans="1:10" ht="15.75" hidden="1" customHeight="1" thickBot="1" x14ac:dyDescent="0.3">
      <c r="A13" s="674"/>
      <c r="B13" s="332"/>
      <c r="C13" s="336"/>
      <c r="D13" s="336"/>
      <c r="E13" s="336"/>
      <c r="F13" s="675" t="s">
        <v>173</v>
      </c>
      <c r="G13" s="334" t="s">
        <v>521</v>
      </c>
      <c r="H13" s="335">
        <v>607425</v>
      </c>
      <c r="I13" s="335">
        <v>437312</v>
      </c>
      <c r="J13" s="335">
        <v>380494</v>
      </c>
    </row>
    <row r="14" spans="1:10" ht="15.75" hidden="1" customHeight="1" thickBot="1" x14ac:dyDescent="0.3">
      <c r="A14" s="674"/>
      <c r="B14" s="329" t="s">
        <v>522</v>
      </c>
      <c r="C14" s="330">
        <f>SUM(C15:C17)</f>
        <v>682792</v>
      </c>
      <c r="D14" s="330">
        <f t="shared" ref="D14:E14" si="3">SUM(D15:D17)</f>
        <v>677443</v>
      </c>
      <c r="E14" s="330">
        <f t="shared" si="3"/>
        <v>95296</v>
      </c>
      <c r="F14" s="675"/>
      <c r="G14" s="329" t="s">
        <v>523</v>
      </c>
      <c r="H14" s="330">
        <f>SUM(H15:H17)</f>
        <v>1576927</v>
      </c>
      <c r="I14" s="330">
        <f>SUM(I15:I17)</f>
        <v>1095147</v>
      </c>
      <c r="J14" s="330">
        <f>SUM(J15:J17)</f>
        <v>390739</v>
      </c>
    </row>
    <row r="15" spans="1:10" ht="15.75" hidden="1" customHeight="1" thickBot="1" x14ac:dyDescent="0.3">
      <c r="A15" s="674" t="s">
        <v>85</v>
      </c>
      <c r="B15" s="332" t="s">
        <v>524</v>
      </c>
      <c r="C15" s="333">
        <v>642531</v>
      </c>
      <c r="D15" s="333">
        <v>642498</v>
      </c>
      <c r="E15" s="333">
        <v>38365</v>
      </c>
      <c r="F15" s="675" t="s">
        <v>203</v>
      </c>
      <c r="G15" s="332" t="s">
        <v>57</v>
      </c>
      <c r="H15" s="333">
        <v>447485</v>
      </c>
      <c r="I15" s="333">
        <v>443009</v>
      </c>
      <c r="J15" s="333">
        <v>133863</v>
      </c>
    </row>
    <row r="16" spans="1:10" ht="15.75" hidden="1" customHeight="1" thickBot="1" x14ac:dyDescent="0.3">
      <c r="A16" s="674" t="s">
        <v>132</v>
      </c>
      <c r="B16" s="332" t="s">
        <v>525</v>
      </c>
      <c r="C16" s="333">
        <v>29961</v>
      </c>
      <c r="D16" s="333">
        <v>24651</v>
      </c>
      <c r="E16" s="333">
        <v>46637</v>
      </c>
      <c r="F16" s="675" t="s">
        <v>282</v>
      </c>
      <c r="G16" s="332" t="s">
        <v>58</v>
      </c>
      <c r="H16" s="333">
        <v>870811</v>
      </c>
      <c r="I16" s="333">
        <v>651776</v>
      </c>
      <c r="J16" s="333">
        <v>251856</v>
      </c>
    </row>
    <row r="17" spans="1:10" ht="15.75" hidden="1" customHeight="1" thickBot="1" x14ac:dyDescent="0.3">
      <c r="A17" s="674" t="s">
        <v>144</v>
      </c>
      <c r="B17" s="332" t="s">
        <v>526</v>
      </c>
      <c r="C17" s="333">
        <f>SUM('[4]1.Bev-kiad.'!C50)</f>
        <v>10300</v>
      </c>
      <c r="D17" s="333">
        <v>10294</v>
      </c>
      <c r="E17" s="333">
        <v>10294</v>
      </c>
      <c r="F17" s="675" t="s">
        <v>281</v>
      </c>
      <c r="G17" s="332" t="s">
        <v>527</v>
      </c>
      <c r="H17" s="333">
        <v>258631</v>
      </c>
      <c r="I17" s="333">
        <v>362</v>
      </c>
      <c r="J17" s="333">
        <v>5020</v>
      </c>
    </row>
    <row r="18" spans="1:10" ht="15.75" hidden="1" customHeight="1" thickBot="1" x14ac:dyDescent="0.3">
      <c r="A18" s="674" t="s">
        <v>388</v>
      </c>
      <c r="B18" s="337" t="s">
        <v>528</v>
      </c>
      <c r="C18" s="330">
        <f>SUM(C24+C19)</f>
        <v>1157416</v>
      </c>
      <c r="D18" s="330">
        <f t="shared" ref="D18:E18" si="4">SUM(D24+D19)</f>
        <v>1157416</v>
      </c>
      <c r="E18" s="330">
        <f t="shared" si="4"/>
        <v>1015816</v>
      </c>
      <c r="F18" s="675" t="s">
        <v>160</v>
      </c>
      <c r="G18" s="337" t="s">
        <v>529</v>
      </c>
      <c r="H18" s="330">
        <f>SUM(H19)</f>
        <v>74071</v>
      </c>
      <c r="I18" s="330">
        <f>SUM(I19)</f>
        <v>74071</v>
      </c>
      <c r="J18" s="330">
        <f>SUM(J19)</f>
        <v>35153</v>
      </c>
    </row>
    <row r="19" spans="1:10" ht="15.75" hidden="1" customHeight="1" thickBot="1" x14ac:dyDescent="0.3">
      <c r="A19" s="674"/>
      <c r="B19" s="329" t="s">
        <v>530</v>
      </c>
      <c r="C19" s="330">
        <f>SUM(C20+C23)</f>
        <v>815416</v>
      </c>
      <c r="D19" s="330">
        <f>SUM(D20+D23)</f>
        <v>815416</v>
      </c>
      <c r="E19" s="330">
        <f>SUM(E20)+E23</f>
        <v>1015816</v>
      </c>
      <c r="F19" s="675"/>
      <c r="G19" s="329" t="s">
        <v>531</v>
      </c>
      <c r="H19" s="330">
        <f>SUM(H20:H21)</f>
        <v>74071</v>
      </c>
      <c r="I19" s="330">
        <f>SUM(I20:I21)</f>
        <v>74071</v>
      </c>
      <c r="J19" s="330">
        <f>SUM(J20:J21)</f>
        <v>35153</v>
      </c>
    </row>
    <row r="20" spans="1:10" ht="26.25" hidden="1" customHeight="1" thickBot="1" x14ac:dyDescent="0.3">
      <c r="A20" s="674"/>
      <c r="B20" s="334" t="s">
        <v>532</v>
      </c>
      <c r="C20" s="333">
        <f>SUM(C21:C22)</f>
        <v>795576</v>
      </c>
      <c r="D20" s="333">
        <f t="shared" ref="D20" si="5">SUM(D21:D22)</f>
        <v>795576</v>
      </c>
      <c r="E20" s="333">
        <f>SUM(E21:E22)</f>
        <v>999900</v>
      </c>
      <c r="F20" s="675" t="s">
        <v>305</v>
      </c>
      <c r="G20" s="338" t="s">
        <v>309</v>
      </c>
      <c r="H20" s="339">
        <f>SUM('[4]1.Bev-kiad.'!C79)</f>
        <v>15915</v>
      </c>
      <c r="I20" s="339">
        <v>15915</v>
      </c>
      <c r="J20" s="339">
        <v>14997</v>
      </c>
    </row>
    <row r="21" spans="1:10" ht="15.75" hidden="1" customHeight="1" thickBot="1" x14ac:dyDescent="0.3">
      <c r="A21" s="674"/>
      <c r="B21" s="340" t="s">
        <v>339</v>
      </c>
      <c r="C21" s="333">
        <f>SUM('[4]1.Bev-kiad.'!C57)</f>
        <v>220868</v>
      </c>
      <c r="D21" s="333">
        <v>220868</v>
      </c>
      <c r="E21" s="333">
        <v>270035</v>
      </c>
      <c r="F21" s="675"/>
      <c r="G21" s="341" t="s">
        <v>533</v>
      </c>
      <c r="H21" s="333">
        <f>SUM('[4]1.Bev-kiad.'!C81)</f>
        <v>58156</v>
      </c>
      <c r="I21" s="333">
        <v>58156</v>
      </c>
      <c r="J21" s="333">
        <v>20156</v>
      </c>
    </row>
    <row r="22" spans="1:10" ht="15.75" hidden="1" customHeight="1" thickBot="1" x14ac:dyDescent="0.3">
      <c r="A22" s="674"/>
      <c r="B22" s="340" t="s">
        <v>534</v>
      </c>
      <c r="C22" s="333">
        <f>SUM('[4]1.Bev-kiad.'!C58)</f>
        <v>574708</v>
      </c>
      <c r="D22" s="333">
        <v>574708</v>
      </c>
      <c r="E22" s="333">
        <v>729865</v>
      </c>
      <c r="F22" s="675"/>
      <c r="G22" s="329" t="s">
        <v>535</v>
      </c>
      <c r="H22" s="331">
        <v>0</v>
      </c>
      <c r="I22" s="330">
        <v>0</v>
      </c>
      <c r="J22" s="330">
        <v>0</v>
      </c>
    </row>
    <row r="23" spans="1:10" ht="15.75" hidden="1" customHeight="1" thickBot="1" x14ac:dyDescent="0.3">
      <c r="A23" s="674"/>
      <c r="B23" s="336" t="s">
        <v>536</v>
      </c>
      <c r="C23" s="342">
        <v>19840</v>
      </c>
      <c r="D23" s="342">
        <v>19840</v>
      </c>
      <c r="E23" s="333">
        <v>15916</v>
      </c>
      <c r="F23" s="675"/>
      <c r="G23" s="329"/>
      <c r="H23" s="331"/>
      <c r="I23" s="330"/>
      <c r="J23" s="330"/>
    </row>
    <row r="24" spans="1:10" ht="15.75" hidden="1" customHeight="1" thickBot="1" x14ac:dyDescent="0.3">
      <c r="A24" s="674"/>
      <c r="B24" s="329" t="s">
        <v>537</v>
      </c>
      <c r="C24" s="330">
        <f>SUM('[4]1.Bev-kiad.'!C60)</f>
        <v>342000</v>
      </c>
      <c r="D24" s="330">
        <v>342000</v>
      </c>
      <c r="E24" s="330">
        <v>0</v>
      </c>
      <c r="F24" s="675"/>
      <c r="G24" s="329"/>
      <c r="H24" s="331"/>
      <c r="I24" s="330"/>
      <c r="J24" s="330"/>
    </row>
    <row r="25" spans="1:10" ht="15.75" hidden="1" customHeight="1" thickBot="1" x14ac:dyDescent="0.3">
      <c r="A25" s="674"/>
      <c r="B25" s="327" t="s">
        <v>294</v>
      </c>
      <c r="C25" s="328">
        <f>SUM(C7+C18)</f>
        <v>3020578</v>
      </c>
      <c r="D25" s="328">
        <f t="shared" ref="D25:E25" si="6">SUM(D7+D18)</f>
        <v>2995791</v>
      </c>
      <c r="E25" s="328">
        <f t="shared" si="6"/>
        <v>2078179</v>
      </c>
      <c r="F25" s="676"/>
      <c r="G25" s="327" t="s">
        <v>48</v>
      </c>
      <c r="H25" s="328">
        <f>SUM(H7+H18)</f>
        <v>3020578</v>
      </c>
      <c r="I25" s="328">
        <f>SUM(I7+I18)</f>
        <v>2271527</v>
      </c>
      <c r="J25" s="328">
        <f>SUM(J7+J18)</f>
        <v>1282603</v>
      </c>
    </row>
    <row r="26" spans="1:10" ht="15.75" hidden="1" customHeight="1" thickBot="1" x14ac:dyDescent="0.3"/>
    <row r="27" spans="1:10" ht="32.25" thickBot="1" x14ac:dyDescent="0.3">
      <c r="A27" s="677" t="s">
        <v>1107</v>
      </c>
      <c r="B27" s="678" t="s">
        <v>1108</v>
      </c>
      <c r="C27" s="679" t="s">
        <v>1109</v>
      </c>
      <c r="D27" s="679" t="s">
        <v>1165</v>
      </c>
      <c r="E27" s="679" t="s">
        <v>1166</v>
      </c>
      <c r="F27" s="677" t="s">
        <v>1107</v>
      </c>
      <c r="G27" s="678" t="s">
        <v>1110</v>
      </c>
      <c r="H27" s="679" t="str">
        <f>C27</f>
        <v xml:space="preserve"> 2024. évi teljesítés</v>
      </c>
      <c r="I27" s="679" t="str">
        <f>D27</f>
        <v xml:space="preserve">2025. évi módosított előirányzat </v>
      </c>
      <c r="J27" s="679" t="str">
        <f>E27</f>
        <v xml:space="preserve"> 2025. évi teljesítés</v>
      </c>
    </row>
    <row r="28" spans="1:10" x14ac:dyDescent="0.25">
      <c r="A28" s="680" t="s">
        <v>1054</v>
      </c>
      <c r="B28" s="681" t="s">
        <v>1111</v>
      </c>
      <c r="C28" s="682">
        <v>642174</v>
      </c>
      <c r="D28" s="682">
        <v>716735</v>
      </c>
      <c r="E28" s="682">
        <v>716735</v>
      </c>
      <c r="F28" s="680" t="s">
        <v>1054</v>
      </c>
      <c r="G28" s="681" t="s">
        <v>1112</v>
      </c>
      <c r="H28" s="682">
        <v>275450</v>
      </c>
      <c r="I28" s="682">
        <v>314195</v>
      </c>
      <c r="J28" s="682">
        <v>308647</v>
      </c>
    </row>
    <row r="29" spans="1:10" x14ac:dyDescent="0.25">
      <c r="A29" s="680" t="s">
        <v>1056</v>
      </c>
      <c r="B29" s="681" t="s">
        <v>1113</v>
      </c>
      <c r="C29" s="682">
        <v>53140</v>
      </c>
      <c r="D29" s="682">
        <v>52453</v>
      </c>
      <c r="E29" s="682">
        <v>52451</v>
      </c>
      <c r="F29" s="680" t="s">
        <v>1056</v>
      </c>
      <c r="G29" s="681" t="s">
        <v>1114</v>
      </c>
      <c r="H29" s="682">
        <v>34735</v>
      </c>
      <c r="I29" s="682">
        <v>39961</v>
      </c>
      <c r="J29" s="682">
        <v>38354</v>
      </c>
    </row>
    <row r="30" spans="1:10" ht="27" x14ac:dyDescent="0.25">
      <c r="A30" s="683" t="s">
        <v>1115</v>
      </c>
      <c r="B30" s="684" t="s">
        <v>1116</v>
      </c>
      <c r="C30" s="685">
        <f>C28+C29</f>
        <v>695314</v>
      </c>
      <c r="D30" s="685">
        <f>D28+D29</f>
        <v>769188</v>
      </c>
      <c r="E30" s="685">
        <f>E28+E29</f>
        <v>769186</v>
      </c>
      <c r="F30" s="680" t="s">
        <v>1058</v>
      </c>
      <c r="G30" s="681" t="s">
        <v>34</v>
      </c>
      <c r="H30" s="682">
        <v>475680</v>
      </c>
      <c r="I30" s="682">
        <v>489870</v>
      </c>
      <c r="J30" s="682">
        <v>350567</v>
      </c>
    </row>
    <row r="31" spans="1:10" x14ac:dyDescent="0.25">
      <c r="A31" s="680" t="s">
        <v>1060</v>
      </c>
      <c r="B31" s="681" t="s">
        <v>1117</v>
      </c>
      <c r="C31" s="682">
        <v>544850</v>
      </c>
      <c r="D31" s="682">
        <v>799170</v>
      </c>
      <c r="E31" s="682">
        <v>738279</v>
      </c>
      <c r="F31" s="680" t="s">
        <v>1060</v>
      </c>
      <c r="G31" s="681" t="s">
        <v>1118</v>
      </c>
      <c r="H31" s="682">
        <v>17943</v>
      </c>
      <c r="I31" s="682">
        <v>8000</v>
      </c>
      <c r="J31" s="682">
        <v>6187</v>
      </c>
    </row>
    <row r="32" spans="1:10" x14ac:dyDescent="0.25">
      <c r="A32" s="680" t="s">
        <v>1062</v>
      </c>
      <c r="B32" s="681" t="s">
        <v>1119</v>
      </c>
      <c r="C32" s="682">
        <v>42353</v>
      </c>
      <c r="D32" s="682">
        <v>67673</v>
      </c>
      <c r="E32" s="682">
        <v>52464</v>
      </c>
      <c r="F32" s="680" t="s">
        <v>1062</v>
      </c>
      <c r="G32" s="681" t="s">
        <v>1120</v>
      </c>
      <c r="H32" s="682">
        <v>628994</v>
      </c>
      <c r="I32" s="682">
        <v>792165</v>
      </c>
      <c r="J32" s="682">
        <v>707464</v>
      </c>
    </row>
    <row r="33" spans="1:10" x14ac:dyDescent="0.25">
      <c r="A33" s="680" t="s">
        <v>1121</v>
      </c>
      <c r="B33" s="681" t="s">
        <v>1122</v>
      </c>
      <c r="C33" s="682">
        <v>33493</v>
      </c>
      <c r="D33" s="682">
        <v>29805</v>
      </c>
      <c r="E33" s="682">
        <v>29805</v>
      </c>
      <c r="F33" s="680" t="s">
        <v>1121</v>
      </c>
      <c r="G33" s="681" t="s">
        <v>1123</v>
      </c>
      <c r="H33" s="682">
        <v>0</v>
      </c>
      <c r="I33" s="682">
        <v>0</v>
      </c>
      <c r="J33" s="682">
        <v>0</v>
      </c>
    </row>
    <row r="34" spans="1:10" x14ac:dyDescent="0.25">
      <c r="A34" s="683" t="s">
        <v>1124</v>
      </c>
      <c r="B34" s="686" t="s">
        <v>1125</v>
      </c>
      <c r="C34" s="685">
        <f>C30+C31+C32+C33</f>
        <v>1316010</v>
      </c>
      <c r="D34" s="685">
        <f>D30+D31+D32+D33</f>
        <v>1665836</v>
      </c>
      <c r="E34" s="685">
        <f>E30+E31+E32+E33</f>
        <v>1589734</v>
      </c>
      <c r="F34" s="683" t="s">
        <v>1126</v>
      </c>
      <c r="G34" s="686" t="s">
        <v>1127</v>
      </c>
      <c r="H34" s="685">
        <f t="shared" ref="H34" si="7">H28+H29+H30+H31+H32+H33</f>
        <v>1432802</v>
      </c>
      <c r="I34" s="685">
        <f t="shared" ref="I34:J34" si="8">I28+I29+I30+I31+I32+I33</f>
        <v>1644191</v>
      </c>
      <c r="J34" s="685">
        <f t="shared" si="8"/>
        <v>1411219</v>
      </c>
    </row>
    <row r="35" spans="1:10" x14ac:dyDescent="0.25">
      <c r="A35" s="680" t="s">
        <v>1128</v>
      </c>
      <c r="B35" s="681" t="s">
        <v>1129</v>
      </c>
      <c r="C35" s="682">
        <v>67485</v>
      </c>
      <c r="D35" s="682">
        <v>50000</v>
      </c>
      <c r="E35" s="682">
        <v>50000</v>
      </c>
      <c r="F35" s="680" t="s">
        <v>1128</v>
      </c>
      <c r="G35" s="681" t="s">
        <v>1130</v>
      </c>
      <c r="H35" s="682">
        <v>206350</v>
      </c>
      <c r="I35" s="682">
        <v>807867</v>
      </c>
      <c r="J35" s="682">
        <v>188483</v>
      </c>
    </row>
    <row r="36" spans="1:10" x14ac:dyDescent="0.25">
      <c r="A36" s="680" t="s">
        <v>1131</v>
      </c>
      <c r="B36" s="681" t="s">
        <v>1132</v>
      </c>
      <c r="C36" s="682">
        <v>25984</v>
      </c>
      <c r="D36" s="682">
        <v>846026</v>
      </c>
      <c r="E36" s="682">
        <v>344384</v>
      </c>
      <c r="F36" s="680" t="s">
        <v>1131</v>
      </c>
      <c r="G36" s="681" t="s">
        <v>1133</v>
      </c>
      <c r="H36" s="682">
        <v>522079</v>
      </c>
      <c r="I36" s="682">
        <v>393775</v>
      </c>
      <c r="J36" s="682">
        <v>172659</v>
      </c>
    </row>
    <row r="37" spans="1:10" ht="27" x14ac:dyDescent="0.25">
      <c r="A37" s="683" t="s">
        <v>1134</v>
      </c>
      <c r="B37" s="684" t="s">
        <v>1135</v>
      </c>
      <c r="C37" s="685">
        <f>C35+C36</f>
        <v>93469</v>
      </c>
      <c r="D37" s="685">
        <f>D35+D36</f>
        <v>896026</v>
      </c>
      <c r="E37" s="685">
        <f>E35+E36</f>
        <v>394384</v>
      </c>
      <c r="F37" s="680" t="s">
        <v>1136</v>
      </c>
      <c r="G37" s="681" t="s">
        <v>1137</v>
      </c>
      <c r="H37" s="682">
        <v>850465</v>
      </c>
      <c r="I37" s="682">
        <v>0</v>
      </c>
      <c r="J37" s="682">
        <v>0</v>
      </c>
    </row>
    <row r="38" spans="1:10" x14ac:dyDescent="0.25">
      <c r="A38" s="680" t="s">
        <v>1138</v>
      </c>
      <c r="B38" s="681" t="s">
        <v>1139</v>
      </c>
      <c r="C38" s="682">
        <v>98400</v>
      </c>
      <c r="D38" s="682">
        <v>508</v>
      </c>
      <c r="E38" s="682">
        <v>400</v>
      </c>
      <c r="F38" s="680" t="s">
        <v>1138</v>
      </c>
      <c r="G38" s="681"/>
      <c r="H38" s="682"/>
      <c r="I38" s="682"/>
      <c r="J38" s="682"/>
    </row>
    <row r="39" spans="1:10" x14ac:dyDescent="0.25">
      <c r="A39" s="680" t="s">
        <v>1140</v>
      </c>
      <c r="B39" s="681" t="s">
        <v>1141</v>
      </c>
      <c r="C39" s="682">
        <v>20294</v>
      </c>
      <c r="D39" s="682">
        <v>11108</v>
      </c>
      <c r="E39" s="682">
        <v>11101</v>
      </c>
      <c r="F39" s="680" t="s">
        <v>1140</v>
      </c>
      <c r="G39" s="681"/>
      <c r="H39" s="682"/>
      <c r="I39" s="682"/>
      <c r="J39" s="682"/>
    </row>
    <row r="40" spans="1:10" x14ac:dyDescent="0.25">
      <c r="A40" s="683" t="s">
        <v>1142</v>
      </c>
      <c r="B40" s="686" t="s">
        <v>1143</v>
      </c>
      <c r="C40" s="685">
        <f>C37+C38+C39</f>
        <v>212163</v>
      </c>
      <c r="D40" s="685">
        <f>D37+D38+D39</f>
        <v>907642</v>
      </c>
      <c r="E40" s="685">
        <f>E37+E38+E39</f>
        <v>405885</v>
      </c>
      <c r="F40" s="683" t="s">
        <v>1144</v>
      </c>
      <c r="G40" s="686" t="s">
        <v>1145</v>
      </c>
      <c r="H40" s="685">
        <f t="shared" ref="H40" si="9">H35+H36+H37+H38+H39</f>
        <v>1578894</v>
      </c>
      <c r="I40" s="685">
        <f t="shared" ref="I40:J40" si="10">I35+I36+I37+I38+I39</f>
        <v>1201642</v>
      </c>
      <c r="J40" s="685">
        <f t="shared" si="10"/>
        <v>361142</v>
      </c>
    </row>
    <row r="41" spans="1:10" x14ac:dyDescent="0.25">
      <c r="A41" s="680" t="s">
        <v>1146</v>
      </c>
      <c r="B41" s="681" t="s">
        <v>1147</v>
      </c>
      <c r="C41" s="682">
        <v>0</v>
      </c>
      <c r="D41" s="682">
        <v>0</v>
      </c>
      <c r="E41" s="682">
        <v>0</v>
      </c>
      <c r="F41" s="680" t="s">
        <v>1146</v>
      </c>
      <c r="G41" s="681" t="s">
        <v>1148</v>
      </c>
      <c r="H41" s="682">
        <v>0</v>
      </c>
      <c r="I41" s="682">
        <v>0</v>
      </c>
      <c r="J41" s="682">
        <v>0</v>
      </c>
    </row>
    <row r="42" spans="1:10" ht="26.25" x14ac:dyDescent="0.25">
      <c r="A42" s="680" t="s">
        <v>1149</v>
      </c>
      <c r="B42" s="687" t="s">
        <v>1150</v>
      </c>
      <c r="C42" s="682">
        <v>299586</v>
      </c>
      <c r="D42" s="682">
        <v>0</v>
      </c>
      <c r="E42" s="682">
        <v>0</v>
      </c>
      <c r="F42" s="680" t="s">
        <v>1149</v>
      </c>
      <c r="G42" s="681" t="s">
        <v>1151</v>
      </c>
      <c r="H42" s="682">
        <v>85394</v>
      </c>
      <c r="I42" s="682">
        <v>94210</v>
      </c>
      <c r="J42" s="682">
        <v>94210</v>
      </c>
    </row>
    <row r="43" spans="1:10" x14ac:dyDescent="0.25">
      <c r="A43" s="680" t="s">
        <v>1152</v>
      </c>
      <c r="B43" s="681" t="s">
        <v>1153</v>
      </c>
      <c r="C43" s="682">
        <v>1627918</v>
      </c>
      <c r="D43" s="682">
        <v>360653</v>
      </c>
      <c r="E43" s="682">
        <v>360653</v>
      </c>
      <c r="F43" s="680" t="s">
        <v>1154</v>
      </c>
      <c r="G43" s="681"/>
      <c r="H43" s="682"/>
      <c r="I43" s="682"/>
      <c r="J43" s="682"/>
    </row>
    <row r="44" spans="1:10" x14ac:dyDescent="0.25">
      <c r="A44" s="680" t="s">
        <v>1155</v>
      </c>
      <c r="B44" s="681" t="s">
        <v>1156</v>
      </c>
      <c r="C44" s="682">
        <v>0</v>
      </c>
      <c r="D44" s="682">
        <v>0</v>
      </c>
      <c r="E44" s="682">
        <v>0</v>
      </c>
      <c r="F44" s="680" t="s">
        <v>1155</v>
      </c>
      <c r="G44" s="681" t="s">
        <v>1157</v>
      </c>
      <c r="H44" s="682">
        <v>0</v>
      </c>
      <c r="I44" s="682">
        <v>0</v>
      </c>
      <c r="J44" s="682">
        <v>0</v>
      </c>
    </row>
    <row r="45" spans="1:10" x14ac:dyDescent="0.25">
      <c r="A45" s="680" t="s">
        <v>1158</v>
      </c>
      <c r="B45" s="681" t="s">
        <v>1159</v>
      </c>
      <c r="C45" s="682">
        <v>21663</v>
      </c>
      <c r="D45" s="682">
        <v>27576</v>
      </c>
      <c r="E45" s="682">
        <v>27576</v>
      </c>
      <c r="F45" s="680" t="s">
        <v>1158</v>
      </c>
      <c r="G45" s="681" t="s">
        <v>1160</v>
      </c>
      <c r="H45" s="682">
        <v>19597</v>
      </c>
      <c r="I45" s="682">
        <v>21664</v>
      </c>
      <c r="J45" s="682">
        <v>21664</v>
      </c>
    </row>
    <row r="46" spans="1:10" ht="15.75" thickBot="1" x14ac:dyDescent="0.3">
      <c r="A46" s="683" t="s">
        <v>1161</v>
      </c>
      <c r="B46" s="686" t="s">
        <v>43</v>
      </c>
      <c r="C46" s="685">
        <f>C41+C42+C43+C44+C45</f>
        <v>1949167</v>
      </c>
      <c r="D46" s="685">
        <f>D41+D42+D43+D44+D45</f>
        <v>388229</v>
      </c>
      <c r="E46" s="685">
        <f>E41+E42+E43+E44+E45</f>
        <v>388229</v>
      </c>
      <c r="F46" s="683" t="s">
        <v>1161</v>
      </c>
      <c r="G46" s="686" t="s">
        <v>50</v>
      </c>
      <c r="H46" s="685">
        <f t="shared" ref="H46" si="11">H41+H42+H44+H45</f>
        <v>104991</v>
      </c>
      <c r="I46" s="685">
        <f t="shared" ref="I46:J46" si="12">I41+I42+I44+I45</f>
        <v>115874</v>
      </c>
      <c r="J46" s="685">
        <f t="shared" si="12"/>
        <v>115874</v>
      </c>
    </row>
    <row r="47" spans="1:10" ht="15.75" thickBot="1" x14ac:dyDescent="0.3">
      <c r="A47" s="688" t="s">
        <v>1162</v>
      </c>
      <c r="B47" s="689" t="s">
        <v>1163</v>
      </c>
      <c r="C47" s="690">
        <f>C34+C40+C46</f>
        <v>3477340</v>
      </c>
      <c r="D47" s="690">
        <f>D34+D40+D46</f>
        <v>2961707</v>
      </c>
      <c r="E47" s="690">
        <f>E34+E40+E46</f>
        <v>2383848</v>
      </c>
      <c r="F47" s="688" t="s">
        <v>1162</v>
      </c>
      <c r="G47" s="689" t="s">
        <v>1164</v>
      </c>
      <c r="H47" s="690">
        <f t="shared" ref="H47" si="13">H34+H40+H46</f>
        <v>3116687</v>
      </c>
      <c r="I47" s="690">
        <f t="shared" ref="I47:J47" si="14">I34+I40+I46</f>
        <v>2961707</v>
      </c>
      <c r="J47" s="690">
        <f t="shared" si="14"/>
        <v>1888235</v>
      </c>
    </row>
    <row r="48" spans="1:10" x14ac:dyDescent="0.25">
      <c r="B48" s="691"/>
      <c r="C48" s="691"/>
      <c r="D48" s="691"/>
      <c r="E48" s="691"/>
      <c r="F48" s="691"/>
      <c r="G48" s="691"/>
      <c r="H48" s="692"/>
    </row>
  </sheetData>
  <mergeCells count="1">
    <mergeCell ref="B4:I4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04"/>
  <sheetViews>
    <sheetView zoomScale="80" zoomScaleNormal="80" zoomScaleSheetLayoutView="90" workbookViewId="0">
      <selection activeCell="A5" sqref="A5:L5"/>
    </sheetView>
  </sheetViews>
  <sheetFormatPr defaultRowHeight="12.75" x14ac:dyDescent="0.2"/>
  <cols>
    <col min="1" max="1" width="6.28515625" style="2" customWidth="1"/>
    <col min="2" max="2" width="92.7109375" customWidth="1"/>
    <col min="3" max="3" width="10.85546875" style="9" customWidth="1"/>
    <col min="4" max="4" width="17" style="33" customWidth="1"/>
    <col min="5" max="5" width="17.42578125" style="33" hidden="1" customWidth="1"/>
    <col min="6" max="6" width="11.140625" style="33" hidden="1" customWidth="1"/>
    <col min="7" max="7" width="16.7109375" style="134" hidden="1" customWidth="1"/>
    <col min="8" max="8" width="11.140625" style="33" hidden="1" customWidth="1"/>
    <col min="9" max="9" width="15.140625" style="33" hidden="1" customWidth="1"/>
    <col min="10" max="10" width="11.140625" style="33" hidden="1" customWidth="1"/>
    <col min="11" max="11" width="15.140625" style="33" customWidth="1"/>
    <col min="12" max="12" width="13.5703125" style="33" customWidth="1"/>
    <col min="13" max="13" width="7.42578125" customWidth="1"/>
  </cols>
  <sheetData>
    <row r="1" spans="1:14" ht="13.5" customHeight="1" x14ac:dyDescent="0.3">
      <c r="A1" s="51"/>
      <c r="B1" s="31"/>
      <c r="C1" s="397"/>
      <c r="L1" s="145" t="s">
        <v>435</v>
      </c>
      <c r="M1" s="2"/>
    </row>
    <row r="2" spans="1:14" ht="15.75" customHeight="1" x14ac:dyDescent="0.3">
      <c r="A2" s="51"/>
      <c r="B2" s="31"/>
      <c r="C2" s="397"/>
      <c r="L2" s="145" t="str">
        <f>'1.Bev-kiad.'!L2</f>
        <v>a 9/2026.(V.29.) önkormányzati rendelethez</v>
      </c>
      <c r="M2" s="2"/>
    </row>
    <row r="3" spans="1:14" ht="13.5" customHeight="1" x14ac:dyDescent="0.3">
      <c r="A3" s="51"/>
      <c r="B3" s="31"/>
      <c r="C3" s="397"/>
      <c r="D3" s="145"/>
      <c r="K3" s="145"/>
      <c r="M3" s="2"/>
    </row>
    <row r="4" spans="1:14" ht="16.5" customHeight="1" x14ac:dyDescent="0.35">
      <c r="A4" s="694" t="s">
        <v>22</v>
      </c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2"/>
    </row>
    <row r="5" spans="1:14" ht="19.5" x14ac:dyDescent="0.35">
      <c r="A5" s="694" t="s">
        <v>668</v>
      </c>
      <c r="B5" s="694"/>
      <c r="C5" s="694"/>
      <c r="D5" s="694"/>
      <c r="E5" s="694"/>
      <c r="F5" s="694"/>
      <c r="G5" s="694"/>
      <c r="H5" s="694"/>
      <c r="I5" s="694"/>
      <c r="J5" s="694"/>
      <c r="K5" s="694"/>
      <c r="L5" s="694"/>
      <c r="M5" s="2"/>
    </row>
    <row r="6" spans="1:14" ht="13.5" thickBot="1" x14ac:dyDescent="0.25">
      <c r="A6" s="51"/>
      <c r="B6" s="1"/>
      <c r="C6" s="398"/>
      <c r="L6" s="145" t="s">
        <v>0</v>
      </c>
      <c r="M6" s="2"/>
    </row>
    <row r="7" spans="1:14" ht="54.75" customHeight="1" thickBot="1" x14ac:dyDescent="0.25">
      <c r="A7" s="180" t="s">
        <v>72</v>
      </c>
      <c r="B7" s="41" t="s">
        <v>161</v>
      </c>
      <c r="C7" s="399" t="str">
        <f>'1.Bev-kiad.'!C8</f>
        <v>2024. évi teljesítés</v>
      </c>
      <c r="D7" s="41" t="str">
        <f>'1.Bev-kiad.'!D8</f>
        <v>2025. évi eredeti előirányzat</v>
      </c>
      <c r="E7" s="41" t="str">
        <f>'1.Bev-kiad.'!E8</f>
        <v>Módosított előirányzat 2025.06.havi</v>
      </c>
      <c r="F7" s="392" t="s">
        <v>769</v>
      </c>
      <c r="G7" s="41" t="str">
        <f>'1.Bev-kiad.'!G8</f>
        <v>Módosított előirányzat 2025.09.havi</v>
      </c>
      <c r="H7" s="392" t="s">
        <v>769</v>
      </c>
      <c r="I7" s="41" t="str">
        <f>'1.Bev-kiad.'!I8</f>
        <v>Módosított előirányzat 2025.12.havi</v>
      </c>
      <c r="J7" s="392" t="s">
        <v>769</v>
      </c>
      <c r="K7" s="41" t="str">
        <f>'1.Bev-kiad.'!K8</f>
        <v>Módosított előirányzat 2025.12.31</v>
      </c>
      <c r="L7" s="42" t="str">
        <f>'1.Bev-kiad.'!L8</f>
        <v>Teljesítés 2025.12.31.</v>
      </c>
      <c r="M7" s="258" t="s">
        <v>854</v>
      </c>
    </row>
    <row r="8" spans="1:14" ht="17.25" customHeight="1" x14ac:dyDescent="0.2">
      <c r="A8" s="115" t="s">
        <v>280</v>
      </c>
      <c r="B8" s="186" t="s">
        <v>275</v>
      </c>
      <c r="C8" s="400">
        <f>SUM(C9+C74+C87+C99)</f>
        <v>1316010</v>
      </c>
      <c r="D8" s="138">
        <f>SUM(D9+D74+D87+D99)</f>
        <v>1783433</v>
      </c>
      <c r="E8" s="138">
        <f>SUM(E9+E74+E87+E99)</f>
        <v>1798055</v>
      </c>
      <c r="F8" s="393">
        <f>G8-E8</f>
        <v>10397</v>
      </c>
      <c r="G8" s="138">
        <f>SUM(G9+G74+G87+G99)</f>
        <v>1808452</v>
      </c>
      <c r="H8" s="393">
        <f>I8-G8</f>
        <v>-141808</v>
      </c>
      <c r="I8" s="138">
        <f>SUM(I9+I74+I87+I99)</f>
        <v>1666644</v>
      </c>
      <c r="J8" s="393">
        <f>K8-I8</f>
        <v>-808</v>
      </c>
      <c r="K8" s="138">
        <f>SUM(K9+K74+K87+K99)</f>
        <v>1665836</v>
      </c>
      <c r="L8" s="138">
        <f>SUM(L9+L74+L87+L99)</f>
        <v>1589734</v>
      </c>
      <c r="M8" s="259">
        <f t="shared" ref="M8:M19" si="0">L8/K8*100</f>
        <v>95.431603110990508</v>
      </c>
    </row>
    <row r="9" spans="1:14" ht="18" customHeight="1" x14ac:dyDescent="0.25">
      <c r="A9" s="8" t="s">
        <v>74</v>
      </c>
      <c r="B9" s="18" t="s">
        <v>724</v>
      </c>
      <c r="C9" s="401">
        <f>C10+C62</f>
        <v>695314</v>
      </c>
      <c r="D9" s="125">
        <f>D10+D62</f>
        <v>742538</v>
      </c>
      <c r="E9" s="125">
        <f>E10+E62</f>
        <v>757160</v>
      </c>
      <c r="F9" s="393">
        <f t="shared" ref="F9:J72" si="1">G9-E9</f>
        <v>4647</v>
      </c>
      <c r="G9" s="125">
        <f>G10+G62</f>
        <v>761807</v>
      </c>
      <c r="H9" s="393">
        <f t="shared" si="1"/>
        <v>7381</v>
      </c>
      <c r="I9" s="125">
        <f>I10+I62</f>
        <v>769188</v>
      </c>
      <c r="J9" s="393">
        <f t="shared" si="1"/>
        <v>0</v>
      </c>
      <c r="K9" s="125">
        <f>K10+K62</f>
        <v>769188</v>
      </c>
      <c r="L9" s="125">
        <f>L10+L62</f>
        <v>769186</v>
      </c>
      <c r="M9" s="259">
        <f t="shared" si="0"/>
        <v>99.999739985543201</v>
      </c>
    </row>
    <row r="10" spans="1:14" ht="13.5" customHeight="1" x14ac:dyDescent="0.2">
      <c r="A10" s="8" t="s">
        <v>75</v>
      </c>
      <c r="B10" s="422" t="s">
        <v>444</v>
      </c>
      <c r="C10" s="402">
        <f>C11+C25+C26+C37+C43+C47+C61</f>
        <v>642174</v>
      </c>
      <c r="D10" s="5">
        <f>D11+D25+D26+D37+D43+D47+D61</f>
        <v>690086</v>
      </c>
      <c r="E10" s="5">
        <f>E11+E25+E26+E37+E43+E47+E61</f>
        <v>704708</v>
      </c>
      <c r="F10" s="393">
        <f t="shared" si="1"/>
        <v>4647</v>
      </c>
      <c r="G10" s="5">
        <f>G11+G25+G26+G37+G43+G47+G61</f>
        <v>709355</v>
      </c>
      <c r="H10" s="393">
        <f t="shared" si="1"/>
        <v>7381</v>
      </c>
      <c r="I10" s="5">
        <f>I11+I25+I26+I37+I43+I47+I61</f>
        <v>716736</v>
      </c>
      <c r="J10" s="393">
        <f t="shared" si="1"/>
        <v>-1</v>
      </c>
      <c r="K10" s="5">
        <f>K11+K25+K26+K37+K43+K47+K61</f>
        <v>716735</v>
      </c>
      <c r="L10" s="5">
        <f>L11+L25+L26+L37+L43+L47+L61</f>
        <v>716735</v>
      </c>
      <c r="M10" s="259">
        <f t="shared" si="0"/>
        <v>100</v>
      </c>
      <c r="N10" s="70"/>
    </row>
    <row r="11" spans="1:14" ht="13.5" customHeight="1" x14ac:dyDescent="0.2">
      <c r="A11" s="8" t="s">
        <v>163</v>
      </c>
      <c r="B11" s="14" t="s">
        <v>445</v>
      </c>
      <c r="C11" s="402">
        <f>C12+C21+C22+C24+C23</f>
        <v>227823</v>
      </c>
      <c r="D11" s="5">
        <f>D12+D21+D22+D24+D23</f>
        <v>223741</v>
      </c>
      <c r="E11" s="5">
        <f>E12+E21+E22+E24+E23</f>
        <v>252190</v>
      </c>
      <c r="F11" s="393">
        <f t="shared" si="1"/>
        <v>1410</v>
      </c>
      <c r="G11" s="5">
        <f>G12+G21+G22+G24+G23</f>
        <v>253600</v>
      </c>
      <c r="H11" s="393">
        <f t="shared" si="1"/>
        <v>-128</v>
      </c>
      <c r="I11" s="5">
        <f>I12+I21+I22+I24+I23</f>
        <v>253472</v>
      </c>
      <c r="J11" s="393">
        <f t="shared" si="1"/>
        <v>1</v>
      </c>
      <c r="K11" s="5">
        <f>K12+K21+K22+K24+K23</f>
        <v>253473</v>
      </c>
      <c r="L11" s="5">
        <f>L12+L21+L22+L24+L23</f>
        <v>253473</v>
      </c>
      <c r="M11" s="259">
        <f t="shared" si="0"/>
        <v>100</v>
      </c>
    </row>
    <row r="12" spans="1:14" ht="13.5" customHeight="1" x14ac:dyDescent="0.2">
      <c r="A12" s="8"/>
      <c r="B12" s="8" t="s">
        <v>446</v>
      </c>
      <c r="C12" s="141">
        <f>SUM(C13:C20)</f>
        <v>224213</v>
      </c>
      <c r="D12" s="13">
        <f>SUM(D13:D20)</f>
        <v>223741</v>
      </c>
      <c r="E12" s="13">
        <f>SUM(E13:E20)</f>
        <v>237384</v>
      </c>
      <c r="F12" s="393">
        <f t="shared" si="1"/>
        <v>1410</v>
      </c>
      <c r="G12" s="13">
        <f>SUM(G13:G20)</f>
        <v>238794</v>
      </c>
      <c r="H12" s="393">
        <f t="shared" si="1"/>
        <v>0</v>
      </c>
      <c r="I12" s="13">
        <f>SUM(I13:I20)</f>
        <v>238794</v>
      </c>
      <c r="J12" s="393">
        <f t="shared" si="1"/>
        <v>0</v>
      </c>
      <c r="K12" s="13">
        <f>SUM(K13:K20)</f>
        <v>238794</v>
      </c>
      <c r="L12" s="13">
        <f>SUM(L13:L20)</f>
        <v>238794</v>
      </c>
      <c r="M12" s="259">
        <f t="shared" si="0"/>
        <v>100</v>
      </c>
    </row>
    <row r="13" spans="1:14" ht="13.5" customHeight="1" x14ac:dyDescent="0.2">
      <c r="A13" s="8"/>
      <c r="B13" s="8" t="s">
        <v>447</v>
      </c>
      <c r="C13" s="141">
        <v>152912</v>
      </c>
      <c r="D13" s="67">
        <v>152912</v>
      </c>
      <c r="E13" s="67">
        <f>152912+1860+11783</f>
        <v>166555</v>
      </c>
      <c r="F13" s="393">
        <f t="shared" si="1"/>
        <v>0</v>
      </c>
      <c r="G13" s="67">
        <f>152912+1860+11783</f>
        <v>166555</v>
      </c>
      <c r="H13" s="393">
        <f t="shared" si="1"/>
        <v>0</v>
      </c>
      <c r="I13" s="67">
        <f>152912+1860+11783</f>
        <v>166555</v>
      </c>
      <c r="J13" s="393">
        <f t="shared" si="1"/>
        <v>0</v>
      </c>
      <c r="K13" s="67">
        <f>152912+1860+11783</f>
        <v>166555</v>
      </c>
      <c r="L13" s="67">
        <f>152912+1860+11783</f>
        <v>166555</v>
      </c>
      <c r="M13" s="259">
        <f t="shared" si="0"/>
        <v>100</v>
      </c>
    </row>
    <row r="14" spans="1:14" x14ac:dyDescent="0.2">
      <c r="A14" s="8"/>
      <c r="B14" s="8" t="s">
        <v>469</v>
      </c>
      <c r="C14" s="141">
        <v>8988</v>
      </c>
      <c r="D14" s="67">
        <f>8988</f>
        <v>8988</v>
      </c>
      <c r="E14" s="67">
        <f>8988</f>
        <v>8988</v>
      </c>
      <c r="F14" s="393">
        <f t="shared" si="1"/>
        <v>0</v>
      </c>
      <c r="G14" s="67">
        <f>8988</f>
        <v>8988</v>
      </c>
      <c r="H14" s="393">
        <f t="shared" si="1"/>
        <v>0</v>
      </c>
      <c r="I14" s="67">
        <f>8988</f>
        <v>8988</v>
      </c>
      <c r="J14" s="393">
        <f t="shared" si="1"/>
        <v>0</v>
      </c>
      <c r="K14" s="67">
        <f>8988</f>
        <v>8988</v>
      </c>
      <c r="L14" s="67">
        <f>8988</f>
        <v>8988</v>
      </c>
      <c r="M14" s="259">
        <f t="shared" si="0"/>
        <v>100</v>
      </c>
    </row>
    <row r="15" spans="1:14" ht="13.5" customHeight="1" x14ac:dyDescent="0.2">
      <c r="A15" s="8"/>
      <c r="B15" s="8" t="s">
        <v>683</v>
      </c>
      <c r="C15" s="141">
        <v>24120</v>
      </c>
      <c r="D15" s="67">
        <v>24120</v>
      </c>
      <c r="E15" s="67">
        <v>24120</v>
      </c>
      <c r="F15" s="393">
        <f t="shared" si="1"/>
        <v>0</v>
      </c>
      <c r="G15" s="67">
        <v>24120</v>
      </c>
      <c r="H15" s="393">
        <f t="shared" si="1"/>
        <v>0</v>
      </c>
      <c r="I15" s="67">
        <v>24120</v>
      </c>
      <c r="J15" s="393">
        <f t="shared" si="1"/>
        <v>0</v>
      </c>
      <c r="K15" s="67">
        <v>24120</v>
      </c>
      <c r="L15" s="67">
        <v>24120</v>
      </c>
      <c r="M15" s="259">
        <f t="shared" si="0"/>
        <v>100</v>
      </c>
    </row>
    <row r="16" spans="1:14" ht="13.5" customHeight="1" x14ac:dyDescent="0.2">
      <c r="A16" s="8"/>
      <c r="B16" s="8" t="s">
        <v>611</v>
      </c>
      <c r="C16" s="141">
        <v>23500</v>
      </c>
      <c r="D16" s="67">
        <v>23070</v>
      </c>
      <c r="E16" s="67">
        <v>23070</v>
      </c>
      <c r="F16" s="393">
        <f t="shared" si="1"/>
        <v>1410</v>
      </c>
      <c r="G16" s="67">
        <f>23070+1410</f>
        <v>24480</v>
      </c>
      <c r="H16" s="393">
        <f t="shared" si="1"/>
        <v>0</v>
      </c>
      <c r="I16" s="67">
        <f>23070+1410</f>
        <v>24480</v>
      </c>
      <c r="J16" s="393">
        <f t="shared" si="1"/>
        <v>0</v>
      </c>
      <c r="K16" s="67">
        <f>23070+1410</f>
        <v>24480</v>
      </c>
      <c r="L16" s="67">
        <v>24480</v>
      </c>
      <c r="M16" s="259">
        <f t="shared" si="0"/>
        <v>100</v>
      </c>
    </row>
    <row r="17" spans="1:13" ht="13.5" customHeight="1" x14ac:dyDescent="0.2">
      <c r="A17" s="8"/>
      <c r="B17" s="8" t="s">
        <v>470</v>
      </c>
      <c r="C17" s="141">
        <v>100</v>
      </c>
      <c r="D17" s="67">
        <f>100</f>
        <v>100</v>
      </c>
      <c r="E17" s="67">
        <f>100</f>
        <v>100</v>
      </c>
      <c r="F17" s="393">
        <f t="shared" si="1"/>
        <v>0</v>
      </c>
      <c r="G17" s="67">
        <f>100</f>
        <v>100</v>
      </c>
      <c r="H17" s="393">
        <f t="shared" si="1"/>
        <v>0</v>
      </c>
      <c r="I17" s="67">
        <f>100</f>
        <v>100</v>
      </c>
      <c r="J17" s="393">
        <f t="shared" si="1"/>
        <v>0</v>
      </c>
      <c r="K17" s="67">
        <f>100</f>
        <v>100</v>
      </c>
      <c r="L17" s="67">
        <f>100</f>
        <v>100</v>
      </c>
      <c r="M17" s="259">
        <f t="shared" si="0"/>
        <v>100</v>
      </c>
    </row>
    <row r="18" spans="1:13" ht="13.5" customHeight="1" x14ac:dyDescent="0.2">
      <c r="A18" s="8"/>
      <c r="B18" s="8" t="s">
        <v>471</v>
      </c>
      <c r="C18" s="141">
        <v>8058</v>
      </c>
      <c r="D18" s="67">
        <v>8058</v>
      </c>
      <c r="E18" s="67">
        <v>8058</v>
      </c>
      <c r="F18" s="393">
        <f t="shared" si="1"/>
        <v>0</v>
      </c>
      <c r="G18" s="67">
        <v>8058</v>
      </c>
      <c r="H18" s="393">
        <f t="shared" si="1"/>
        <v>0</v>
      </c>
      <c r="I18" s="67">
        <v>8058</v>
      </c>
      <c r="J18" s="393">
        <f t="shared" si="1"/>
        <v>0</v>
      </c>
      <c r="K18" s="67">
        <v>8058</v>
      </c>
      <c r="L18" s="67">
        <v>8058</v>
      </c>
      <c r="M18" s="259">
        <f t="shared" si="0"/>
        <v>100</v>
      </c>
    </row>
    <row r="19" spans="1:13" ht="12.75" customHeight="1" x14ac:dyDescent="0.2">
      <c r="A19" s="8"/>
      <c r="B19" s="8" t="s">
        <v>448</v>
      </c>
      <c r="C19" s="141">
        <v>6535</v>
      </c>
      <c r="D19" s="67">
        <v>6493</v>
      </c>
      <c r="E19" s="67">
        <v>6493</v>
      </c>
      <c r="F19" s="393">
        <f t="shared" si="1"/>
        <v>0</v>
      </c>
      <c r="G19" s="67">
        <v>6493</v>
      </c>
      <c r="H19" s="393">
        <f t="shared" si="1"/>
        <v>0</v>
      </c>
      <c r="I19" s="67">
        <v>6493</v>
      </c>
      <c r="J19" s="393">
        <f t="shared" si="1"/>
        <v>0</v>
      </c>
      <c r="K19" s="67">
        <v>6493</v>
      </c>
      <c r="L19" s="67">
        <v>6493</v>
      </c>
      <c r="M19" s="259">
        <f t="shared" si="0"/>
        <v>100</v>
      </c>
    </row>
    <row r="20" spans="1:13" ht="12.75" customHeight="1" x14ac:dyDescent="0.2">
      <c r="A20" s="8"/>
      <c r="B20" s="8" t="s">
        <v>449</v>
      </c>
      <c r="C20" s="188">
        <v>0</v>
      </c>
      <c r="D20" s="13">
        <v>0</v>
      </c>
      <c r="E20" s="13">
        <v>0</v>
      </c>
      <c r="F20" s="393">
        <f t="shared" si="1"/>
        <v>0</v>
      </c>
      <c r="G20" s="13">
        <v>0</v>
      </c>
      <c r="H20" s="393">
        <f t="shared" si="1"/>
        <v>0</v>
      </c>
      <c r="I20" s="13">
        <v>0</v>
      </c>
      <c r="J20" s="393">
        <f t="shared" si="1"/>
        <v>0</v>
      </c>
      <c r="K20" s="13">
        <v>0</v>
      </c>
      <c r="L20" s="13">
        <v>0</v>
      </c>
      <c r="M20" s="259"/>
    </row>
    <row r="21" spans="1:13" x14ac:dyDescent="0.2">
      <c r="A21" s="8"/>
      <c r="B21" s="8" t="s">
        <v>450</v>
      </c>
      <c r="C21" s="188">
        <v>0</v>
      </c>
      <c r="D21" s="13">
        <v>0</v>
      </c>
      <c r="E21" s="13">
        <v>0</v>
      </c>
      <c r="F21" s="393">
        <f t="shared" si="1"/>
        <v>0</v>
      </c>
      <c r="G21" s="13">
        <v>0</v>
      </c>
      <c r="H21" s="393">
        <f t="shared" si="1"/>
        <v>0</v>
      </c>
      <c r="I21" s="13">
        <v>0</v>
      </c>
      <c r="J21" s="393">
        <f t="shared" si="1"/>
        <v>0</v>
      </c>
      <c r="K21" s="13">
        <v>0</v>
      </c>
      <c r="L21" s="13">
        <v>0</v>
      </c>
      <c r="M21" s="259"/>
    </row>
    <row r="22" spans="1:13" x14ac:dyDescent="0.2">
      <c r="A22" s="8"/>
      <c r="B22" s="8" t="s">
        <v>451</v>
      </c>
      <c r="C22" s="188">
        <v>0</v>
      </c>
      <c r="D22" s="13">
        <v>0</v>
      </c>
      <c r="E22" s="13">
        <v>0</v>
      </c>
      <c r="F22" s="393">
        <f t="shared" si="1"/>
        <v>0</v>
      </c>
      <c r="G22" s="13">
        <v>0</v>
      </c>
      <c r="H22" s="393">
        <f t="shared" si="1"/>
        <v>0</v>
      </c>
      <c r="I22" s="13">
        <v>0</v>
      </c>
      <c r="J22" s="393">
        <f t="shared" si="1"/>
        <v>0</v>
      </c>
      <c r="K22" s="13">
        <v>0</v>
      </c>
      <c r="L22" s="13">
        <v>0</v>
      </c>
      <c r="M22" s="259"/>
    </row>
    <row r="23" spans="1:13" x14ac:dyDescent="0.2">
      <c r="A23" s="8"/>
      <c r="B23" s="8" t="s">
        <v>577</v>
      </c>
      <c r="C23" s="141">
        <v>3610</v>
      </c>
      <c r="D23" s="13">
        <v>0</v>
      </c>
      <c r="E23" s="13">
        <f>14135+671</f>
        <v>14806</v>
      </c>
      <c r="F23" s="393">
        <f t="shared" si="1"/>
        <v>0</v>
      </c>
      <c r="G23" s="13">
        <f>14135+671</f>
        <v>14806</v>
      </c>
      <c r="H23" s="393">
        <f t="shared" si="1"/>
        <v>-128</v>
      </c>
      <c r="I23" s="13">
        <f>14135+671-128</f>
        <v>14678</v>
      </c>
      <c r="J23" s="393">
        <f t="shared" si="1"/>
        <v>1</v>
      </c>
      <c r="K23" s="13">
        <f>14135+671-128+1</f>
        <v>14679</v>
      </c>
      <c r="L23" s="13">
        <v>14679</v>
      </c>
      <c r="M23" s="259">
        <f t="shared" ref="M23:M26" si="2">L23/K23*100</f>
        <v>100</v>
      </c>
    </row>
    <row r="24" spans="1:13" hidden="1" x14ac:dyDescent="0.2">
      <c r="A24" s="8"/>
      <c r="B24" s="118" t="s">
        <v>578</v>
      </c>
      <c r="C24" s="188"/>
      <c r="D24" s="13">
        <v>0</v>
      </c>
      <c r="E24" s="13">
        <v>0</v>
      </c>
      <c r="F24" s="393">
        <f t="shared" si="1"/>
        <v>0</v>
      </c>
      <c r="G24" s="13">
        <v>0</v>
      </c>
      <c r="H24" s="393">
        <f t="shared" si="1"/>
        <v>0</v>
      </c>
      <c r="I24" s="13">
        <v>0</v>
      </c>
      <c r="J24" s="393">
        <f t="shared" si="1"/>
        <v>0</v>
      </c>
      <c r="K24" s="13">
        <v>0</v>
      </c>
      <c r="L24" s="13">
        <v>0</v>
      </c>
      <c r="M24" s="259" t="e">
        <f t="shared" si="2"/>
        <v>#DIV/0!</v>
      </c>
    </row>
    <row r="25" spans="1:13" ht="13.5" customHeight="1" x14ac:dyDescent="0.25">
      <c r="A25" s="8" t="s">
        <v>164</v>
      </c>
      <c r="B25" s="422" t="s">
        <v>774</v>
      </c>
      <c r="C25" s="402">
        <v>138150</v>
      </c>
      <c r="D25" s="5">
        <v>147346</v>
      </c>
      <c r="E25" s="5">
        <f>147346+3783</f>
        <v>151129</v>
      </c>
      <c r="F25" s="393">
        <f t="shared" si="1"/>
        <v>810</v>
      </c>
      <c r="G25" s="5">
        <f>147346+3783+810</f>
        <v>151939</v>
      </c>
      <c r="H25" s="393">
        <f t="shared" si="1"/>
        <v>8658</v>
      </c>
      <c r="I25" s="5">
        <f>147346+810+8826+3783+635+7-810</f>
        <v>160597</v>
      </c>
      <c r="J25" s="393">
        <f t="shared" si="1"/>
        <v>-1</v>
      </c>
      <c r="K25" s="5">
        <f>147346+810+8826+3783+635+7-810-1</f>
        <v>160596</v>
      </c>
      <c r="L25" s="5">
        <v>160596</v>
      </c>
      <c r="M25" s="259">
        <f t="shared" si="2"/>
        <v>100</v>
      </c>
    </row>
    <row r="26" spans="1:13" ht="13.5" customHeight="1" x14ac:dyDescent="0.2">
      <c r="A26" s="8" t="s">
        <v>165</v>
      </c>
      <c r="B26" s="422" t="s">
        <v>770</v>
      </c>
      <c r="C26" s="402">
        <f>C27+C28+C35+C36</f>
        <v>157894</v>
      </c>
      <c r="D26" s="5">
        <f>D27+D28+D35+D36</f>
        <v>173978</v>
      </c>
      <c r="E26" s="5">
        <f>E27+E28+E35+E36</f>
        <v>192283</v>
      </c>
      <c r="F26" s="393">
        <f t="shared" si="1"/>
        <v>0</v>
      </c>
      <c r="G26" s="5">
        <f>G27+G28+G35+G36</f>
        <v>192283</v>
      </c>
      <c r="H26" s="393">
        <f t="shared" si="1"/>
        <v>-1149</v>
      </c>
      <c r="I26" s="5">
        <f>I27+I28+I35+I36</f>
        <v>191134</v>
      </c>
      <c r="J26" s="393">
        <f t="shared" si="1"/>
        <v>-1</v>
      </c>
      <c r="K26" s="5">
        <f>K27+K28+K35+K36</f>
        <v>191133</v>
      </c>
      <c r="L26" s="5">
        <f>L27+L28+L35+L36</f>
        <v>191133</v>
      </c>
      <c r="M26" s="259">
        <f t="shared" si="2"/>
        <v>100</v>
      </c>
    </row>
    <row r="27" spans="1:13" ht="13.5" customHeight="1" x14ac:dyDescent="0.2">
      <c r="A27" s="8"/>
      <c r="B27" s="8" t="s">
        <v>452</v>
      </c>
      <c r="C27" s="188">
        <v>0</v>
      </c>
      <c r="D27" s="13">
        <v>0</v>
      </c>
      <c r="E27" s="13">
        <v>0</v>
      </c>
      <c r="F27" s="393">
        <f t="shared" si="1"/>
        <v>0</v>
      </c>
      <c r="G27" s="13">
        <v>0</v>
      </c>
      <c r="H27" s="393">
        <f t="shared" si="1"/>
        <v>0</v>
      </c>
      <c r="I27" s="13">
        <v>0</v>
      </c>
      <c r="J27" s="393">
        <f t="shared" si="1"/>
        <v>0</v>
      </c>
      <c r="K27" s="13">
        <v>0</v>
      </c>
      <c r="L27" s="13">
        <v>0</v>
      </c>
      <c r="M27" s="259"/>
    </row>
    <row r="28" spans="1:13" ht="13.5" customHeight="1" x14ac:dyDescent="0.2">
      <c r="A28" s="8"/>
      <c r="B28" s="8" t="s">
        <v>453</v>
      </c>
      <c r="C28" s="141">
        <f>C29+C30+C32+C34</f>
        <v>128643</v>
      </c>
      <c r="D28" s="13">
        <f>D29+D30+D32+D34</f>
        <v>139144</v>
      </c>
      <c r="E28" s="13">
        <f>E29+E30+E32+E34</f>
        <v>139144</v>
      </c>
      <c r="F28" s="393">
        <f t="shared" si="1"/>
        <v>0</v>
      </c>
      <c r="G28" s="13">
        <f>G29+G30+G32+G34</f>
        <v>139144</v>
      </c>
      <c r="H28" s="393">
        <f t="shared" si="1"/>
        <v>754</v>
      </c>
      <c r="I28" s="13">
        <f>I29+I30+I32+I34</f>
        <v>139898</v>
      </c>
      <c r="J28" s="393">
        <f t="shared" si="1"/>
        <v>-1</v>
      </c>
      <c r="K28" s="13">
        <f>K29+K30+K32+K34</f>
        <v>139897</v>
      </c>
      <c r="L28" s="13">
        <f>L29+L30+L32+L34</f>
        <v>139897</v>
      </c>
      <c r="M28" s="259">
        <f t="shared" ref="M28:M33" si="3">L28/K28*100</f>
        <v>100</v>
      </c>
    </row>
    <row r="29" spans="1:13" ht="13.5" customHeight="1" x14ac:dyDescent="0.2">
      <c r="A29" s="8"/>
      <c r="B29" s="8" t="s">
        <v>775</v>
      </c>
      <c r="C29" s="141">
        <v>23915</v>
      </c>
      <c r="D29" s="13">
        <v>28560</v>
      </c>
      <c r="E29" s="13">
        <v>28560</v>
      </c>
      <c r="F29" s="393">
        <f t="shared" si="1"/>
        <v>0</v>
      </c>
      <c r="G29" s="13">
        <v>28560</v>
      </c>
      <c r="H29" s="393">
        <f t="shared" si="1"/>
        <v>0</v>
      </c>
      <c r="I29" s="13">
        <v>28560</v>
      </c>
      <c r="J29" s="393">
        <f t="shared" si="1"/>
        <v>0</v>
      </c>
      <c r="K29" s="13">
        <v>28560</v>
      </c>
      <c r="L29" s="13">
        <v>28560</v>
      </c>
      <c r="M29" s="259">
        <f t="shared" si="3"/>
        <v>100</v>
      </c>
    </row>
    <row r="30" spans="1:13" ht="13.5" customHeight="1" x14ac:dyDescent="0.2">
      <c r="A30" s="8"/>
      <c r="B30" s="8" t="s">
        <v>454</v>
      </c>
      <c r="C30" s="141">
        <f>C31</f>
        <v>9165</v>
      </c>
      <c r="D30" s="13">
        <f>D31</f>
        <v>9472</v>
      </c>
      <c r="E30" s="13">
        <f>E31</f>
        <v>9472</v>
      </c>
      <c r="F30" s="393">
        <f t="shared" si="1"/>
        <v>0</v>
      </c>
      <c r="G30" s="13">
        <f>G31</f>
        <v>9472</v>
      </c>
      <c r="H30" s="393">
        <f t="shared" si="1"/>
        <v>-89</v>
      </c>
      <c r="I30" s="13">
        <f>I31</f>
        <v>9383</v>
      </c>
      <c r="J30" s="393">
        <f t="shared" si="1"/>
        <v>-1</v>
      </c>
      <c r="K30" s="13">
        <f>K31</f>
        <v>9382</v>
      </c>
      <c r="L30" s="13">
        <f>L31</f>
        <v>9382</v>
      </c>
      <c r="M30" s="259">
        <f t="shared" si="3"/>
        <v>100</v>
      </c>
    </row>
    <row r="31" spans="1:13" ht="13.5" customHeight="1" x14ac:dyDescent="0.2">
      <c r="A31" s="8"/>
      <c r="B31" s="8" t="s">
        <v>468</v>
      </c>
      <c r="C31" s="141">
        <v>9165</v>
      </c>
      <c r="D31" s="13">
        <v>9472</v>
      </c>
      <c r="E31" s="13">
        <v>9472</v>
      </c>
      <c r="F31" s="393">
        <f t="shared" si="1"/>
        <v>0</v>
      </c>
      <c r="G31" s="13">
        <v>9472</v>
      </c>
      <c r="H31" s="393">
        <f t="shared" si="1"/>
        <v>-89</v>
      </c>
      <c r="I31" s="13">
        <f>9472-89</f>
        <v>9383</v>
      </c>
      <c r="J31" s="393">
        <f t="shared" si="1"/>
        <v>-1</v>
      </c>
      <c r="K31" s="13">
        <f>9472-89-1</f>
        <v>9382</v>
      </c>
      <c r="L31" s="13">
        <v>9382</v>
      </c>
      <c r="M31" s="259">
        <f t="shared" si="3"/>
        <v>100</v>
      </c>
    </row>
    <row r="32" spans="1:13" ht="13.5" customHeight="1" x14ac:dyDescent="0.2">
      <c r="A32" s="8"/>
      <c r="B32" s="8" t="s">
        <v>455</v>
      </c>
      <c r="C32" s="141">
        <f>C33</f>
        <v>95563</v>
      </c>
      <c r="D32" s="13">
        <f>D33</f>
        <v>101112</v>
      </c>
      <c r="E32" s="13">
        <f>E33</f>
        <v>101112</v>
      </c>
      <c r="F32" s="393">
        <f t="shared" si="1"/>
        <v>0</v>
      </c>
      <c r="G32" s="13">
        <f>G33</f>
        <v>101112</v>
      </c>
      <c r="H32" s="393">
        <f t="shared" si="1"/>
        <v>843</v>
      </c>
      <c r="I32" s="13">
        <f>I33</f>
        <v>101955</v>
      </c>
      <c r="J32" s="393">
        <f t="shared" si="1"/>
        <v>0</v>
      </c>
      <c r="K32" s="13">
        <f>K33</f>
        <v>101955</v>
      </c>
      <c r="L32" s="13">
        <f>L33</f>
        <v>101955</v>
      </c>
      <c r="M32" s="259">
        <f t="shared" si="3"/>
        <v>100</v>
      </c>
    </row>
    <row r="33" spans="1:13" ht="13.5" customHeight="1" x14ac:dyDescent="0.2">
      <c r="A33" s="8"/>
      <c r="B33" s="8" t="s">
        <v>776</v>
      </c>
      <c r="C33" s="141">
        <v>95563</v>
      </c>
      <c r="D33" s="13">
        <v>101112</v>
      </c>
      <c r="E33" s="13">
        <v>101112</v>
      </c>
      <c r="F33" s="393">
        <f t="shared" si="1"/>
        <v>0</v>
      </c>
      <c r="G33" s="13">
        <v>101112</v>
      </c>
      <c r="H33" s="393">
        <f t="shared" si="1"/>
        <v>843</v>
      </c>
      <c r="I33" s="13">
        <f>101112+843</f>
        <v>101955</v>
      </c>
      <c r="J33" s="393">
        <f t="shared" si="1"/>
        <v>0</v>
      </c>
      <c r="K33" s="13">
        <f>101112+843</f>
        <v>101955</v>
      </c>
      <c r="L33" s="13">
        <v>101955</v>
      </c>
      <c r="M33" s="259">
        <f t="shared" si="3"/>
        <v>100</v>
      </c>
    </row>
    <row r="34" spans="1:13" ht="13.5" customHeight="1" x14ac:dyDescent="0.2">
      <c r="A34" s="8"/>
      <c r="B34" s="8" t="s">
        <v>456</v>
      </c>
      <c r="C34" s="188">
        <v>0</v>
      </c>
      <c r="D34" s="13">
        <v>0</v>
      </c>
      <c r="E34" s="13">
        <v>0</v>
      </c>
      <c r="F34" s="393">
        <f t="shared" si="1"/>
        <v>0</v>
      </c>
      <c r="G34" s="13">
        <v>0</v>
      </c>
      <c r="H34" s="393">
        <f t="shared" si="1"/>
        <v>0</v>
      </c>
      <c r="I34" s="13">
        <v>0</v>
      </c>
      <c r="J34" s="393">
        <f t="shared" si="1"/>
        <v>0</v>
      </c>
      <c r="K34" s="13">
        <v>0</v>
      </c>
      <c r="L34" s="13">
        <v>0</v>
      </c>
      <c r="M34" s="259"/>
    </row>
    <row r="35" spans="1:13" ht="13.5" customHeight="1" x14ac:dyDescent="0.2">
      <c r="A35" s="8"/>
      <c r="B35" s="8" t="s">
        <v>675</v>
      </c>
      <c r="C35" s="141">
        <v>12317</v>
      </c>
      <c r="D35" s="13">
        <v>34834</v>
      </c>
      <c r="E35" s="13">
        <v>34834</v>
      </c>
      <c r="F35" s="393">
        <f t="shared" si="1"/>
        <v>0</v>
      </c>
      <c r="G35" s="13">
        <v>34834</v>
      </c>
      <c r="H35" s="393">
        <f t="shared" si="1"/>
        <v>0</v>
      </c>
      <c r="I35" s="13">
        <v>34834</v>
      </c>
      <c r="J35" s="393">
        <f t="shared" si="1"/>
        <v>0</v>
      </c>
      <c r="K35" s="13">
        <v>34834</v>
      </c>
      <c r="L35" s="13">
        <v>34834</v>
      </c>
      <c r="M35" s="259">
        <f t="shared" ref="M35:M40" si="4">L35/K35*100</f>
        <v>100</v>
      </c>
    </row>
    <row r="36" spans="1:13" ht="13.5" customHeight="1" x14ac:dyDescent="0.2">
      <c r="A36" s="8"/>
      <c r="B36" s="8" t="s">
        <v>757</v>
      </c>
      <c r="C36" s="141">
        <v>16934</v>
      </c>
      <c r="D36" s="13">
        <v>0</v>
      </c>
      <c r="E36" s="13">
        <v>18305</v>
      </c>
      <c r="F36" s="393">
        <f t="shared" si="1"/>
        <v>0</v>
      </c>
      <c r="G36" s="13">
        <v>18305</v>
      </c>
      <c r="H36" s="393">
        <f t="shared" si="1"/>
        <v>-1903</v>
      </c>
      <c r="I36" s="13">
        <f>18305-1713-190</f>
        <v>16402</v>
      </c>
      <c r="J36" s="393">
        <f t="shared" si="1"/>
        <v>0</v>
      </c>
      <c r="K36" s="13">
        <f>18305-1713-190</f>
        <v>16402</v>
      </c>
      <c r="L36" s="13">
        <v>16402</v>
      </c>
      <c r="M36" s="259">
        <f t="shared" si="4"/>
        <v>100</v>
      </c>
    </row>
    <row r="37" spans="1:13" ht="13.5" customHeight="1" x14ac:dyDescent="0.2">
      <c r="A37" s="8"/>
      <c r="B37" s="14" t="s">
        <v>457</v>
      </c>
      <c r="C37" s="402">
        <f>C38+C41+C42</f>
        <v>66265</v>
      </c>
      <c r="D37" s="5">
        <f>D38+D41+D42</f>
        <v>72913</v>
      </c>
      <c r="E37" s="5">
        <f>E38+E41+E42</f>
        <v>72913</v>
      </c>
      <c r="F37" s="393">
        <f t="shared" si="1"/>
        <v>0</v>
      </c>
      <c r="G37" s="5">
        <f>G38+G41+G42</f>
        <v>72913</v>
      </c>
      <c r="H37" s="393">
        <f t="shared" si="1"/>
        <v>0</v>
      </c>
      <c r="I37" s="5">
        <f>I38+I41+I42</f>
        <v>72913</v>
      </c>
      <c r="J37" s="393">
        <f t="shared" si="1"/>
        <v>0</v>
      </c>
      <c r="K37" s="5">
        <f>K38+K41+K42</f>
        <v>72913</v>
      </c>
      <c r="L37" s="5">
        <f>L38+L41+L42</f>
        <v>72913</v>
      </c>
      <c r="M37" s="259">
        <f t="shared" si="4"/>
        <v>100</v>
      </c>
    </row>
    <row r="38" spans="1:13" ht="13.5" customHeight="1" x14ac:dyDescent="0.2">
      <c r="A38" s="8"/>
      <c r="B38" s="8" t="s">
        <v>458</v>
      </c>
      <c r="C38" s="141">
        <v>66265</v>
      </c>
      <c r="D38" s="13">
        <f>D39+D40</f>
        <v>72913</v>
      </c>
      <c r="E38" s="13">
        <f>E39+E40</f>
        <v>72913</v>
      </c>
      <c r="F38" s="393">
        <f t="shared" si="1"/>
        <v>0</v>
      </c>
      <c r="G38" s="13">
        <f>G39+G40</f>
        <v>72913</v>
      </c>
      <c r="H38" s="393">
        <f t="shared" si="1"/>
        <v>0</v>
      </c>
      <c r="I38" s="13">
        <f>I39+I40</f>
        <v>72913</v>
      </c>
      <c r="J38" s="393">
        <f t="shared" si="1"/>
        <v>0</v>
      </c>
      <c r="K38" s="13">
        <f>K39+K40</f>
        <v>72913</v>
      </c>
      <c r="L38" s="13">
        <f>L39+L40</f>
        <v>72913</v>
      </c>
      <c r="M38" s="259">
        <f t="shared" si="4"/>
        <v>100</v>
      </c>
    </row>
    <row r="39" spans="1:13" ht="13.5" customHeight="1" x14ac:dyDescent="0.2">
      <c r="A39" s="8"/>
      <c r="B39" s="8" t="s">
        <v>459</v>
      </c>
      <c r="C39" s="141">
        <v>36924</v>
      </c>
      <c r="D39" s="13">
        <v>43360</v>
      </c>
      <c r="E39" s="13">
        <v>43360</v>
      </c>
      <c r="F39" s="393">
        <f t="shared" si="1"/>
        <v>0</v>
      </c>
      <c r="G39" s="13">
        <v>43360</v>
      </c>
      <c r="H39" s="393">
        <f t="shared" si="1"/>
        <v>0</v>
      </c>
      <c r="I39" s="13">
        <v>43360</v>
      </c>
      <c r="J39" s="393">
        <f t="shared" si="1"/>
        <v>0</v>
      </c>
      <c r="K39" s="13">
        <v>43360</v>
      </c>
      <c r="L39" s="13">
        <v>43360</v>
      </c>
      <c r="M39" s="259">
        <f t="shared" si="4"/>
        <v>100</v>
      </c>
    </row>
    <row r="40" spans="1:13" ht="13.5" customHeight="1" x14ac:dyDescent="0.2">
      <c r="A40" s="8"/>
      <c r="B40" s="8" t="s">
        <v>460</v>
      </c>
      <c r="C40" s="141">
        <v>29341</v>
      </c>
      <c r="D40" s="13">
        <v>29553</v>
      </c>
      <c r="E40" s="13">
        <v>29553</v>
      </c>
      <c r="F40" s="393">
        <f t="shared" si="1"/>
        <v>0</v>
      </c>
      <c r="G40" s="13">
        <v>29553</v>
      </c>
      <c r="H40" s="393">
        <f t="shared" si="1"/>
        <v>0</v>
      </c>
      <c r="I40" s="13">
        <v>29553</v>
      </c>
      <c r="J40" s="393">
        <f t="shared" si="1"/>
        <v>0</v>
      </c>
      <c r="K40" s="13">
        <v>29553</v>
      </c>
      <c r="L40" s="13">
        <v>29553</v>
      </c>
      <c r="M40" s="259">
        <f t="shared" si="4"/>
        <v>100</v>
      </c>
    </row>
    <row r="41" spans="1:13" ht="13.5" hidden="1" customHeight="1" x14ac:dyDescent="0.2">
      <c r="A41" s="8"/>
      <c r="B41" s="118" t="s">
        <v>461</v>
      </c>
      <c r="C41" s="188"/>
      <c r="D41" s="13">
        <v>0</v>
      </c>
      <c r="E41" s="13">
        <v>0</v>
      </c>
      <c r="F41" s="393">
        <f t="shared" si="1"/>
        <v>0</v>
      </c>
      <c r="G41" s="13">
        <v>0</v>
      </c>
      <c r="H41" s="393">
        <f t="shared" si="1"/>
        <v>0</v>
      </c>
      <c r="I41" s="13">
        <v>0</v>
      </c>
      <c r="J41" s="393">
        <f t="shared" si="1"/>
        <v>0</v>
      </c>
      <c r="K41" s="13">
        <v>0</v>
      </c>
      <c r="L41" s="13">
        <v>0</v>
      </c>
      <c r="M41" s="259"/>
    </row>
    <row r="42" spans="1:13" ht="13.5" hidden="1" customHeight="1" x14ac:dyDescent="0.2">
      <c r="A42" s="8"/>
      <c r="B42" s="118" t="s">
        <v>484</v>
      </c>
      <c r="C42" s="188"/>
      <c r="D42" s="13"/>
      <c r="E42" s="13"/>
      <c r="F42" s="393">
        <f t="shared" si="1"/>
        <v>0</v>
      </c>
      <c r="G42" s="13"/>
      <c r="H42" s="393">
        <f t="shared" si="1"/>
        <v>0</v>
      </c>
      <c r="I42" s="13"/>
      <c r="J42" s="393">
        <f t="shared" si="1"/>
        <v>0</v>
      </c>
      <c r="K42" s="13"/>
      <c r="L42" s="13"/>
      <c r="M42" s="259" t="e">
        <f t="shared" ref="M42:M47" si="5">L42/K42*100</f>
        <v>#DIV/0!</v>
      </c>
    </row>
    <row r="43" spans="1:13" ht="13.5" customHeight="1" x14ac:dyDescent="0.2">
      <c r="A43" s="8" t="s">
        <v>166</v>
      </c>
      <c r="B43" s="422" t="s">
        <v>462</v>
      </c>
      <c r="C43" s="403">
        <f>SUM(C44:C46)</f>
        <v>35919</v>
      </c>
      <c r="D43" s="6">
        <f>SUM(D44:D46)</f>
        <v>5132</v>
      </c>
      <c r="E43" s="6">
        <f>SUM(E44:E46)</f>
        <v>36193</v>
      </c>
      <c r="F43" s="393">
        <f t="shared" si="1"/>
        <v>0</v>
      </c>
      <c r="G43" s="6">
        <f>SUM(G44:G46)</f>
        <v>36193</v>
      </c>
      <c r="H43" s="393">
        <f t="shared" si="1"/>
        <v>0</v>
      </c>
      <c r="I43" s="6">
        <f>SUM(I44:I46)</f>
        <v>36193</v>
      </c>
      <c r="J43" s="393">
        <f t="shared" si="1"/>
        <v>0</v>
      </c>
      <c r="K43" s="6">
        <f>SUM(K44:K46)</f>
        <v>36193</v>
      </c>
      <c r="L43" s="6">
        <f>SUM(L44:L46)</f>
        <v>36193</v>
      </c>
      <c r="M43" s="259">
        <f t="shared" si="5"/>
        <v>100</v>
      </c>
    </row>
    <row r="44" spans="1:13" ht="13.5" customHeight="1" x14ac:dyDescent="0.2">
      <c r="A44" s="8"/>
      <c r="B44" s="8" t="s">
        <v>684</v>
      </c>
      <c r="C44" s="141">
        <v>5165</v>
      </c>
      <c r="D44" s="67">
        <v>5132</v>
      </c>
      <c r="E44" s="67">
        <v>5132</v>
      </c>
      <c r="F44" s="393">
        <f t="shared" si="1"/>
        <v>0</v>
      </c>
      <c r="G44" s="67">
        <v>5132</v>
      </c>
      <c r="H44" s="393">
        <f t="shared" si="1"/>
        <v>0</v>
      </c>
      <c r="I44" s="67">
        <v>5132</v>
      </c>
      <c r="J44" s="393">
        <f t="shared" si="1"/>
        <v>0</v>
      </c>
      <c r="K44" s="67">
        <v>5132</v>
      </c>
      <c r="L44" s="67">
        <v>5132</v>
      </c>
      <c r="M44" s="259">
        <f t="shared" si="5"/>
        <v>100</v>
      </c>
    </row>
    <row r="45" spans="1:13" ht="13.5" customHeight="1" x14ac:dyDescent="0.2">
      <c r="A45" s="8"/>
      <c r="B45" s="8" t="s">
        <v>485</v>
      </c>
      <c r="C45" s="141">
        <v>26763</v>
      </c>
      <c r="D45" s="67">
        <v>0</v>
      </c>
      <c r="E45" s="67">
        <v>26763</v>
      </c>
      <c r="F45" s="393">
        <f t="shared" si="1"/>
        <v>0</v>
      </c>
      <c r="G45" s="67">
        <v>26763</v>
      </c>
      <c r="H45" s="393">
        <f t="shared" si="1"/>
        <v>0</v>
      </c>
      <c r="I45" s="67">
        <v>26763</v>
      </c>
      <c r="J45" s="393">
        <f t="shared" si="1"/>
        <v>0</v>
      </c>
      <c r="K45" s="67">
        <v>26763</v>
      </c>
      <c r="L45" s="67">
        <v>26763</v>
      </c>
      <c r="M45" s="259">
        <f t="shared" si="5"/>
        <v>100</v>
      </c>
    </row>
    <row r="46" spans="1:13" ht="13.5" customHeight="1" x14ac:dyDescent="0.2">
      <c r="A46" s="8"/>
      <c r="B46" s="8" t="s">
        <v>586</v>
      </c>
      <c r="C46" s="141">
        <v>3991</v>
      </c>
      <c r="D46" s="67">
        <v>0</v>
      </c>
      <c r="E46" s="67">
        <f>3990+308</f>
        <v>4298</v>
      </c>
      <c r="F46" s="393">
        <f t="shared" si="1"/>
        <v>0</v>
      </c>
      <c r="G46" s="67">
        <f>3990+308</f>
        <v>4298</v>
      </c>
      <c r="H46" s="393">
        <f t="shared" si="1"/>
        <v>0</v>
      </c>
      <c r="I46" s="67">
        <f>3990+308</f>
        <v>4298</v>
      </c>
      <c r="J46" s="393">
        <f t="shared" si="1"/>
        <v>0</v>
      </c>
      <c r="K46" s="67">
        <f>3990+308</f>
        <v>4298</v>
      </c>
      <c r="L46" s="67">
        <v>4298</v>
      </c>
      <c r="M46" s="259">
        <f t="shared" si="5"/>
        <v>100</v>
      </c>
    </row>
    <row r="47" spans="1:13" ht="16.5" customHeight="1" x14ac:dyDescent="0.2">
      <c r="A47" s="8" t="s">
        <v>167</v>
      </c>
      <c r="B47" s="422" t="s">
        <v>686</v>
      </c>
      <c r="C47" s="402">
        <f>C48+C53+C55+C58</f>
        <v>15481</v>
      </c>
      <c r="D47" s="5">
        <f>D48+D53+D55+D58</f>
        <v>66976</v>
      </c>
      <c r="E47" s="5">
        <f>E48+E53+E55+E58</f>
        <v>0</v>
      </c>
      <c r="F47" s="393">
        <f t="shared" si="1"/>
        <v>2427</v>
      </c>
      <c r="G47" s="5">
        <f>G48+G53+G55+G58</f>
        <v>2427</v>
      </c>
      <c r="H47" s="393">
        <f t="shared" si="1"/>
        <v>0</v>
      </c>
      <c r="I47" s="5">
        <f>I48+I53+I55+I58</f>
        <v>2427</v>
      </c>
      <c r="J47" s="393">
        <f t="shared" si="1"/>
        <v>0</v>
      </c>
      <c r="K47" s="5">
        <f>K48+K53+K55+K58</f>
        <v>2427</v>
      </c>
      <c r="L47" s="5">
        <f>L48+L53+L55+L58</f>
        <v>2427</v>
      </c>
      <c r="M47" s="259">
        <f t="shared" si="5"/>
        <v>100</v>
      </c>
    </row>
    <row r="48" spans="1:13" ht="14.25" customHeight="1" x14ac:dyDescent="0.2">
      <c r="A48" s="8"/>
      <c r="B48" s="302" t="s">
        <v>687</v>
      </c>
      <c r="C48" s="402">
        <f>C49+C50+C51+C52</f>
        <v>13161</v>
      </c>
      <c r="D48" s="5">
        <f>D49+D50+D51+D52</f>
        <v>14135</v>
      </c>
      <c r="E48" s="5">
        <f>E49+E50+E51+E52</f>
        <v>0</v>
      </c>
      <c r="F48" s="393">
        <f t="shared" si="1"/>
        <v>0</v>
      </c>
      <c r="G48" s="5">
        <f>G49+G50+G51+G52</f>
        <v>0</v>
      </c>
      <c r="H48" s="393">
        <f t="shared" si="1"/>
        <v>0</v>
      </c>
      <c r="I48" s="5">
        <f>I49+I50+I51+I52</f>
        <v>0</v>
      </c>
      <c r="J48" s="393">
        <f t="shared" si="1"/>
        <v>0</v>
      </c>
      <c r="K48" s="5">
        <f>K49+K50+K51+K52</f>
        <v>0</v>
      </c>
      <c r="L48" s="5">
        <f>L49+L50+L51+L52</f>
        <v>0</v>
      </c>
      <c r="M48" s="259"/>
    </row>
    <row r="49" spans="1:13" ht="13.5" customHeight="1" x14ac:dyDescent="0.2">
      <c r="A49" s="8"/>
      <c r="B49" s="302" t="s">
        <v>688</v>
      </c>
      <c r="C49" s="141">
        <v>13161</v>
      </c>
      <c r="D49" s="13">
        <v>14135</v>
      </c>
      <c r="E49" s="13">
        <f>14135-14135</f>
        <v>0</v>
      </c>
      <c r="F49" s="393">
        <f t="shared" si="1"/>
        <v>0</v>
      </c>
      <c r="G49" s="13">
        <f>14135-14135</f>
        <v>0</v>
      </c>
      <c r="H49" s="393">
        <f t="shared" si="1"/>
        <v>0</v>
      </c>
      <c r="I49" s="13">
        <f>14135-14135</f>
        <v>0</v>
      </c>
      <c r="J49" s="393">
        <f t="shared" si="1"/>
        <v>0</v>
      </c>
      <c r="K49" s="13">
        <f>14135-14135</f>
        <v>0</v>
      </c>
      <c r="L49" s="13">
        <f>14135-14135</f>
        <v>0</v>
      </c>
      <c r="M49" s="259"/>
    </row>
    <row r="50" spans="1:13" ht="11.25" hidden="1" customHeight="1" x14ac:dyDescent="0.2">
      <c r="A50" s="8"/>
      <c r="B50" s="312" t="s">
        <v>463</v>
      </c>
      <c r="C50" s="405"/>
      <c r="D50" s="13">
        <v>0</v>
      </c>
      <c r="E50" s="13">
        <v>0</v>
      </c>
      <c r="F50" s="393">
        <f t="shared" si="1"/>
        <v>0</v>
      </c>
      <c r="G50" s="13">
        <v>0</v>
      </c>
      <c r="H50" s="393">
        <f t="shared" si="1"/>
        <v>0</v>
      </c>
      <c r="I50" s="13">
        <v>0</v>
      </c>
      <c r="J50" s="393">
        <f t="shared" si="1"/>
        <v>0</v>
      </c>
      <c r="K50" s="13">
        <v>0</v>
      </c>
      <c r="L50" s="13">
        <v>0</v>
      </c>
      <c r="M50" s="259"/>
    </row>
    <row r="51" spans="1:13" ht="14.25" customHeight="1" x14ac:dyDescent="0.2">
      <c r="A51" s="8"/>
      <c r="B51" s="302" t="s">
        <v>464</v>
      </c>
      <c r="C51" s="404">
        <v>0</v>
      </c>
      <c r="D51" s="13">
        <v>0</v>
      </c>
      <c r="E51" s="13">
        <v>0</v>
      </c>
      <c r="F51" s="393">
        <f t="shared" si="1"/>
        <v>0</v>
      </c>
      <c r="G51" s="13">
        <v>0</v>
      </c>
      <c r="H51" s="393">
        <f t="shared" si="1"/>
        <v>0</v>
      </c>
      <c r="I51" s="13">
        <v>0</v>
      </c>
      <c r="J51" s="393">
        <f t="shared" si="1"/>
        <v>0</v>
      </c>
      <c r="K51" s="13">
        <v>0</v>
      </c>
      <c r="L51" s="13">
        <v>0</v>
      </c>
      <c r="M51" s="259"/>
    </row>
    <row r="52" spans="1:13" ht="13.5" customHeight="1" x14ac:dyDescent="0.2">
      <c r="A52" s="8"/>
      <c r="B52" s="302" t="s">
        <v>689</v>
      </c>
      <c r="C52" s="404">
        <v>0</v>
      </c>
      <c r="D52" s="13">
        <v>0</v>
      </c>
      <c r="E52" s="13">
        <v>0</v>
      </c>
      <c r="F52" s="393">
        <f t="shared" si="1"/>
        <v>0</v>
      </c>
      <c r="G52" s="13">
        <v>0</v>
      </c>
      <c r="H52" s="393">
        <f t="shared" si="1"/>
        <v>0</v>
      </c>
      <c r="I52" s="13">
        <v>0</v>
      </c>
      <c r="J52" s="393">
        <f t="shared" si="1"/>
        <v>0</v>
      </c>
      <c r="K52" s="13">
        <v>0</v>
      </c>
      <c r="L52" s="13">
        <v>0</v>
      </c>
      <c r="M52" s="259"/>
    </row>
    <row r="53" spans="1:13" ht="12" customHeight="1" x14ac:dyDescent="0.2">
      <c r="A53" s="8"/>
      <c r="B53" s="302" t="s">
        <v>690</v>
      </c>
      <c r="C53" s="402">
        <f>C54</f>
        <v>0</v>
      </c>
      <c r="D53" s="5">
        <f>D54</f>
        <v>3783</v>
      </c>
      <c r="E53" s="5">
        <f>E54</f>
        <v>0</v>
      </c>
      <c r="F53" s="393">
        <f t="shared" si="1"/>
        <v>0</v>
      </c>
      <c r="G53" s="5">
        <f>G54</f>
        <v>0</v>
      </c>
      <c r="H53" s="393">
        <f t="shared" si="1"/>
        <v>0</v>
      </c>
      <c r="I53" s="5">
        <f>I54</f>
        <v>0</v>
      </c>
      <c r="J53" s="393">
        <f t="shared" si="1"/>
        <v>0</v>
      </c>
      <c r="K53" s="5">
        <f>K54</f>
        <v>0</v>
      </c>
      <c r="L53" s="5">
        <f>L54</f>
        <v>0</v>
      </c>
      <c r="M53" s="259"/>
    </row>
    <row r="54" spans="1:13" x14ac:dyDescent="0.2">
      <c r="A54" s="8"/>
      <c r="B54" s="302" t="s">
        <v>723</v>
      </c>
      <c r="C54" s="404">
        <v>0</v>
      </c>
      <c r="D54" s="13">
        <v>3783</v>
      </c>
      <c r="E54" s="13">
        <f>3783-3783</f>
        <v>0</v>
      </c>
      <c r="F54" s="393">
        <f t="shared" si="1"/>
        <v>0</v>
      </c>
      <c r="G54" s="13">
        <f>3783-3783</f>
        <v>0</v>
      </c>
      <c r="H54" s="393">
        <f t="shared" si="1"/>
        <v>0</v>
      </c>
      <c r="I54" s="13">
        <f>3783-3783</f>
        <v>0</v>
      </c>
      <c r="J54" s="393">
        <f t="shared" si="1"/>
        <v>0</v>
      </c>
      <c r="K54" s="13">
        <f>3783-3783</f>
        <v>0</v>
      </c>
      <c r="L54" s="13">
        <f>3783-3783</f>
        <v>0</v>
      </c>
      <c r="M54" s="259"/>
    </row>
    <row r="55" spans="1:13" x14ac:dyDescent="0.2">
      <c r="A55" s="8"/>
      <c r="B55" s="302" t="s">
        <v>771</v>
      </c>
      <c r="C55" s="402">
        <f>C56+C57</f>
        <v>2320</v>
      </c>
      <c r="D55" s="5">
        <f>D56+D57</f>
        <v>18305</v>
      </c>
      <c r="E55" s="5">
        <f>E56+E57</f>
        <v>0</v>
      </c>
      <c r="F55" s="393">
        <f t="shared" si="1"/>
        <v>2427</v>
      </c>
      <c r="G55" s="5">
        <f>G56+G57</f>
        <v>2427</v>
      </c>
      <c r="H55" s="393">
        <f t="shared" si="1"/>
        <v>0</v>
      </c>
      <c r="I55" s="5">
        <f>I56+I57</f>
        <v>2427</v>
      </c>
      <c r="J55" s="393">
        <f t="shared" si="1"/>
        <v>0</v>
      </c>
      <c r="K55" s="5">
        <f>K56+K57</f>
        <v>2427</v>
      </c>
      <c r="L55" s="5">
        <f>L56+L57</f>
        <v>2427</v>
      </c>
      <c r="M55" s="259">
        <f t="shared" ref="M55:M56" si="6">L55/K55*100</f>
        <v>100</v>
      </c>
    </row>
    <row r="56" spans="1:13" x14ac:dyDescent="0.2">
      <c r="A56" s="8"/>
      <c r="B56" s="302" t="s">
        <v>691</v>
      </c>
      <c r="C56" s="141">
        <v>2320</v>
      </c>
      <c r="D56" s="13">
        <v>0</v>
      </c>
      <c r="E56" s="13">
        <v>0</v>
      </c>
      <c r="F56" s="393">
        <f t="shared" si="1"/>
        <v>2427</v>
      </c>
      <c r="G56" s="13">
        <v>2427</v>
      </c>
      <c r="H56" s="393">
        <f t="shared" si="1"/>
        <v>0</v>
      </c>
      <c r="I56" s="13">
        <v>2427</v>
      </c>
      <c r="J56" s="393">
        <f t="shared" si="1"/>
        <v>0</v>
      </c>
      <c r="K56" s="13">
        <v>2427</v>
      </c>
      <c r="L56" s="13">
        <v>2427</v>
      </c>
      <c r="M56" s="259">
        <f t="shared" si="6"/>
        <v>100</v>
      </c>
    </row>
    <row r="57" spans="1:13" x14ac:dyDescent="0.2">
      <c r="A57" s="8"/>
      <c r="B57" s="302" t="s">
        <v>692</v>
      </c>
      <c r="C57" s="404">
        <v>0</v>
      </c>
      <c r="D57" s="13">
        <v>18305</v>
      </c>
      <c r="E57" s="13">
        <f>18305-18305</f>
        <v>0</v>
      </c>
      <c r="F57" s="393">
        <f t="shared" si="1"/>
        <v>0</v>
      </c>
      <c r="G57" s="13">
        <f>18305-18305</f>
        <v>0</v>
      </c>
      <c r="H57" s="393">
        <f t="shared" si="1"/>
        <v>0</v>
      </c>
      <c r="I57" s="13">
        <f>18305-18305</f>
        <v>0</v>
      </c>
      <c r="J57" s="393">
        <f t="shared" si="1"/>
        <v>0</v>
      </c>
      <c r="K57" s="13">
        <f>18305-18305</f>
        <v>0</v>
      </c>
      <c r="L57" s="13">
        <f>18305-18305</f>
        <v>0</v>
      </c>
      <c r="M57" s="259"/>
    </row>
    <row r="58" spans="1:13" x14ac:dyDescent="0.2">
      <c r="A58" s="8"/>
      <c r="B58" s="302" t="s">
        <v>693</v>
      </c>
      <c r="C58" s="402">
        <f>C59+C60</f>
        <v>0</v>
      </c>
      <c r="D58" s="5">
        <f>D59+D60</f>
        <v>30753</v>
      </c>
      <c r="E58" s="5">
        <f>E59+E60</f>
        <v>0</v>
      </c>
      <c r="F58" s="393">
        <f t="shared" si="1"/>
        <v>0</v>
      </c>
      <c r="G58" s="5">
        <f>G59+G60</f>
        <v>0</v>
      </c>
      <c r="H58" s="393">
        <f t="shared" si="1"/>
        <v>0</v>
      </c>
      <c r="I58" s="5">
        <f>I59+I60</f>
        <v>0</v>
      </c>
      <c r="J58" s="393">
        <f t="shared" si="1"/>
        <v>0</v>
      </c>
      <c r="K58" s="5">
        <f>K59+K60</f>
        <v>0</v>
      </c>
      <c r="L58" s="5">
        <f>L59+L60</f>
        <v>0</v>
      </c>
      <c r="M58" s="259"/>
    </row>
    <row r="59" spans="1:13" x14ac:dyDescent="0.2">
      <c r="A59" s="8"/>
      <c r="B59" s="8" t="s">
        <v>694</v>
      </c>
      <c r="C59" s="188">
        <v>0</v>
      </c>
      <c r="D59" s="13">
        <v>26763</v>
      </c>
      <c r="E59" s="13">
        <f>26763-26763</f>
        <v>0</v>
      </c>
      <c r="F59" s="393">
        <f t="shared" si="1"/>
        <v>0</v>
      </c>
      <c r="G59" s="13">
        <f>26763-26763</f>
        <v>0</v>
      </c>
      <c r="H59" s="393">
        <f t="shared" si="1"/>
        <v>0</v>
      </c>
      <c r="I59" s="13">
        <f>26763-26763</f>
        <v>0</v>
      </c>
      <c r="J59" s="393">
        <f t="shared" si="1"/>
        <v>0</v>
      </c>
      <c r="K59" s="13">
        <f>26763-26763</f>
        <v>0</v>
      </c>
      <c r="L59" s="13">
        <f>26763-26763</f>
        <v>0</v>
      </c>
      <c r="M59" s="259"/>
    </row>
    <row r="60" spans="1:13" x14ac:dyDescent="0.2">
      <c r="A60" s="8"/>
      <c r="B60" s="8" t="s">
        <v>695</v>
      </c>
      <c r="C60" s="188">
        <v>0</v>
      </c>
      <c r="D60" s="13">
        <v>3990</v>
      </c>
      <c r="E60" s="13">
        <f>3990-3990</f>
        <v>0</v>
      </c>
      <c r="F60" s="393">
        <f t="shared" si="1"/>
        <v>0</v>
      </c>
      <c r="G60" s="13">
        <f>3990-3990</f>
        <v>0</v>
      </c>
      <c r="H60" s="393">
        <f t="shared" si="1"/>
        <v>0</v>
      </c>
      <c r="I60" s="13">
        <f>3990-3990</f>
        <v>0</v>
      </c>
      <c r="J60" s="393">
        <f t="shared" si="1"/>
        <v>0</v>
      </c>
      <c r="K60" s="13">
        <f>3990-3990</f>
        <v>0</v>
      </c>
      <c r="L60" s="13">
        <f>3990-3990</f>
        <v>0</v>
      </c>
      <c r="M60" s="259"/>
    </row>
    <row r="61" spans="1:13" ht="13.5" customHeight="1" x14ac:dyDescent="0.25">
      <c r="A61" s="8" t="s">
        <v>168</v>
      </c>
      <c r="B61" s="422" t="s">
        <v>777</v>
      </c>
      <c r="C61" s="406">
        <v>642</v>
      </c>
      <c r="D61" s="5">
        <v>0</v>
      </c>
      <c r="E61" s="5">
        <v>0</v>
      </c>
      <c r="F61" s="393">
        <f t="shared" si="1"/>
        <v>0</v>
      </c>
      <c r="G61" s="5">
        <v>0</v>
      </c>
      <c r="H61" s="393">
        <f t="shared" si="1"/>
        <v>0</v>
      </c>
      <c r="I61" s="5">
        <v>0</v>
      </c>
      <c r="J61" s="393">
        <f t="shared" si="1"/>
        <v>0</v>
      </c>
      <c r="K61" s="5">
        <v>0</v>
      </c>
      <c r="L61" s="5">
        <v>0</v>
      </c>
      <c r="M61" s="259"/>
    </row>
    <row r="62" spans="1:13" ht="15" x14ac:dyDescent="0.25">
      <c r="A62" s="8" t="s">
        <v>124</v>
      </c>
      <c r="B62" s="422" t="s">
        <v>465</v>
      </c>
      <c r="C62" s="401">
        <f>SUM(C63:C73)</f>
        <v>53140</v>
      </c>
      <c r="D62" s="34">
        <f>SUM(D63:D73)</f>
        <v>52452</v>
      </c>
      <c r="E62" s="34">
        <f>SUM(E63:E73)</f>
        <v>52452</v>
      </c>
      <c r="F62" s="393">
        <f t="shared" si="1"/>
        <v>0</v>
      </c>
      <c r="G62" s="34">
        <f>SUM(G63:G73)</f>
        <v>52452</v>
      </c>
      <c r="H62" s="393">
        <f t="shared" si="1"/>
        <v>0</v>
      </c>
      <c r="I62" s="34">
        <f>SUM(I63:I73)</f>
        <v>52452</v>
      </c>
      <c r="J62" s="393">
        <f t="shared" si="1"/>
        <v>1</v>
      </c>
      <c r="K62" s="34">
        <f>SUM(K63:K73)</f>
        <v>52453</v>
      </c>
      <c r="L62" s="34">
        <f>SUM(L63:L73)</f>
        <v>52451</v>
      </c>
      <c r="M62" s="259">
        <f t="shared" ref="M62:M113" si="7">L62/K62*100</f>
        <v>99.996187062703754</v>
      </c>
    </row>
    <row r="63" spans="1:13" hidden="1" x14ac:dyDescent="0.2">
      <c r="A63" s="8" t="s">
        <v>79</v>
      </c>
      <c r="B63" s="8" t="s">
        <v>539</v>
      </c>
      <c r="C63" s="188"/>
      <c r="D63" s="72">
        <v>0</v>
      </c>
      <c r="E63" s="72">
        <v>0</v>
      </c>
      <c r="F63" s="393">
        <f t="shared" si="1"/>
        <v>0</v>
      </c>
      <c r="G63" s="72">
        <v>0</v>
      </c>
      <c r="H63" s="393">
        <f t="shared" si="1"/>
        <v>0</v>
      </c>
      <c r="I63" s="72">
        <v>0</v>
      </c>
      <c r="J63" s="393">
        <f t="shared" si="1"/>
        <v>0</v>
      </c>
      <c r="K63" s="72">
        <v>0</v>
      </c>
      <c r="L63" s="72">
        <v>0</v>
      </c>
      <c r="M63" s="259" t="e">
        <f t="shared" si="7"/>
        <v>#DIV/0!</v>
      </c>
    </row>
    <row r="64" spans="1:13" ht="15" x14ac:dyDescent="0.25">
      <c r="A64" s="8" t="s">
        <v>79</v>
      </c>
      <c r="B64" s="423" t="s">
        <v>737</v>
      </c>
      <c r="C64" s="415">
        <v>871</v>
      </c>
      <c r="D64" s="72">
        <f>138+784</f>
        <v>922</v>
      </c>
      <c r="E64" s="72">
        <f>138+784</f>
        <v>922</v>
      </c>
      <c r="F64" s="393">
        <f t="shared" si="1"/>
        <v>0</v>
      </c>
      <c r="G64" s="72">
        <f>138+784</f>
        <v>922</v>
      </c>
      <c r="H64" s="393">
        <f t="shared" si="1"/>
        <v>0</v>
      </c>
      <c r="I64" s="72">
        <f>138+784</f>
        <v>922</v>
      </c>
      <c r="J64" s="393">
        <f t="shared" si="1"/>
        <v>1</v>
      </c>
      <c r="K64" s="72">
        <f>138+784+1</f>
        <v>923</v>
      </c>
      <c r="L64" s="72">
        <v>921</v>
      </c>
      <c r="M64" s="259">
        <f t="shared" si="7"/>
        <v>99.783315276273015</v>
      </c>
    </row>
    <row r="65" spans="1:13" ht="15" x14ac:dyDescent="0.25">
      <c r="A65" s="8" t="s">
        <v>79</v>
      </c>
      <c r="B65" s="423" t="s">
        <v>585</v>
      </c>
      <c r="C65" s="415">
        <v>38000</v>
      </c>
      <c r="D65" s="72">
        <f>6000+6000+5000+27500</f>
        <v>44500</v>
      </c>
      <c r="E65" s="72">
        <f>6000+6000+5000+27500</f>
        <v>44500</v>
      </c>
      <c r="F65" s="393">
        <f t="shared" si="1"/>
        <v>0</v>
      </c>
      <c r="G65" s="72">
        <f>6000+6000+5000+27500</f>
        <v>44500</v>
      </c>
      <c r="H65" s="393">
        <f t="shared" si="1"/>
        <v>0</v>
      </c>
      <c r="I65" s="72">
        <f>6000+6000+5000+27500</f>
        <v>44500</v>
      </c>
      <c r="J65" s="393">
        <f t="shared" si="1"/>
        <v>0</v>
      </c>
      <c r="K65" s="72">
        <f>6000+6000+5000+27500</f>
        <v>44500</v>
      </c>
      <c r="L65" s="72">
        <f>6000+6000+5000+27500</f>
        <v>44500</v>
      </c>
      <c r="M65" s="259">
        <f t="shared" si="7"/>
        <v>100</v>
      </c>
    </row>
    <row r="66" spans="1:13" ht="15" x14ac:dyDescent="0.25">
      <c r="A66" s="8" t="s">
        <v>79</v>
      </c>
      <c r="B66" s="423" t="s">
        <v>473</v>
      </c>
      <c r="C66" s="415">
        <v>4000</v>
      </c>
      <c r="D66" s="72">
        <v>5000</v>
      </c>
      <c r="E66" s="72">
        <v>5000</v>
      </c>
      <c r="F66" s="393">
        <f t="shared" si="1"/>
        <v>0</v>
      </c>
      <c r="G66" s="72">
        <v>5000</v>
      </c>
      <c r="H66" s="393">
        <f t="shared" si="1"/>
        <v>0</v>
      </c>
      <c r="I66" s="72">
        <v>5000</v>
      </c>
      <c r="J66" s="393">
        <f t="shared" si="1"/>
        <v>0</v>
      </c>
      <c r="K66" s="72">
        <v>5000</v>
      </c>
      <c r="L66" s="72">
        <v>5000</v>
      </c>
      <c r="M66" s="259">
        <f t="shared" si="7"/>
        <v>100</v>
      </c>
    </row>
    <row r="67" spans="1:13" hidden="1" x14ac:dyDescent="0.2">
      <c r="A67" s="8" t="s">
        <v>79</v>
      </c>
      <c r="B67" s="8" t="s">
        <v>616</v>
      </c>
      <c r="C67" s="188"/>
      <c r="D67" s="72">
        <v>0</v>
      </c>
      <c r="E67" s="72">
        <v>0</v>
      </c>
      <c r="F67" s="393">
        <f t="shared" si="1"/>
        <v>0</v>
      </c>
      <c r="G67" s="72">
        <v>0</v>
      </c>
      <c r="H67" s="393">
        <f t="shared" si="1"/>
        <v>0</v>
      </c>
      <c r="I67" s="72">
        <v>0</v>
      </c>
      <c r="J67" s="393">
        <f t="shared" si="1"/>
        <v>0</v>
      </c>
      <c r="K67" s="72">
        <v>0</v>
      </c>
      <c r="L67" s="72">
        <v>0</v>
      </c>
      <c r="M67" s="259" t="e">
        <f t="shared" si="7"/>
        <v>#DIV/0!</v>
      </c>
    </row>
    <row r="68" spans="1:13" ht="15" x14ac:dyDescent="0.25">
      <c r="A68" s="8" t="s">
        <v>79</v>
      </c>
      <c r="B68" s="423" t="s">
        <v>664</v>
      </c>
      <c r="C68" s="415">
        <f>8715+1554</f>
        <v>10269</v>
      </c>
      <c r="D68" s="72">
        <v>2030</v>
      </c>
      <c r="E68" s="72">
        <v>2030</v>
      </c>
      <c r="F68" s="393">
        <f t="shared" si="1"/>
        <v>0</v>
      </c>
      <c r="G68" s="72">
        <v>2030</v>
      </c>
      <c r="H68" s="393">
        <f t="shared" si="1"/>
        <v>0</v>
      </c>
      <c r="I68" s="72">
        <v>2030</v>
      </c>
      <c r="J68" s="393">
        <f t="shared" si="1"/>
        <v>0</v>
      </c>
      <c r="K68" s="72">
        <v>2030</v>
      </c>
      <c r="L68" s="72">
        <v>2030</v>
      </c>
      <c r="M68" s="259">
        <f t="shared" si="7"/>
        <v>100</v>
      </c>
    </row>
    <row r="69" spans="1:13" hidden="1" x14ac:dyDescent="0.2">
      <c r="A69" s="8" t="s">
        <v>79</v>
      </c>
      <c r="B69" s="8"/>
      <c r="C69" s="188"/>
      <c r="D69" s="72"/>
      <c r="E69" s="72"/>
      <c r="F69" s="393">
        <f t="shared" si="1"/>
        <v>0</v>
      </c>
      <c r="G69" s="72"/>
      <c r="H69" s="393">
        <f t="shared" si="1"/>
        <v>0</v>
      </c>
      <c r="I69" s="72"/>
      <c r="J69" s="393">
        <f t="shared" si="1"/>
        <v>0</v>
      </c>
      <c r="K69" s="72"/>
      <c r="L69" s="72"/>
      <c r="M69" s="259" t="e">
        <f t="shared" si="7"/>
        <v>#DIV/0!</v>
      </c>
    </row>
    <row r="70" spans="1:13" hidden="1" x14ac:dyDescent="0.2">
      <c r="A70" s="8" t="s">
        <v>79</v>
      </c>
      <c r="B70" s="8" t="s">
        <v>584</v>
      </c>
      <c r="C70" s="188"/>
      <c r="D70" s="72"/>
      <c r="E70" s="72"/>
      <c r="F70" s="393">
        <f t="shared" si="1"/>
        <v>0</v>
      </c>
      <c r="G70" s="72"/>
      <c r="H70" s="393">
        <f t="shared" si="1"/>
        <v>0</v>
      </c>
      <c r="I70" s="72"/>
      <c r="J70" s="393">
        <f t="shared" si="1"/>
        <v>0</v>
      </c>
      <c r="K70" s="72"/>
      <c r="L70" s="72"/>
      <c r="M70" s="259" t="e">
        <f t="shared" si="7"/>
        <v>#DIV/0!</v>
      </c>
    </row>
    <row r="71" spans="1:13" hidden="1" x14ac:dyDescent="0.2">
      <c r="A71" s="8" t="s">
        <v>79</v>
      </c>
      <c r="B71" s="8" t="s">
        <v>505</v>
      </c>
      <c r="C71" s="188"/>
      <c r="D71" s="72"/>
      <c r="E71" s="72"/>
      <c r="F71" s="393">
        <f t="shared" si="1"/>
        <v>0</v>
      </c>
      <c r="G71" s="72"/>
      <c r="H71" s="393">
        <f t="shared" si="1"/>
        <v>0</v>
      </c>
      <c r="I71" s="72"/>
      <c r="J71" s="393">
        <f t="shared" si="1"/>
        <v>0</v>
      </c>
      <c r="K71" s="72"/>
      <c r="L71" s="72"/>
      <c r="M71" s="259" t="e">
        <f t="shared" si="7"/>
        <v>#DIV/0!</v>
      </c>
    </row>
    <row r="72" spans="1:13" hidden="1" x14ac:dyDescent="0.2">
      <c r="A72" s="8" t="s">
        <v>79</v>
      </c>
      <c r="B72" s="8" t="s">
        <v>499</v>
      </c>
      <c r="C72" s="188"/>
      <c r="D72" s="35"/>
      <c r="E72" s="35"/>
      <c r="F72" s="393">
        <f t="shared" si="1"/>
        <v>0</v>
      </c>
      <c r="G72" s="35"/>
      <c r="H72" s="393">
        <f t="shared" si="1"/>
        <v>0</v>
      </c>
      <c r="I72" s="35"/>
      <c r="J72" s="393">
        <f t="shared" si="1"/>
        <v>0</v>
      </c>
      <c r="K72" s="35"/>
      <c r="L72" s="35"/>
      <c r="M72" s="259" t="e">
        <f t="shared" si="7"/>
        <v>#DIV/0!</v>
      </c>
    </row>
    <row r="73" spans="1:13" hidden="1" x14ac:dyDescent="0.2">
      <c r="A73" s="8" t="s">
        <v>79</v>
      </c>
      <c r="B73" s="8" t="s">
        <v>540</v>
      </c>
      <c r="C73" s="188"/>
      <c r="D73" s="35"/>
      <c r="E73" s="35"/>
      <c r="F73" s="393">
        <f t="shared" ref="F73:J107" si="8">G73-E73</f>
        <v>0</v>
      </c>
      <c r="G73" s="35"/>
      <c r="H73" s="393">
        <f t="shared" si="8"/>
        <v>0</v>
      </c>
      <c r="I73" s="35"/>
      <c r="J73" s="393">
        <f t="shared" si="8"/>
        <v>0</v>
      </c>
      <c r="K73" s="35"/>
      <c r="L73" s="35"/>
      <c r="M73" s="259" t="e">
        <f t="shared" si="7"/>
        <v>#DIV/0!</v>
      </c>
    </row>
    <row r="74" spans="1:13" ht="18" customHeight="1" x14ac:dyDescent="0.25">
      <c r="A74" s="14" t="s">
        <v>94</v>
      </c>
      <c r="B74" s="18" t="s">
        <v>180</v>
      </c>
      <c r="C74" s="401">
        <f>SUM(C78+C82+C86)</f>
        <v>544850</v>
      </c>
      <c r="D74" s="125">
        <f>SUM(D78+D82+D86)</f>
        <v>778620</v>
      </c>
      <c r="E74" s="125">
        <f>SUM(E78+E82+E86)</f>
        <v>778620</v>
      </c>
      <c r="F74" s="393">
        <f t="shared" si="8"/>
        <v>250</v>
      </c>
      <c r="G74" s="125">
        <f>SUM(G78+G82+G86)</f>
        <v>778870</v>
      </c>
      <c r="H74" s="393">
        <f t="shared" si="8"/>
        <v>20300</v>
      </c>
      <c r="I74" s="125">
        <f>SUM(I78+I82+I86)</f>
        <v>799170</v>
      </c>
      <c r="J74" s="393">
        <f t="shared" si="8"/>
        <v>0</v>
      </c>
      <c r="K74" s="125">
        <f>SUM(K78+K82+K86)</f>
        <v>799170</v>
      </c>
      <c r="L74" s="125">
        <f>SUM(L78+L82+L86)</f>
        <v>738279</v>
      </c>
      <c r="M74" s="259">
        <f t="shared" si="7"/>
        <v>92.380719996996888</v>
      </c>
    </row>
    <row r="75" spans="1:13" ht="13.5" hidden="1" customHeight="1" x14ac:dyDescent="0.2">
      <c r="A75" s="8" t="s">
        <v>95</v>
      </c>
      <c r="B75" s="8" t="s">
        <v>101</v>
      </c>
      <c r="C75" s="159"/>
      <c r="D75" s="11"/>
      <c r="E75" s="11"/>
      <c r="F75" s="393">
        <f t="shared" si="8"/>
        <v>0</v>
      </c>
      <c r="G75" s="11"/>
      <c r="H75" s="393">
        <f t="shared" si="8"/>
        <v>0</v>
      </c>
      <c r="I75" s="11"/>
      <c r="J75" s="393">
        <f t="shared" si="8"/>
        <v>0</v>
      </c>
      <c r="K75" s="11"/>
      <c r="L75" s="11"/>
      <c r="M75" s="259" t="e">
        <f t="shared" si="7"/>
        <v>#DIV/0!</v>
      </c>
    </row>
    <row r="76" spans="1:13" ht="13.5" hidden="1" customHeight="1" x14ac:dyDescent="0.2">
      <c r="A76" s="8" t="s">
        <v>96</v>
      </c>
      <c r="B76" s="8" t="s">
        <v>102</v>
      </c>
      <c r="C76" s="159"/>
      <c r="D76" s="11"/>
      <c r="E76" s="11"/>
      <c r="F76" s="393">
        <f t="shared" si="8"/>
        <v>0</v>
      </c>
      <c r="G76" s="11"/>
      <c r="H76" s="393">
        <f t="shared" si="8"/>
        <v>0</v>
      </c>
      <c r="I76" s="11"/>
      <c r="J76" s="393">
        <f t="shared" si="8"/>
        <v>0</v>
      </c>
      <c r="K76" s="11"/>
      <c r="L76" s="11"/>
      <c r="M76" s="259" t="e">
        <f t="shared" si="7"/>
        <v>#DIV/0!</v>
      </c>
    </row>
    <row r="77" spans="1:13" ht="13.5" hidden="1" customHeight="1" x14ac:dyDescent="0.2">
      <c r="A77" s="8" t="s">
        <v>97</v>
      </c>
      <c r="B77" s="19" t="s">
        <v>103</v>
      </c>
      <c r="C77" s="159"/>
      <c r="D77" s="11"/>
      <c r="E77" s="11"/>
      <c r="F77" s="393">
        <f t="shared" si="8"/>
        <v>0</v>
      </c>
      <c r="G77" s="11"/>
      <c r="H77" s="393">
        <f t="shared" si="8"/>
        <v>0</v>
      </c>
      <c r="I77" s="11"/>
      <c r="J77" s="393">
        <f t="shared" si="8"/>
        <v>0</v>
      </c>
      <c r="K77" s="11"/>
      <c r="L77" s="11"/>
      <c r="M77" s="259" t="e">
        <f t="shared" si="7"/>
        <v>#DIV/0!</v>
      </c>
    </row>
    <row r="78" spans="1:13" ht="13.5" customHeight="1" x14ac:dyDescent="0.25">
      <c r="A78" s="8" t="s">
        <v>98</v>
      </c>
      <c r="B78" s="423" t="s">
        <v>778</v>
      </c>
      <c r="C78" s="407">
        <f>SUM(C79:C81)</f>
        <v>345182</v>
      </c>
      <c r="D78" s="124">
        <f>SUM(D79:D81)</f>
        <v>584000</v>
      </c>
      <c r="E78" s="124">
        <f>SUM(E79:E81)</f>
        <v>584000</v>
      </c>
      <c r="F78" s="393">
        <f t="shared" si="8"/>
        <v>0</v>
      </c>
      <c r="G78" s="124">
        <f>SUM(G79:G81)</f>
        <v>584000</v>
      </c>
      <c r="H78" s="393">
        <f t="shared" si="8"/>
        <v>0</v>
      </c>
      <c r="I78" s="124">
        <f>SUM(I79:I81)</f>
        <v>584000</v>
      </c>
      <c r="J78" s="393">
        <f t="shared" si="8"/>
        <v>0</v>
      </c>
      <c r="K78" s="124">
        <f>SUM(K79:K81)</f>
        <v>584000</v>
      </c>
      <c r="L78" s="124">
        <f>SUM(L79:L81)</f>
        <v>545755</v>
      </c>
      <c r="M78" s="259">
        <f t="shared" si="7"/>
        <v>93.451198630136986</v>
      </c>
    </row>
    <row r="79" spans="1:13" ht="13.5" customHeight="1" x14ac:dyDescent="0.2">
      <c r="A79" s="8"/>
      <c r="B79" s="8" t="s">
        <v>357</v>
      </c>
      <c r="C79" s="416">
        <v>325047</v>
      </c>
      <c r="D79" s="35">
        <f>15000+450000</f>
        <v>465000</v>
      </c>
      <c r="E79" s="35">
        <f>15000+450000</f>
        <v>465000</v>
      </c>
      <c r="F79" s="393">
        <f t="shared" si="8"/>
        <v>0</v>
      </c>
      <c r="G79" s="35">
        <f>15000+450000</f>
        <v>465000</v>
      </c>
      <c r="H79" s="393">
        <f t="shared" si="8"/>
        <v>0</v>
      </c>
      <c r="I79" s="35">
        <f>15000+450000</f>
        <v>465000</v>
      </c>
      <c r="J79" s="393">
        <f t="shared" si="8"/>
        <v>0</v>
      </c>
      <c r="K79" s="35">
        <f>15000+450000</f>
        <v>465000</v>
      </c>
      <c r="L79" s="35">
        <v>446493</v>
      </c>
      <c r="M79" s="259">
        <f t="shared" si="7"/>
        <v>96.02000000000001</v>
      </c>
    </row>
    <row r="80" spans="1:13" ht="13.5" customHeight="1" x14ac:dyDescent="0.2">
      <c r="A80" s="8"/>
      <c r="B80" s="8" t="s">
        <v>386</v>
      </c>
      <c r="C80" s="416">
        <v>8780</v>
      </c>
      <c r="D80" s="35">
        <v>9000</v>
      </c>
      <c r="E80" s="35">
        <v>9000</v>
      </c>
      <c r="F80" s="393">
        <f t="shared" si="8"/>
        <v>0</v>
      </c>
      <c r="G80" s="35">
        <v>9000</v>
      </c>
      <c r="H80" s="393">
        <f t="shared" si="8"/>
        <v>0</v>
      </c>
      <c r="I80" s="35">
        <v>9000</v>
      </c>
      <c r="J80" s="393">
        <f t="shared" si="8"/>
        <v>0</v>
      </c>
      <c r="K80" s="35">
        <v>9000</v>
      </c>
      <c r="L80" s="35">
        <v>8569</v>
      </c>
      <c r="M80" s="259">
        <f t="shared" si="7"/>
        <v>95.211111111111109</v>
      </c>
    </row>
    <row r="81" spans="1:13" ht="13.5" customHeight="1" x14ac:dyDescent="0.2">
      <c r="A81" s="8"/>
      <c r="B81" s="8" t="s">
        <v>387</v>
      </c>
      <c r="C81" s="416">
        <v>11355</v>
      </c>
      <c r="D81" s="35">
        <v>110000</v>
      </c>
      <c r="E81" s="35">
        <v>110000</v>
      </c>
      <c r="F81" s="393">
        <f t="shared" si="8"/>
        <v>0</v>
      </c>
      <c r="G81" s="35">
        <v>110000</v>
      </c>
      <c r="H81" s="393">
        <f t="shared" si="8"/>
        <v>0</v>
      </c>
      <c r="I81" s="35">
        <v>110000</v>
      </c>
      <c r="J81" s="393">
        <f t="shared" si="8"/>
        <v>0</v>
      </c>
      <c r="K81" s="35">
        <v>110000</v>
      </c>
      <c r="L81" s="35">
        <v>90693</v>
      </c>
      <c r="M81" s="259">
        <f t="shared" si="7"/>
        <v>82.448181818181823</v>
      </c>
    </row>
    <row r="82" spans="1:13" s="45" customFormat="1" ht="13.5" customHeight="1" x14ac:dyDescent="0.25">
      <c r="A82" s="8" t="s">
        <v>99</v>
      </c>
      <c r="B82" s="423" t="s">
        <v>181</v>
      </c>
      <c r="C82" s="6">
        <f>SUM(C83:C85)</f>
        <v>190212</v>
      </c>
      <c r="D82" s="6">
        <f>SUM(D83:D85)</f>
        <v>185000</v>
      </c>
      <c r="E82" s="6">
        <f>SUM(E83:E85)</f>
        <v>185000</v>
      </c>
      <c r="F82" s="393">
        <f t="shared" si="8"/>
        <v>0</v>
      </c>
      <c r="G82" s="6">
        <f>SUM(G83:G85)</f>
        <v>185000</v>
      </c>
      <c r="H82" s="393">
        <f t="shared" si="8"/>
        <v>17000</v>
      </c>
      <c r="I82" s="6">
        <f>SUM(I83:I85)</f>
        <v>202000</v>
      </c>
      <c r="J82" s="393">
        <f t="shared" si="8"/>
        <v>0</v>
      </c>
      <c r="K82" s="6">
        <f>SUM(K83:K85)</f>
        <v>202000</v>
      </c>
      <c r="L82" s="6">
        <f>SUM(L83:L85)</f>
        <v>180399</v>
      </c>
      <c r="M82" s="259">
        <f t="shared" si="7"/>
        <v>89.306435643564356</v>
      </c>
    </row>
    <row r="83" spans="1:13" s="45" customFormat="1" ht="13.5" customHeight="1" x14ac:dyDescent="0.2">
      <c r="A83" s="8"/>
      <c r="B83" s="8" t="s">
        <v>182</v>
      </c>
      <c r="C83" s="159">
        <v>143841</v>
      </c>
      <c r="D83" s="11">
        <v>140000</v>
      </c>
      <c r="E83" s="11">
        <v>140000</v>
      </c>
      <c r="F83" s="393">
        <f t="shared" si="8"/>
        <v>0</v>
      </c>
      <c r="G83" s="11">
        <v>140000</v>
      </c>
      <c r="H83" s="393">
        <f t="shared" si="8"/>
        <v>15000</v>
      </c>
      <c r="I83" s="11">
        <f>140000+15000</f>
        <v>155000</v>
      </c>
      <c r="J83" s="393">
        <f t="shared" si="8"/>
        <v>0</v>
      </c>
      <c r="K83" s="11">
        <f>140000+15000</f>
        <v>155000</v>
      </c>
      <c r="L83" s="11">
        <v>136619</v>
      </c>
      <c r="M83" s="259">
        <f t="shared" si="7"/>
        <v>88.141290322580645</v>
      </c>
    </row>
    <row r="84" spans="1:13" s="45" customFormat="1" ht="13.5" hidden="1" customHeight="1" x14ac:dyDescent="0.2">
      <c r="A84" s="8"/>
      <c r="B84" s="118" t="s">
        <v>358</v>
      </c>
      <c r="C84" s="159"/>
      <c r="D84" s="11"/>
      <c r="E84" s="11"/>
      <c r="F84" s="393">
        <f t="shared" si="8"/>
        <v>0</v>
      </c>
      <c r="G84" s="11"/>
      <c r="H84" s="393">
        <f t="shared" si="8"/>
        <v>0</v>
      </c>
      <c r="I84" s="11"/>
      <c r="J84" s="393">
        <f t="shared" si="8"/>
        <v>0</v>
      </c>
      <c r="K84" s="11"/>
      <c r="L84" s="11"/>
      <c r="M84" s="259" t="e">
        <f t="shared" si="7"/>
        <v>#DIV/0!</v>
      </c>
    </row>
    <row r="85" spans="1:13" s="45" customFormat="1" ht="13.5" customHeight="1" x14ac:dyDescent="0.2">
      <c r="A85" s="8"/>
      <c r="B85" s="8" t="s">
        <v>481</v>
      </c>
      <c r="C85" s="159">
        <v>46371</v>
      </c>
      <c r="D85" s="11">
        <v>45000</v>
      </c>
      <c r="E85" s="11">
        <v>45000</v>
      </c>
      <c r="F85" s="393">
        <f t="shared" si="8"/>
        <v>0</v>
      </c>
      <c r="G85" s="11">
        <v>45000</v>
      </c>
      <c r="H85" s="393">
        <f t="shared" si="8"/>
        <v>2000</v>
      </c>
      <c r="I85" s="11">
        <f>45000+2000</f>
        <v>47000</v>
      </c>
      <c r="J85" s="393">
        <f t="shared" si="8"/>
        <v>0</v>
      </c>
      <c r="K85" s="11">
        <f>45000+2000</f>
        <v>47000</v>
      </c>
      <c r="L85" s="11">
        <v>43780</v>
      </c>
      <c r="M85" s="259">
        <f t="shared" si="7"/>
        <v>93.148936170212764</v>
      </c>
    </row>
    <row r="86" spans="1:13" s="45" customFormat="1" ht="13.5" customHeight="1" x14ac:dyDescent="0.25">
      <c r="A86" s="14" t="s">
        <v>100</v>
      </c>
      <c r="B86" s="424" t="s">
        <v>772</v>
      </c>
      <c r="C86" s="401">
        <v>9456</v>
      </c>
      <c r="D86" s="348">
        <f>(3000+(5500))+1120</f>
        <v>9620</v>
      </c>
      <c r="E86" s="348">
        <f>(3000+(5500))+1120</f>
        <v>9620</v>
      </c>
      <c r="F86" s="393">
        <f t="shared" si="8"/>
        <v>250</v>
      </c>
      <c r="G86" s="348">
        <f>(3000+(5500))+1120+250</f>
        <v>9870</v>
      </c>
      <c r="H86" s="393">
        <f t="shared" si="8"/>
        <v>3300</v>
      </c>
      <c r="I86" s="348">
        <f>(3000+500+1200+2100+(5500-500))+1120+250</f>
        <v>13170</v>
      </c>
      <c r="J86" s="393">
        <f t="shared" si="8"/>
        <v>0</v>
      </c>
      <c r="K86" s="348">
        <f>(3000+500+1200+2100+(5500-500))+1120+250</f>
        <v>13170</v>
      </c>
      <c r="L86" s="348">
        <f>10845+1280</f>
        <v>12125</v>
      </c>
      <c r="M86" s="259">
        <f t="shared" si="7"/>
        <v>92.065299924069848</v>
      </c>
    </row>
    <row r="87" spans="1:13" s="45" customFormat="1" ht="18" customHeight="1" x14ac:dyDescent="0.25">
      <c r="A87" s="14" t="s">
        <v>105</v>
      </c>
      <c r="B87" s="18" t="s">
        <v>183</v>
      </c>
      <c r="C87" s="39">
        <f>SUM(C88:C98)</f>
        <v>42353</v>
      </c>
      <c r="D87" s="39">
        <f>SUM(D88:D98)</f>
        <v>239275</v>
      </c>
      <c r="E87" s="39">
        <f>SUM(E88:E98)</f>
        <v>239275</v>
      </c>
      <c r="F87" s="393">
        <f t="shared" si="8"/>
        <v>5500</v>
      </c>
      <c r="G87" s="39">
        <f>SUM(G88:G98)</f>
        <v>244775</v>
      </c>
      <c r="H87" s="393">
        <f t="shared" si="8"/>
        <v>-176294</v>
      </c>
      <c r="I87" s="39">
        <f>SUM(I88:I98)</f>
        <v>68481</v>
      </c>
      <c r="J87" s="393">
        <f t="shared" si="8"/>
        <v>-808</v>
      </c>
      <c r="K87" s="39">
        <f>SUM(K88:K98)</f>
        <v>67673</v>
      </c>
      <c r="L87" s="39">
        <f>SUM(L88:L98)</f>
        <v>52464</v>
      </c>
      <c r="M87" s="259">
        <f t="shared" si="7"/>
        <v>77.525748821538869</v>
      </c>
    </row>
    <row r="88" spans="1:13" ht="15" x14ac:dyDescent="0.25">
      <c r="A88" s="8" t="s">
        <v>108</v>
      </c>
      <c r="B88" s="423" t="s">
        <v>184</v>
      </c>
      <c r="C88" s="141">
        <v>0</v>
      </c>
      <c r="D88" s="349">
        <v>100</v>
      </c>
      <c r="E88" s="349">
        <v>100</v>
      </c>
      <c r="F88" s="393">
        <f t="shared" si="8"/>
        <v>0</v>
      </c>
      <c r="G88" s="349">
        <v>100</v>
      </c>
      <c r="H88" s="393">
        <f t="shared" si="8"/>
        <v>0</v>
      </c>
      <c r="I88" s="349">
        <v>100</v>
      </c>
      <c r="J88" s="393">
        <f t="shared" si="8"/>
        <v>0</v>
      </c>
      <c r="K88" s="349">
        <v>100</v>
      </c>
      <c r="L88" s="349">
        <v>0</v>
      </c>
      <c r="M88" s="259">
        <f t="shared" si="7"/>
        <v>0</v>
      </c>
    </row>
    <row r="89" spans="1:13" s="45" customFormat="1" ht="15" x14ac:dyDescent="0.25">
      <c r="A89" s="8" t="s">
        <v>109</v>
      </c>
      <c r="B89" s="423" t="s">
        <v>185</v>
      </c>
      <c r="C89" s="141">
        <v>170</v>
      </c>
      <c r="D89" s="349">
        <v>305</v>
      </c>
      <c r="E89" s="349">
        <v>305</v>
      </c>
      <c r="F89" s="393">
        <f t="shared" si="8"/>
        <v>0</v>
      </c>
      <c r="G89" s="349">
        <v>305</v>
      </c>
      <c r="H89" s="393">
        <f t="shared" si="8"/>
        <v>35</v>
      </c>
      <c r="I89" s="349">
        <f>305+35</f>
        <v>340</v>
      </c>
      <c r="J89" s="393">
        <f t="shared" si="8"/>
        <v>40</v>
      </c>
      <c r="K89" s="349">
        <f>305+35+40</f>
        <v>380</v>
      </c>
      <c r="L89" s="349">
        <v>380</v>
      </c>
      <c r="M89" s="259">
        <f t="shared" si="7"/>
        <v>100</v>
      </c>
    </row>
    <row r="90" spans="1:13" s="45" customFormat="1" ht="12.75" customHeight="1" x14ac:dyDescent="0.25">
      <c r="A90" s="8" t="s">
        <v>110</v>
      </c>
      <c r="B90" s="423" t="s">
        <v>186</v>
      </c>
      <c r="C90" s="141">
        <v>5559</v>
      </c>
      <c r="D90" s="349">
        <f>7500</f>
        <v>7500</v>
      </c>
      <c r="E90" s="349">
        <f>7500</f>
        <v>7500</v>
      </c>
      <c r="F90" s="393">
        <f t="shared" si="8"/>
        <v>0</v>
      </c>
      <c r="G90" s="349">
        <f>7500</f>
        <v>7500</v>
      </c>
      <c r="H90" s="393">
        <f t="shared" si="8"/>
        <v>2605</v>
      </c>
      <c r="I90" s="349">
        <f>7500+505+2100</f>
        <v>10105</v>
      </c>
      <c r="J90" s="393">
        <f t="shared" si="8"/>
        <v>0</v>
      </c>
      <c r="K90" s="349">
        <f>7500+505+2100</f>
        <v>10105</v>
      </c>
      <c r="L90" s="349">
        <v>9848</v>
      </c>
      <c r="M90" s="259">
        <f t="shared" si="7"/>
        <v>97.456704601682333</v>
      </c>
    </row>
    <row r="91" spans="1:13" ht="13.5" customHeight="1" x14ac:dyDescent="0.25">
      <c r="A91" s="8" t="s">
        <v>111</v>
      </c>
      <c r="B91" s="425" t="s">
        <v>187</v>
      </c>
      <c r="C91" s="141">
        <v>8648</v>
      </c>
      <c r="D91" s="349">
        <f>500+4440+(907+275+3383)</f>
        <v>9505</v>
      </c>
      <c r="E91" s="349">
        <f>500+4440+(907+275+3383)</f>
        <v>9505</v>
      </c>
      <c r="F91" s="393">
        <f t="shared" si="8"/>
        <v>0</v>
      </c>
      <c r="G91" s="349">
        <f>500+4440+(907+275+3383)</f>
        <v>9505</v>
      </c>
      <c r="H91" s="393">
        <f t="shared" si="8"/>
        <v>-500</v>
      </c>
      <c r="I91" s="349">
        <f>500+4440+(907+275+3383)-500</f>
        <v>9005</v>
      </c>
      <c r="J91" s="393">
        <f t="shared" si="8"/>
        <v>0</v>
      </c>
      <c r="K91" s="349">
        <f>500+4440+(907+275+3383)-500</f>
        <v>9005</v>
      </c>
      <c r="L91" s="349">
        <v>8095</v>
      </c>
      <c r="M91" s="259">
        <f t="shared" si="7"/>
        <v>89.894503053858969</v>
      </c>
    </row>
    <row r="92" spans="1:13" ht="13.5" customHeight="1" x14ac:dyDescent="0.25">
      <c r="A92" s="8" t="s">
        <v>112</v>
      </c>
      <c r="B92" s="425" t="s">
        <v>188</v>
      </c>
      <c r="C92" s="141">
        <v>16486</v>
      </c>
      <c r="D92" s="349">
        <v>16573</v>
      </c>
      <c r="E92" s="349">
        <v>16573</v>
      </c>
      <c r="F92" s="393">
        <f t="shared" si="8"/>
        <v>0</v>
      </c>
      <c r="G92" s="349">
        <v>16573</v>
      </c>
      <c r="H92" s="393">
        <f t="shared" si="8"/>
        <v>0</v>
      </c>
      <c r="I92" s="349">
        <v>16573</v>
      </c>
      <c r="J92" s="393">
        <f t="shared" si="8"/>
        <v>0</v>
      </c>
      <c r="K92" s="349">
        <v>16573</v>
      </c>
      <c r="L92" s="349">
        <v>16244</v>
      </c>
      <c r="M92" s="259">
        <f t="shared" si="7"/>
        <v>98.014843420020512</v>
      </c>
    </row>
    <row r="93" spans="1:13" ht="15" x14ac:dyDescent="0.25">
      <c r="A93" s="8" t="s">
        <v>116</v>
      </c>
      <c r="B93" s="425" t="s">
        <v>189</v>
      </c>
      <c r="C93" s="141">
        <v>7312</v>
      </c>
      <c r="D93" s="13">
        <f>4475+1620+319+1200</f>
        <v>7614</v>
      </c>
      <c r="E93" s="13">
        <f>4475+1620+319+1200</f>
        <v>7614</v>
      </c>
      <c r="F93" s="393">
        <f t="shared" si="8"/>
        <v>70</v>
      </c>
      <c r="G93" s="13">
        <f>4475+1620+319+1200+70</f>
        <v>7684</v>
      </c>
      <c r="H93" s="393">
        <f t="shared" si="8"/>
        <v>916</v>
      </c>
      <c r="I93" s="13">
        <f>4475+1620+319+1200+70+500+416</f>
        <v>8600</v>
      </c>
      <c r="J93" s="393">
        <f t="shared" si="8"/>
        <v>0</v>
      </c>
      <c r="K93" s="13">
        <f>4475+1620+319+1200+70+500+416</f>
        <v>8600</v>
      </c>
      <c r="L93" s="13">
        <v>8476</v>
      </c>
      <c r="M93" s="259">
        <f t="shared" si="7"/>
        <v>98.558139534883722</v>
      </c>
    </row>
    <row r="94" spans="1:13" ht="15" x14ac:dyDescent="0.25">
      <c r="A94" s="8" t="s">
        <v>118</v>
      </c>
      <c r="B94" s="425" t="s">
        <v>190</v>
      </c>
      <c r="C94" s="141">
        <v>0</v>
      </c>
      <c r="D94" s="13">
        <f>5000+166000+17000+7005</f>
        <v>195005</v>
      </c>
      <c r="E94" s="13">
        <f>5000+166000+17000+7005</f>
        <v>195005</v>
      </c>
      <c r="F94" s="393">
        <f t="shared" si="8"/>
        <v>0</v>
      </c>
      <c r="G94" s="13">
        <f>5000+166000+17000+7005</f>
        <v>195005</v>
      </c>
      <c r="H94" s="393">
        <f t="shared" si="8"/>
        <v>-181000</v>
      </c>
      <c r="I94" s="13">
        <f>5000+166000+17000+7005-181000</f>
        <v>14005</v>
      </c>
      <c r="J94" s="393">
        <f t="shared" si="8"/>
        <v>-848</v>
      </c>
      <c r="K94" s="13">
        <f>5000+166000+17000+7005-181000-808-40</f>
        <v>13157</v>
      </c>
      <c r="L94" s="13">
        <v>0</v>
      </c>
      <c r="M94" s="259">
        <f t="shared" si="7"/>
        <v>0</v>
      </c>
    </row>
    <row r="95" spans="1:13" ht="15" x14ac:dyDescent="0.25">
      <c r="A95" s="171" t="s">
        <v>120</v>
      </c>
      <c r="B95" s="426" t="s">
        <v>567</v>
      </c>
      <c r="C95" s="417">
        <v>1</v>
      </c>
      <c r="D95" s="349">
        <f>3+(1)</f>
        <v>4</v>
      </c>
      <c r="E95" s="349">
        <f>3+(1)</f>
        <v>4</v>
      </c>
      <c r="F95" s="393">
        <f t="shared" si="8"/>
        <v>0</v>
      </c>
      <c r="G95" s="349">
        <f>3+(1)</f>
        <v>4</v>
      </c>
      <c r="H95" s="393">
        <f t="shared" si="8"/>
        <v>0</v>
      </c>
      <c r="I95" s="349">
        <f>3+(1)</f>
        <v>4</v>
      </c>
      <c r="J95" s="393">
        <f t="shared" si="8"/>
        <v>0</v>
      </c>
      <c r="K95" s="349">
        <f>3+(1)</f>
        <v>4</v>
      </c>
      <c r="L95" s="349">
        <v>0</v>
      </c>
      <c r="M95" s="259">
        <f t="shared" si="7"/>
        <v>0</v>
      </c>
    </row>
    <row r="96" spans="1:13" hidden="1" x14ac:dyDescent="0.2">
      <c r="A96" s="8" t="s">
        <v>122</v>
      </c>
      <c r="B96" s="19" t="s">
        <v>191</v>
      </c>
      <c r="C96" s="141"/>
      <c r="D96" s="13"/>
      <c r="E96" s="13"/>
      <c r="F96" s="393">
        <f t="shared" si="8"/>
        <v>0</v>
      </c>
      <c r="G96" s="13"/>
      <c r="H96" s="393">
        <f t="shared" si="8"/>
        <v>0</v>
      </c>
      <c r="I96" s="13"/>
      <c r="J96" s="393">
        <f t="shared" si="8"/>
        <v>0</v>
      </c>
      <c r="K96" s="13"/>
      <c r="L96" s="13"/>
      <c r="M96" s="259" t="e">
        <f t="shared" si="7"/>
        <v>#DIV/0!</v>
      </c>
    </row>
    <row r="97" spans="1:13" ht="15" x14ac:dyDescent="0.25">
      <c r="A97" s="8" t="s">
        <v>128</v>
      </c>
      <c r="B97" s="425" t="s">
        <v>310</v>
      </c>
      <c r="C97" s="141">
        <v>80</v>
      </c>
      <c r="D97" s="13">
        <v>0</v>
      </c>
      <c r="E97" s="13">
        <v>0</v>
      </c>
      <c r="F97" s="393">
        <f t="shared" si="8"/>
        <v>0</v>
      </c>
      <c r="G97" s="13">
        <v>0</v>
      </c>
      <c r="H97" s="393">
        <f t="shared" si="8"/>
        <v>0</v>
      </c>
      <c r="I97" s="13">
        <v>0</v>
      </c>
      <c r="J97" s="393">
        <f t="shared" si="8"/>
        <v>0</v>
      </c>
      <c r="K97" s="13">
        <v>0</v>
      </c>
      <c r="L97" s="13">
        <v>0</v>
      </c>
      <c r="M97" s="259"/>
    </row>
    <row r="98" spans="1:13" ht="15" x14ac:dyDescent="0.25">
      <c r="A98" s="171" t="s">
        <v>304</v>
      </c>
      <c r="B98" s="426" t="s">
        <v>605</v>
      </c>
      <c r="C98" s="141">
        <v>4097</v>
      </c>
      <c r="D98" s="13">
        <f>(2520)+(149)</f>
        <v>2669</v>
      </c>
      <c r="E98" s="13">
        <f>(2520)+(149)</f>
        <v>2669</v>
      </c>
      <c r="F98" s="393">
        <f t="shared" si="8"/>
        <v>5430</v>
      </c>
      <c r="G98" s="13">
        <f>(2520+1290+258+3882)+(149)</f>
        <v>8099</v>
      </c>
      <c r="H98" s="393">
        <f t="shared" si="8"/>
        <v>1650</v>
      </c>
      <c r="I98" s="13">
        <f>(2520+1290+258+3882+1650)+(149)</f>
        <v>9749</v>
      </c>
      <c r="J98" s="393">
        <f t="shared" si="8"/>
        <v>0</v>
      </c>
      <c r="K98" s="13">
        <f>(2520+1290+258+3882+1650)+(149)</f>
        <v>9749</v>
      </c>
      <c r="L98" s="13">
        <f>9417+4</f>
        <v>9421</v>
      </c>
      <c r="M98" s="259">
        <f t="shared" si="7"/>
        <v>96.63555236434506</v>
      </c>
    </row>
    <row r="99" spans="1:13" ht="15.75" x14ac:dyDescent="0.25">
      <c r="A99" s="14" t="s">
        <v>143</v>
      </c>
      <c r="B99" s="18" t="s">
        <v>192</v>
      </c>
      <c r="C99" s="39">
        <f t="shared" ref="C99:E99" si="9">SUM(C103)+C105+C104</f>
        <v>33493</v>
      </c>
      <c r="D99" s="39">
        <f t="shared" si="9"/>
        <v>23000</v>
      </c>
      <c r="E99" s="39">
        <f t="shared" si="9"/>
        <v>23000</v>
      </c>
      <c r="F99" s="393">
        <f t="shared" si="8"/>
        <v>0</v>
      </c>
      <c r="G99" s="39">
        <f t="shared" ref="G99" si="10">SUM(G103)+G105+G104</f>
        <v>23000</v>
      </c>
      <c r="H99" s="393">
        <f t="shared" si="8"/>
        <v>6805</v>
      </c>
      <c r="I99" s="39">
        <f t="shared" ref="I99:K99" si="11">SUM(I103)+I105+I104</f>
        <v>29805</v>
      </c>
      <c r="J99" s="393">
        <f t="shared" si="8"/>
        <v>0</v>
      </c>
      <c r="K99" s="39">
        <f t="shared" si="11"/>
        <v>29805</v>
      </c>
      <c r="L99" s="39">
        <f t="shared" ref="L99" si="12">SUM(L103)+L105+L104</f>
        <v>29805</v>
      </c>
      <c r="M99" s="259">
        <f t="shared" si="7"/>
        <v>100</v>
      </c>
    </row>
    <row r="100" spans="1:13" hidden="1" x14ac:dyDescent="0.2">
      <c r="A100" s="8" t="s">
        <v>149</v>
      </c>
      <c r="B100" s="19" t="s">
        <v>193</v>
      </c>
      <c r="C100" s="409"/>
      <c r="D100" s="11"/>
      <c r="E100" s="11"/>
      <c r="F100" s="393">
        <f t="shared" si="8"/>
        <v>0</v>
      </c>
      <c r="G100" s="11"/>
      <c r="H100" s="393">
        <f t="shared" si="8"/>
        <v>0</v>
      </c>
      <c r="I100" s="11"/>
      <c r="J100" s="393">
        <f t="shared" si="8"/>
        <v>0</v>
      </c>
      <c r="K100" s="11"/>
      <c r="L100" s="11"/>
      <c r="M100" s="259" t="e">
        <f t="shared" si="7"/>
        <v>#DIV/0!</v>
      </c>
    </row>
    <row r="101" spans="1:13" hidden="1" x14ac:dyDescent="0.2">
      <c r="A101" s="8" t="s">
        <v>150</v>
      </c>
      <c r="B101" s="19" t="s">
        <v>194</v>
      </c>
      <c r="C101" s="409"/>
      <c r="D101" s="11"/>
      <c r="E101" s="11"/>
      <c r="F101" s="393">
        <f t="shared" si="8"/>
        <v>0</v>
      </c>
      <c r="G101" s="11"/>
      <c r="H101" s="393">
        <f t="shared" si="8"/>
        <v>0</v>
      </c>
      <c r="I101" s="11"/>
      <c r="J101" s="393">
        <f t="shared" si="8"/>
        <v>0</v>
      </c>
      <c r="K101" s="11"/>
      <c r="L101" s="11"/>
      <c r="M101" s="259" t="e">
        <f t="shared" si="7"/>
        <v>#DIV/0!</v>
      </c>
    </row>
    <row r="102" spans="1:13" hidden="1" x14ac:dyDescent="0.2">
      <c r="A102" s="8" t="s">
        <v>151</v>
      </c>
      <c r="B102" s="19" t="s">
        <v>195</v>
      </c>
      <c r="C102" s="409"/>
      <c r="D102" s="5"/>
      <c r="E102" s="5"/>
      <c r="F102" s="393">
        <f t="shared" si="8"/>
        <v>0</v>
      </c>
      <c r="G102" s="5"/>
      <c r="H102" s="393">
        <f t="shared" si="8"/>
        <v>0</v>
      </c>
      <c r="I102" s="5"/>
      <c r="J102" s="393">
        <f t="shared" si="8"/>
        <v>0</v>
      </c>
      <c r="K102" s="5"/>
      <c r="L102" s="5"/>
      <c r="M102" s="259" t="e">
        <f t="shared" si="7"/>
        <v>#DIV/0!</v>
      </c>
    </row>
    <row r="103" spans="1:13" ht="15" x14ac:dyDescent="0.25">
      <c r="A103" s="8" t="s">
        <v>311</v>
      </c>
      <c r="B103" s="423" t="s">
        <v>773</v>
      </c>
      <c r="C103" s="141">
        <f>32600+893</f>
        <v>33493</v>
      </c>
      <c r="D103" s="72">
        <v>23000</v>
      </c>
      <c r="E103" s="72">
        <v>23000</v>
      </c>
      <c r="F103" s="393">
        <f t="shared" si="8"/>
        <v>0</v>
      </c>
      <c r="G103" s="72">
        <v>23000</v>
      </c>
      <c r="H103" s="393">
        <f t="shared" si="8"/>
        <v>6805</v>
      </c>
      <c r="I103" s="72">
        <f>23000+6500+305</f>
        <v>29805</v>
      </c>
      <c r="J103" s="393">
        <f t="shared" si="8"/>
        <v>0</v>
      </c>
      <c r="K103" s="72">
        <f>23000+6500+305</f>
        <v>29805</v>
      </c>
      <c r="L103" s="72">
        <v>29805</v>
      </c>
      <c r="M103" s="259">
        <f t="shared" si="7"/>
        <v>100</v>
      </c>
    </row>
    <row r="104" spans="1:13" hidden="1" x14ac:dyDescent="0.2">
      <c r="A104" s="8" t="s">
        <v>311</v>
      </c>
      <c r="B104" s="8" t="s">
        <v>674</v>
      </c>
      <c r="C104" s="188"/>
      <c r="D104" s="13">
        <v>0</v>
      </c>
      <c r="E104" s="13">
        <v>0</v>
      </c>
      <c r="F104" s="393">
        <f t="shared" si="8"/>
        <v>0</v>
      </c>
      <c r="G104" s="13">
        <v>0</v>
      </c>
      <c r="H104" s="393">
        <f t="shared" si="8"/>
        <v>0</v>
      </c>
      <c r="I104" s="13">
        <v>0</v>
      </c>
      <c r="J104" s="393">
        <f t="shared" si="8"/>
        <v>0</v>
      </c>
      <c r="K104" s="13">
        <v>0</v>
      </c>
      <c r="L104" s="13">
        <v>0</v>
      </c>
      <c r="M104" s="259" t="e">
        <f t="shared" si="7"/>
        <v>#DIV/0!</v>
      </c>
    </row>
    <row r="105" spans="1:13" hidden="1" x14ac:dyDescent="0.2">
      <c r="A105" s="8" t="s">
        <v>311</v>
      </c>
      <c r="B105" s="8" t="s">
        <v>552</v>
      </c>
      <c r="C105" s="188"/>
      <c r="D105" s="13">
        <v>0</v>
      </c>
      <c r="E105" s="13">
        <v>0</v>
      </c>
      <c r="F105" s="393">
        <f t="shared" si="8"/>
        <v>0</v>
      </c>
      <c r="G105" s="13">
        <v>0</v>
      </c>
      <c r="H105" s="393">
        <f t="shared" si="8"/>
        <v>0</v>
      </c>
      <c r="I105" s="13">
        <v>0</v>
      </c>
      <c r="J105" s="393">
        <f t="shared" si="8"/>
        <v>0</v>
      </c>
      <c r="K105" s="13">
        <v>0</v>
      </c>
      <c r="L105" s="13">
        <v>0</v>
      </c>
      <c r="M105" s="259" t="e">
        <f t="shared" si="7"/>
        <v>#DIV/0!</v>
      </c>
    </row>
    <row r="106" spans="1:13" ht="24" customHeight="1" x14ac:dyDescent="0.25">
      <c r="A106" s="24" t="s">
        <v>145</v>
      </c>
      <c r="B106" s="427" t="s">
        <v>268</v>
      </c>
      <c r="C106" s="39">
        <f>SUM(C107)+C114</f>
        <v>728508</v>
      </c>
      <c r="D106" s="39">
        <f>SUM(D107)+D114</f>
        <v>321764</v>
      </c>
      <c r="E106" s="39">
        <f>SUM(E107)+E114</f>
        <v>321764</v>
      </c>
      <c r="F106" s="393">
        <f t="shared" si="8"/>
        <v>0</v>
      </c>
      <c r="G106" s="39">
        <f>SUM(G107)+G114</f>
        <v>321764</v>
      </c>
      <c r="H106" s="393">
        <f t="shared" si="8"/>
        <v>24161</v>
      </c>
      <c r="I106" s="39">
        <f>SUM(I107)+I114</f>
        <v>345925</v>
      </c>
      <c r="J106" s="393">
        <f t="shared" si="8"/>
        <v>3415</v>
      </c>
      <c r="K106" s="39">
        <f>SUM(K107)+K114</f>
        <v>349340</v>
      </c>
      <c r="L106" s="39">
        <f>SUM(L107)+L114</f>
        <v>349340</v>
      </c>
      <c r="M106" s="259">
        <f t="shared" si="7"/>
        <v>100</v>
      </c>
    </row>
    <row r="107" spans="1:13" ht="13.5" customHeight="1" x14ac:dyDescent="0.25">
      <c r="A107" s="24"/>
      <c r="B107" s="18" t="str">
        <f>'1.Bev-kiad.'!B56</f>
        <v xml:space="preserve">   1. Belföldi finanszírozás bevételei</v>
      </c>
      <c r="C107" s="126">
        <f>SUM(C108+C113)</f>
        <v>728508</v>
      </c>
      <c r="D107" s="126">
        <f>SUM(D108+D113)</f>
        <v>321764</v>
      </c>
      <c r="E107" s="126">
        <f>SUM(E108+E113)</f>
        <v>321764</v>
      </c>
      <c r="F107" s="393">
        <f t="shared" si="8"/>
        <v>0</v>
      </c>
      <c r="G107" s="126">
        <f>SUM(G108+G113)</f>
        <v>321764</v>
      </c>
      <c r="H107" s="393">
        <f t="shared" si="8"/>
        <v>24161</v>
      </c>
      <c r="I107" s="126">
        <f>SUM(I108+I113)</f>
        <v>345925</v>
      </c>
      <c r="J107" s="393">
        <f t="shared" si="8"/>
        <v>3415</v>
      </c>
      <c r="K107" s="126">
        <f>SUM(K108+K113)</f>
        <v>349340</v>
      </c>
      <c r="L107" s="126">
        <f>SUM(L108+L113)</f>
        <v>349340</v>
      </c>
      <c r="M107" s="259">
        <f t="shared" si="7"/>
        <v>100</v>
      </c>
    </row>
    <row r="108" spans="1:13" ht="15" x14ac:dyDescent="0.2">
      <c r="A108" s="24"/>
      <c r="B108" s="428" t="str">
        <f>'1.Bev-kiad.'!B57</f>
        <v xml:space="preserve">        1.1. Előző év költségvetési maradványának igénybevétele</v>
      </c>
      <c r="C108" s="141">
        <v>706845</v>
      </c>
      <c r="D108" s="13">
        <f>2047+319717</f>
        <v>321764</v>
      </c>
      <c r="E108" s="13">
        <f>2047+319717</f>
        <v>321764</v>
      </c>
      <c r="F108" s="393">
        <f>G108-E108</f>
        <v>0</v>
      </c>
      <c r="G108" s="13">
        <f>2047+319717</f>
        <v>321764</v>
      </c>
      <c r="H108" s="393">
        <f>I108-G108</f>
        <v>0</v>
      </c>
      <c r="I108" s="13">
        <f>2047+319717</f>
        <v>321764</v>
      </c>
      <c r="J108" s="393">
        <f>K108-I108</f>
        <v>0</v>
      </c>
      <c r="K108" s="13">
        <f>2047+319717</f>
        <v>321764</v>
      </c>
      <c r="L108" s="13">
        <f>2047+319717</f>
        <v>321764</v>
      </c>
      <c r="M108" s="259">
        <f t="shared" si="7"/>
        <v>100</v>
      </c>
    </row>
    <row r="109" spans="1:13" hidden="1" x14ac:dyDescent="0.2">
      <c r="A109" s="24"/>
      <c r="B109" s="114" t="s">
        <v>409</v>
      </c>
      <c r="C109" s="141">
        <v>293336</v>
      </c>
      <c r="D109" s="13">
        <f>(381956+18883+19378+10058+5652-'3.felh'!D42+4167-34702+40056)</f>
        <v>293336</v>
      </c>
      <c r="E109" s="13">
        <f>(381956+18883+19378+10058+5652-'3.felh'!E42+4167-34702+40056)</f>
        <v>293336</v>
      </c>
      <c r="F109" s="393">
        <f t="shared" ref="F109:J114" si="13">G109-E109</f>
        <v>0</v>
      </c>
      <c r="G109" s="13">
        <f>(381956+18883+19378+10058+5652-'3.felh'!G42+4167-34702+40056)</f>
        <v>293336</v>
      </c>
      <c r="H109" s="393">
        <f t="shared" si="13"/>
        <v>0</v>
      </c>
      <c r="I109" s="13">
        <f>(381956+18883+19378+10058+5652-'3.felh'!I42+4167-34702+40056)</f>
        <v>293336</v>
      </c>
      <c r="J109" s="393">
        <f t="shared" si="13"/>
        <v>0</v>
      </c>
      <c r="K109" s="13">
        <f>(381956+18883+19378+10058+5652-'3.felh'!K42+4167-34702+40056)</f>
        <v>293336</v>
      </c>
      <c r="L109" s="13">
        <f>(381956+18883+19378+10058+5652-'3.felh'!L42+4167-34702+40056)</f>
        <v>293336</v>
      </c>
      <c r="M109" s="259">
        <f t="shared" si="7"/>
        <v>100</v>
      </c>
    </row>
    <row r="110" spans="1:13" hidden="1" x14ac:dyDescent="0.2">
      <c r="A110" s="24"/>
      <c r="B110" s="114"/>
      <c r="C110" s="141"/>
      <c r="D110" s="13"/>
      <c r="E110" s="13"/>
      <c r="F110" s="393">
        <f t="shared" si="13"/>
        <v>0</v>
      </c>
      <c r="G110" s="13"/>
      <c r="H110" s="393">
        <f t="shared" si="13"/>
        <v>0</v>
      </c>
      <c r="I110" s="13"/>
      <c r="J110" s="393">
        <f t="shared" si="13"/>
        <v>0</v>
      </c>
      <c r="K110" s="13"/>
      <c r="L110" s="13"/>
      <c r="M110" s="259" t="e">
        <f t="shared" si="7"/>
        <v>#DIV/0!</v>
      </c>
    </row>
    <row r="111" spans="1:13" hidden="1" x14ac:dyDescent="0.2">
      <c r="A111" s="24"/>
      <c r="B111" s="114" t="s">
        <v>406</v>
      </c>
      <c r="C111" s="141"/>
      <c r="D111" s="13"/>
      <c r="E111" s="13"/>
      <c r="F111" s="393">
        <f t="shared" si="13"/>
        <v>0</v>
      </c>
      <c r="G111" s="13"/>
      <c r="H111" s="393">
        <f t="shared" si="13"/>
        <v>0</v>
      </c>
      <c r="I111" s="13"/>
      <c r="J111" s="393">
        <f t="shared" si="13"/>
        <v>0</v>
      </c>
      <c r="K111" s="13"/>
      <c r="L111" s="13"/>
      <c r="M111" s="259" t="e">
        <f t="shared" si="7"/>
        <v>#DIV/0!</v>
      </c>
    </row>
    <row r="112" spans="1:13" hidden="1" x14ac:dyDescent="0.2">
      <c r="A112" s="24"/>
      <c r="B112" s="114" t="s">
        <v>404</v>
      </c>
      <c r="C112" s="141">
        <v>28456</v>
      </c>
      <c r="D112" s="13">
        <f>(32623-4167)</f>
        <v>28456</v>
      </c>
      <c r="E112" s="13">
        <f>(32623-4167)</f>
        <v>28456</v>
      </c>
      <c r="F112" s="393">
        <f t="shared" si="13"/>
        <v>0</v>
      </c>
      <c r="G112" s="13">
        <f>(32623-4167)</f>
        <v>28456</v>
      </c>
      <c r="H112" s="393">
        <f t="shared" si="13"/>
        <v>0</v>
      </c>
      <c r="I112" s="13">
        <f>(32623-4167)</f>
        <v>28456</v>
      </c>
      <c r="J112" s="393">
        <f t="shared" si="13"/>
        <v>0</v>
      </c>
      <c r="K112" s="13">
        <f>(32623-4167)</f>
        <v>28456</v>
      </c>
      <c r="L112" s="13">
        <f>(32623-4167)</f>
        <v>28456</v>
      </c>
      <c r="M112" s="259">
        <f t="shared" si="7"/>
        <v>100</v>
      </c>
    </row>
    <row r="113" spans="1:13" ht="13.5" customHeight="1" x14ac:dyDescent="0.2">
      <c r="A113" s="24"/>
      <c r="B113" s="429" t="s">
        <v>382</v>
      </c>
      <c r="C113" s="141">
        <v>21663</v>
      </c>
      <c r="D113" s="13">
        <v>0</v>
      </c>
      <c r="E113" s="13">
        <v>0</v>
      </c>
      <c r="F113" s="393">
        <f t="shared" si="13"/>
        <v>0</v>
      </c>
      <c r="G113" s="13">
        <v>0</v>
      </c>
      <c r="H113" s="393">
        <f t="shared" si="13"/>
        <v>24161</v>
      </c>
      <c r="I113" s="13">
        <v>24161</v>
      </c>
      <c r="J113" s="393">
        <f t="shared" si="13"/>
        <v>3415</v>
      </c>
      <c r="K113" s="13">
        <f>24161+3415</f>
        <v>27576</v>
      </c>
      <c r="L113" s="13">
        <v>27576</v>
      </c>
      <c r="M113" s="259">
        <f t="shared" si="7"/>
        <v>100</v>
      </c>
    </row>
    <row r="114" spans="1:13" ht="16.5" customHeight="1" thickBot="1" x14ac:dyDescent="0.3">
      <c r="A114" s="24"/>
      <c r="B114" s="18" t="s">
        <v>345</v>
      </c>
      <c r="C114" s="126">
        <f>C115</f>
        <v>0</v>
      </c>
      <c r="D114" s="126">
        <f>D115</f>
        <v>0</v>
      </c>
      <c r="E114" s="126">
        <f>E115</f>
        <v>0</v>
      </c>
      <c r="F114" s="393">
        <f t="shared" si="13"/>
        <v>0</v>
      </c>
      <c r="G114" s="126">
        <f>G115</f>
        <v>0</v>
      </c>
      <c r="H114" s="393">
        <f t="shared" si="13"/>
        <v>0</v>
      </c>
      <c r="I114" s="126">
        <f>I115</f>
        <v>0</v>
      </c>
      <c r="J114" s="393">
        <f t="shared" si="13"/>
        <v>0</v>
      </c>
      <c r="K114" s="126">
        <f>K115</f>
        <v>0</v>
      </c>
      <c r="L114" s="126">
        <f>L115</f>
        <v>0</v>
      </c>
      <c r="M114" s="259"/>
    </row>
    <row r="115" spans="1:13" ht="13.5" hidden="1" customHeight="1" thickBot="1" x14ac:dyDescent="0.25">
      <c r="A115" s="319"/>
      <c r="B115" s="12" t="s">
        <v>589</v>
      </c>
      <c r="C115" s="411"/>
      <c r="D115" s="13">
        <v>0</v>
      </c>
      <c r="E115" s="13">
        <v>0</v>
      </c>
      <c r="F115" s="13"/>
      <c r="G115" s="13">
        <v>0</v>
      </c>
      <c r="H115" s="13"/>
      <c r="I115" s="13">
        <v>0</v>
      </c>
      <c r="J115" s="13"/>
      <c r="K115" s="13">
        <v>0</v>
      </c>
      <c r="L115" s="13">
        <v>0</v>
      </c>
      <c r="M115" s="259" t="e">
        <f t="shared" ref="M115:M140" si="14">L115/K115*100</f>
        <v>#DIV/0!</v>
      </c>
    </row>
    <row r="116" spans="1:13" ht="19.5" customHeight="1" thickBot="1" x14ac:dyDescent="0.4">
      <c r="A116" s="178"/>
      <c r="B116" s="179" t="s">
        <v>297</v>
      </c>
      <c r="C116" s="418">
        <f>SUM(C8+C106)</f>
        <v>2044518</v>
      </c>
      <c r="D116" s="143">
        <f>SUM(D8+D106)</f>
        <v>2105197</v>
      </c>
      <c r="E116" s="143">
        <f>SUM(E8+E106)</f>
        <v>2119819</v>
      </c>
      <c r="F116" s="394">
        <f>G116-E116</f>
        <v>10397</v>
      </c>
      <c r="G116" s="143">
        <f>SUM(G8+G106)</f>
        <v>2130216</v>
      </c>
      <c r="H116" s="394">
        <f>I116-G116</f>
        <v>-117647</v>
      </c>
      <c r="I116" s="143">
        <f>SUM(I8+I106)</f>
        <v>2012569</v>
      </c>
      <c r="J116" s="394">
        <f>K116-I116</f>
        <v>2607</v>
      </c>
      <c r="K116" s="143">
        <f>SUM(K8+K106)</f>
        <v>2015176</v>
      </c>
      <c r="L116" s="143">
        <f>SUM(L8+L106)</f>
        <v>1939074</v>
      </c>
      <c r="M116" s="259">
        <f t="shared" si="14"/>
        <v>96.223555659654536</v>
      </c>
    </row>
    <row r="117" spans="1:13" ht="18" customHeight="1" x14ac:dyDescent="0.25">
      <c r="A117" s="115" t="s">
        <v>279</v>
      </c>
      <c r="B117" s="430" t="s">
        <v>276</v>
      </c>
      <c r="C117" s="419">
        <f>SUM(C118+C121+C124+C127+C128)</f>
        <v>1432802</v>
      </c>
      <c r="D117" s="139">
        <f>SUM(D118+D121+D124+D127+D128)</f>
        <v>1788856</v>
      </c>
      <c r="E117" s="139">
        <f>SUM(E118+E121+E124+E127+E128)</f>
        <v>1781623</v>
      </c>
      <c r="F117" s="393">
        <f t="shared" ref="F117:J137" si="15">G117-E117</f>
        <v>10397</v>
      </c>
      <c r="G117" s="139">
        <f>SUM(G118+G121+G124+G127+G128)</f>
        <v>1792020</v>
      </c>
      <c r="H117" s="393">
        <f t="shared" si="15"/>
        <v>-151244</v>
      </c>
      <c r="I117" s="139">
        <f>SUM(I118+I121+I124+I127+I128)</f>
        <v>1640776</v>
      </c>
      <c r="J117" s="393">
        <f t="shared" si="15"/>
        <v>3415</v>
      </c>
      <c r="K117" s="139">
        <f>SUM(K118+K121+K124+K127+K128)</f>
        <v>1644191</v>
      </c>
      <c r="L117" s="139">
        <f>SUM(L118+L121+L124+L127+L128)</f>
        <v>1411219</v>
      </c>
      <c r="M117" s="259">
        <f t="shared" si="14"/>
        <v>85.830599972874197</v>
      </c>
    </row>
    <row r="118" spans="1:13" ht="18" customHeight="1" x14ac:dyDescent="0.25">
      <c r="A118" s="14" t="s">
        <v>169</v>
      </c>
      <c r="B118" s="18" t="s">
        <v>196</v>
      </c>
      <c r="C118" s="403">
        <f>SUM(C119:C120)</f>
        <v>275450</v>
      </c>
      <c r="D118" s="116">
        <f>SUM(D119:D120)</f>
        <v>294286</v>
      </c>
      <c r="E118" s="116">
        <f>SUM(E119:E120)</f>
        <v>313730</v>
      </c>
      <c r="F118" s="393">
        <f t="shared" si="15"/>
        <v>0</v>
      </c>
      <c r="G118" s="116">
        <f>SUM(G119:G120)</f>
        <v>313730</v>
      </c>
      <c r="H118" s="393">
        <f t="shared" si="15"/>
        <v>465</v>
      </c>
      <c r="I118" s="116">
        <f>SUM(I119:I120)</f>
        <v>314195</v>
      </c>
      <c r="J118" s="393">
        <f t="shared" si="15"/>
        <v>0</v>
      </c>
      <c r="K118" s="116">
        <f>SUM(K119:K120)</f>
        <v>314195</v>
      </c>
      <c r="L118" s="116">
        <f>SUM(L119:L120)</f>
        <v>308647</v>
      </c>
      <c r="M118" s="259">
        <f t="shared" si="14"/>
        <v>98.23421760371744</v>
      </c>
    </row>
    <row r="119" spans="1:13" ht="13.5" customHeight="1" x14ac:dyDescent="0.2">
      <c r="A119" s="14"/>
      <c r="B119" s="118" t="s">
        <v>327</v>
      </c>
      <c r="C119" s="159">
        <v>56265</v>
      </c>
      <c r="D119" s="159">
        <f>SUM('8.Önk.'!BU32)</f>
        <v>71715</v>
      </c>
      <c r="E119" s="159">
        <f>SUM('8.Önk.'!BV32)</f>
        <v>78514</v>
      </c>
      <c r="F119" s="393">
        <f t="shared" si="15"/>
        <v>0</v>
      </c>
      <c r="G119" s="159">
        <f>SUM('8.Önk.'!BW32)</f>
        <v>78514</v>
      </c>
      <c r="H119" s="393">
        <f t="shared" si="15"/>
        <v>465</v>
      </c>
      <c r="I119" s="159">
        <f>SUM('8.Önk.'!BX32)</f>
        <v>78979</v>
      </c>
      <c r="J119" s="393">
        <f t="shared" si="15"/>
        <v>0</v>
      </c>
      <c r="K119" s="159">
        <f>SUM('8.Önk.'!BY32)</f>
        <v>78979</v>
      </c>
      <c r="L119" s="159">
        <f>SUM('8.Önk.'!BZ32)</f>
        <v>77514</v>
      </c>
      <c r="M119" s="259">
        <f t="shared" si="14"/>
        <v>98.145076539333246</v>
      </c>
    </row>
    <row r="120" spans="1:13" ht="13.5" customHeight="1" x14ac:dyDescent="0.2">
      <c r="A120" s="14"/>
      <c r="B120" s="118" t="s">
        <v>360</v>
      </c>
      <c r="C120" s="159">
        <v>219185</v>
      </c>
      <c r="D120" s="159">
        <f>SUM('9.Hivatal'!Y26)</f>
        <v>222571</v>
      </c>
      <c r="E120" s="159">
        <f>SUM('9.Hivatal'!Z26)</f>
        <v>235216</v>
      </c>
      <c r="F120" s="393">
        <f t="shared" si="15"/>
        <v>0</v>
      </c>
      <c r="G120" s="159">
        <f>SUM('9.Hivatal'!AA26)</f>
        <v>235216</v>
      </c>
      <c r="H120" s="393">
        <f t="shared" si="15"/>
        <v>0</v>
      </c>
      <c r="I120" s="159">
        <f>SUM('9.Hivatal'!AB26)</f>
        <v>235216</v>
      </c>
      <c r="J120" s="393">
        <f t="shared" si="15"/>
        <v>0</v>
      </c>
      <c r="K120" s="159">
        <f>SUM('9.Hivatal'!AC26)</f>
        <v>235216</v>
      </c>
      <c r="L120" s="159">
        <f>SUM('9.Hivatal'!AD26)</f>
        <v>231133</v>
      </c>
      <c r="M120" s="259">
        <f t="shared" si="14"/>
        <v>98.264148697367531</v>
      </c>
    </row>
    <row r="121" spans="1:13" ht="18" customHeight="1" x14ac:dyDescent="0.25">
      <c r="A121" s="14" t="s">
        <v>170</v>
      </c>
      <c r="B121" s="18" t="s">
        <v>197</v>
      </c>
      <c r="C121" s="403">
        <f>SUM(C122:C123)</f>
        <v>34735</v>
      </c>
      <c r="D121" s="116">
        <f>SUM(D122:D123)</f>
        <v>37978</v>
      </c>
      <c r="E121" s="116">
        <f>SUM(E122:E123)</f>
        <v>40089</v>
      </c>
      <c r="F121" s="393">
        <f t="shared" si="15"/>
        <v>0</v>
      </c>
      <c r="G121" s="116">
        <f>SUM(G122:G123)</f>
        <v>40089</v>
      </c>
      <c r="H121" s="393">
        <f t="shared" si="15"/>
        <v>-128</v>
      </c>
      <c r="I121" s="116">
        <f>SUM(I122:I123)</f>
        <v>39961</v>
      </c>
      <c r="J121" s="393">
        <f t="shared" si="15"/>
        <v>0</v>
      </c>
      <c r="K121" s="116">
        <f>SUM(K122:K123)</f>
        <v>39961</v>
      </c>
      <c r="L121" s="116">
        <f>SUM(L122:L123)</f>
        <v>38354</v>
      </c>
      <c r="M121" s="259">
        <f t="shared" si="14"/>
        <v>95.978579114636773</v>
      </c>
    </row>
    <row r="122" spans="1:13" ht="13.5" customHeight="1" x14ac:dyDescent="0.2">
      <c r="A122" s="14"/>
      <c r="B122" s="118" t="s">
        <v>328</v>
      </c>
      <c r="C122" s="159">
        <v>6991</v>
      </c>
      <c r="D122" s="159">
        <f>SUM('8.Önk.'!BU36)</f>
        <v>9290</v>
      </c>
      <c r="E122" s="159">
        <f>SUM('8.Önk.'!BV36)</f>
        <v>9783</v>
      </c>
      <c r="F122" s="393">
        <f t="shared" si="15"/>
        <v>0</v>
      </c>
      <c r="G122" s="159">
        <f>SUM('8.Önk.'!BW36)</f>
        <v>9783</v>
      </c>
      <c r="H122" s="393">
        <f t="shared" si="15"/>
        <v>-128</v>
      </c>
      <c r="I122" s="159">
        <f>SUM('8.Önk.'!BX36)</f>
        <v>9655</v>
      </c>
      <c r="J122" s="393">
        <f t="shared" si="15"/>
        <v>0</v>
      </c>
      <c r="K122" s="159">
        <f>SUM('8.Önk.'!BY36)</f>
        <v>9655</v>
      </c>
      <c r="L122" s="159">
        <f>SUM('8.Önk.'!BZ36)</f>
        <v>8688</v>
      </c>
      <c r="M122" s="259">
        <f t="shared" si="14"/>
        <v>89.984464008285855</v>
      </c>
    </row>
    <row r="123" spans="1:13" ht="13.5" customHeight="1" x14ac:dyDescent="0.2">
      <c r="A123" s="14"/>
      <c r="B123" s="118" t="s">
        <v>359</v>
      </c>
      <c r="C123" s="159">
        <v>27744</v>
      </c>
      <c r="D123" s="159">
        <f>SUM('9.Hivatal'!Y29)</f>
        <v>28688</v>
      </c>
      <c r="E123" s="159">
        <f>SUM('9.Hivatal'!Z29)</f>
        <v>30306</v>
      </c>
      <c r="F123" s="393">
        <f t="shared" si="15"/>
        <v>0</v>
      </c>
      <c r="G123" s="159">
        <f>SUM('9.Hivatal'!AA29)</f>
        <v>30306</v>
      </c>
      <c r="H123" s="393">
        <f t="shared" si="15"/>
        <v>0</v>
      </c>
      <c r="I123" s="159">
        <f>SUM('9.Hivatal'!AB29)</f>
        <v>30306</v>
      </c>
      <c r="J123" s="393">
        <f t="shared" si="15"/>
        <v>0</v>
      </c>
      <c r="K123" s="159">
        <f>SUM('9.Hivatal'!AC29)</f>
        <v>30306</v>
      </c>
      <c r="L123" s="159">
        <f>SUM('9.Hivatal'!AD29)</f>
        <v>29666</v>
      </c>
      <c r="M123" s="259">
        <f t="shared" si="14"/>
        <v>97.888206955718331</v>
      </c>
    </row>
    <row r="124" spans="1:13" ht="18" customHeight="1" x14ac:dyDescent="0.25">
      <c r="A124" s="14" t="s">
        <v>171</v>
      </c>
      <c r="B124" s="18" t="s">
        <v>198</v>
      </c>
      <c r="C124" s="402">
        <f>SUM(C125:C126)</f>
        <v>475680</v>
      </c>
      <c r="D124" s="32">
        <f>SUM(D125:D126)</f>
        <v>660926</v>
      </c>
      <c r="E124" s="32">
        <f>SUM(E125:E126)</f>
        <v>666028</v>
      </c>
      <c r="F124" s="393">
        <f t="shared" si="15"/>
        <v>2941</v>
      </c>
      <c r="G124" s="32">
        <f>SUM(G125:G126)</f>
        <v>668969</v>
      </c>
      <c r="H124" s="393">
        <f t="shared" si="15"/>
        <v>-180749</v>
      </c>
      <c r="I124" s="32">
        <f>SUM(I125:I126)</f>
        <v>488220</v>
      </c>
      <c r="J124" s="393">
        <f t="shared" si="15"/>
        <v>1650</v>
      </c>
      <c r="K124" s="32">
        <f>SUM(K125:K126)</f>
        <v>489870</v>
      </c>
      <c r="L124" s="32">
        <f>SUM(L125:L126)</f>
        <v>350567</v>
      </c>
      <c r="M124" s="259">
        <f t="shared" si="14"/>
        <v>71.563271888460207</v>
      </c>
    </row>
    <row r="125" spans="1:13" ht="13.5" customHeight="1" x14ac:dyDescent="0.2">
      <c r="A125" s="8"/>
      <c r="B125" s="118" t="s">
        <v>328</v>
      </c>
      <c r="C125" s="141">
        <v>451298</v>
      </c>
      <c r="D125" s="141">
        <f>SUM('8.Önk.'!BU101)</f>
        <v>634704</v>
      </c>
      <c r="E125" s="141">
        <f>SUM('8.Önk.'!BV101)</f>
        <v>637336</v>
      </c>
      <c r="F125" s="393">
        <f t="shared" si="15"/>
        <v>2691</v>
      </c>
      <c r="G125" s="141">
        <f>SUM('8.Önk.'!BW101)</f>
        <v>640027</v>
      </c>
      <c r="H125" s="393">
        <f t="shared" si="15"/>
        <v>-180749</v>
      </c>
      <c r="I125" s="141">
        <f>SUM('8.Önk.'!BX101)</f>
        <v>459278</v>
      </c>
      <c r="J125" s="393">
        <f t="shared" si="15"/>
        <v>1650</v>
      </c>
      <c r="K125" s="141">
        <f>SUM('8.Önk.'!BY101)</f>
        <v>460928</v>
      </c>
      <c r="L125" s="141">
        <f>SUM('8.Önk.'!BZ101)</f>
        <v>324887</v>
      </c>
      <c r="M125" s="259">
        <f t="shared" si="14"/>
        <v>70.485412038322693</v>
      </c>
    </row>
    <row r="126" spans="1:13" ht="13.5" customHeight="1" x14ac:dyDescent="0.2">
      <c r="A126" s="8"/>
      <c r="B126" s="118" t="s">
        <v>359</v>
      </c>
      <c r="C126" s="141">
        <v>24382</v>
      </c>
      <c r="D126" s="141">
        <f>SUM('9.Hivatal'!Y77)</f>
        <v>26222</v>
      </c>
      <c r="E126" s="141">
        <f>SUM('9.Hivatal'!Z77)</f>
        <v>28692</v>
      </c>
      <c r="F126" s="393">
        <f t="shared" si="15"/>
        <v>250</v>
      </c>
      <c r="G126" s="141">
        <f>SUM('9.Hivatal'!AA77)</f>
        <v>28942</v>
      </c>
      <c r="H126" s="393">
        <f t="shared" si="15"/>
        <v>0</v>
      </c>
      <c r="I126" s="141">
        <f>SUM('9.Hivatal'!AB77)</f>
        <v>28942</v>
      </c>
      <c r="J126" s="393">
        <f t="shared" si="15"/>
        <v>0</v>
      </c>
      <c r="K126" s="141">
        <f>SUM('9.Hivatal'!AC77)</f>
        <v>28942</v>
      </c>
      <c r="L126" s="141">
        <f>SUM('9.Hivatal'!AD77)</f>
        <v>25680</v>
      </c>
      <c r="M126" s="259">
        <f t="shared" si="14"/>
        <v>88.729182502936908</v>
      </c>
    </row>
    <row r="127" spans="1:13" ht="18" customHeight="1" x14ac:dyDescent="0.25">
      <c r="A127" s="14" t="s">
        <v>172</v>
      </c>
      <c r="B127" s="18" t="s">
        <v>351</v>
      </c>
      <c r="C127" s="402">
        <v>17943</v>
      </c>
      <c r="D127" s="32">
        <f>SUM('8.Önk.'!BU102)</f>
        <v>18000</v>
      </c>
      <c r="E127" s="32">
        <f>SUM('8.Önk.'!BV102)</f>
        <v>18000</v>
      </c>
      <c r="F127" s="393">
        <f t="shared" si="15"/>
        <v>0</v>
      </c>
      <c r="G127" s="32">
        <f>SUM('8.Önk.'!BW102)</f>
        <v>18000</v>
      </c>
      <c r="H127" s="393">
        <f t="shared" si="15"/>
        <v>-10000</v>
      </c>
      <c r="I127" s="32">
        <f>SUM('8.Önk.'!BX102)</f>
        <v>8000</v>
      </c>
      <c r="J127" s="393">
        <f t="shared" si="15"/>
        <v>0</v>
      </c>
      <c r="K127" s="32">
        <f>SUM('8.Önk.'!BY102)</f>
        <v>8000</v>
      </c>
      <c r="L127" s="32">
        <f>SUM('8.Önk.'!BZ102)</f>
        <v>6187</v>
      </c>
      <c r="M127" s="259">
        <f t="shared" si="14"/>
        <v>77.337500000000006</v>
      </c>
    </row>
    <row r="128" spans="1:13" ht="18" customHeight="1" x14ac:dyDescent="0.25">
      <c r="A128" s="14" t="s">
        <v>173</v>
      </c>
      <c r="B128" s="18" t="s">
        <v>261</v>
      </c>
      <c r="C128" s="402">
        <f>SUM(C129:C132)</f>
        <v>628994</v>
      </c>
      <c r="D128" s="32">
        <f>SUM(D129:D132)</f>
        <v>777666</v>
      </c>
      <c r="E128" s="32">
        <f>SUM(E129:E133)</f>
        <v>743776</v>
      </c>
      <c r="F128" s="393">
        <f t="shared" si="15"/>
        <v>7456</v>
      </c>
      <c r="G128" s="32">
        <f>SUM(G129:G133)</f>
        <v>751232</v>
      </c>
      <c r="H128" s="393">
        <f t="shared" si="15"/>
        <v>39168</v>
      </c>
      <c r="I128" s="32">
        <f>SUM(I129:I133)</f>
        <v>790400</v>
      </c>
      <c r="J128" s="393">
        <f t="shared" si="15"/>
        <v>1765</v>
      </c>
      <c r="K128" s="32">
        <f>SUM(K129:K133)</f>
        <v>792165</v>
      </c>
      <c r="L128" s="32">
        <f>SUM(L129:L133)</f>
        <v>707464</v>
      </c>
      <c r="M128" s="259">
        <f t="shared" si="14"/>
        <v>89.307656864415875</v>
      </c>
    </row>
    <row r="129" spans="1:13" ht="15.75" customHeight="1" x14ac:dyDescent="0.25">
      <c r="A129" s="14"/>
      <c r="B129" s="423" t="s">
        <v>588</v>
      </c>
      <c r="C129" s="421">
        <v>614008</v>
      </c>
      <c r="D129" s="29">
        <f>SUM('4. Átadott p.eszk.'!C66)</f>
        <v>680844</v>
      </c>
      <c r="E129" s="29">
        <f>SUM('4. Átadott p.eszk.'!D66)</f>
        <v>678344</v>
      </c>
      <c r="F129" s="393">
        <f t="shared" si="15"/>
        <v>4497</v>
      </c>
      <c r="G129" s="29">
        <f>SUM('4. Átadott p.eszk.'!F66)</f>
        <v>682841</v>
      </c>
      <c r="H129" s="393">
        <f t="shared" si="15"/>
        <v>7091</v>
      </c>
      <c r="I129" s="29">
        <f>SUM('4. Átadott p.eszk.'!H66)</f>
        <v>689932</v>
      </c>
      <c r="J129" s="393">
        <f t="shared" si="15"/>
        <v>0</v>
      </c>
      <c r="K129" s="29">
        <f>SUM('4. Átadott p.eszk.'!J66)</f>
        <v>689932</v>
      </c>
      <c r="L129" s="29">
        <f>SUM('4. Átadott p.eszk.'!K66)</f>
        <v>689433</v>
      </c>
      <c r="M129" s="259">
        <f t="shared" si="14"/>
        <v>99.927674031643704</v>
      </c>
    </row>
    <row r="130" spans="1:13" ht="15.75" customHeight="1" x14ac:dyDescent="0.25">
      <c r="A130" s="14"/>
      <c r="B130" s="423" t="s">
        <v>753</v>
      </c>
      <c r="C130" s="421">
        <v>0</v>
      </c>
      <c r="D130" s="29">
        <f>18177+61715</f>
        <v>79892</v>
      </c>
      <c r="E130" s="29">
        <f>18177-18177+61715+15087-1554+308-3430-635-2767+889-310-22355</f>
        <v>46948</v>
      </c>
      <c r="F130" s="393">
        <f t="shared" si="15"/>
        <v>2959</v>
      </c>
      <c r="G130" s="29">
        <f>(18177-18177+61715+15087-1554+308-3430-635-2767+889-310-22355)+328+3882-837-924+2100-3000+1410</f>
        <v>49907</v>
      </c>
      <c r="H130" s="393">
        <f t="shared" si="15"/>
        <v>32527</v>
      </c>
      <c r="I130" s="29">
        <f>((18177-18177+61715+15087-1554+308-3430-635-2767+889-310-22355)+328+3882-837-924+2100-3000+1410)+1200+1650+507+23650-20000-20597+21956+24161</f>
        <v>82434</v>
      </c>
      <c r="J130" s="393">
        <f t="shared" si="15"/>
        <v>1765</v>
      </c>
      <c r="K130" s="29">
        <f>((18177-18177+61715+15087-1554+308-3430-635-2767+889-310-22355)+328+3882-837-924+2100-3000+1410)+1200+1650+507+23650-20000-20597+21956+24161+3415-1650</f>
        <v>84199</v>
      </c>
      <c r="L130" s="29">
        <v>0</v>
      </c>
      <c r="M130" s="259">
        <f t="shared" si="14"/>
        <v>0</v>
      </c>
    </row>
    <row r="131" spans="1:13" ht="15.75" customHeight="1" x14ac:dyDescent="0.25">
      <c r="A131" s="14"/>
      <c r="B131" s="423" t="s">
        <v>649</v>
      </c>
      <c r="C131" s="421">
        <v>2143</v>
      </c>
      <c r="D131" s="29">
        <f>1500</f>
        <v>1500</v>
      </c>
      <c r="E131" s="29">
        <f>1500</f>
        <v>1500</v>
      </c>
      <c r="F131" s="393">
        <f t="shared" si="15"/>
        <v>0</v>
      </c>
      <c r="G131" s="29">
        <f>1500</f>
        <v>1500</v>
      </c>
      <c r="H131" s="393">
        <f t="shared" si="15"/>
        <v>-450</v>
      </c>
      <c r="I131" s="29">
        <f>1500-450</f>
        <v>1050</v>
      </c>
      <c r="J131" s="393">
        <f t="shared" si="15"/>
        <v>0</v>
      </c>
      <c r="K131" s="29">
        <f>1500-450</f>
        <v>1050</v>
      </c>
      <c r="L131" s="29">
        <v>1049</v>
      </c>
      <c r="M131" s="259">
        <f t="shared" si="14"/>
        <v>99.904761904761912</v>
      </c>
    </row>
    <row r="132" spans="1:13" ht="15.75" customHeight="1" x14ac:dyDescent="0.25">
      <c r="A132" s="14"/>
      <c r="B132" s="423" t="s">
        <v>650</v>
      </c>
      <c r="C132" s="421">
        <v>12843</v>
      </c>
      <c r="D132" s="29">
        <v>15430</v>
      </c>
      <c r="E132" s="29">
        <f>15430</f>
        <v>15430</v>
      </c>
      <c r="F132" s="393">
        <f t="shared" si="15"/>
        <v>0</v>
      </c>
      <c r="G132" s="29">
        <v>15430</v>
      </c>
      <c r="H132" s="393">
        <f t="shared" si="15"/>
        <v>0</v>
      </c>
      <c r="I132" s="29">
        <v>15430</v>
      </c>
      <c r="J132" s="393">
        <f t="shared" si="15"/>
        <v>0</v>
      </c>
      <c r="K132" s="29">
        <v>15430</v>
      </c>
      <c r="L132" s="29">
        <v>15429</v>
      </c>
      <c r="M132" s="259">
        <f t="shared" si="14"/>
        <v>99.993519118600133</v>
      </c>
    </row>
    <row r="133" spans="1:13" s="260" customFormat="1" ht="27.75" customHeight="1" x14ac:dyDescent="0.2">
      <c r="A133" s="383"/>
      <c r="B133" s="431" t="s">
        <v>759</v>
      </c>
      <c r="C133" s="412">
        <v>0</v>
      </c>
      <c r="D133" s="294">
        <v>0</v>
      </c>
      <c r="E133" s="294">
        <v>1554</v>
      </c>
      <c r="F133" s="393">
        <f t="shared" si="15"/>
        <v>0</v>
      </c>
      <c r="G133" s="294">
        <v>1554</v>
      </c>
      <c r="H133" s="393">
        <f t="shared" si="15"/>
        <v>0</v>
      </c>
      <c r="I133" s="294">
        <v>1554</v>
      </c>
      <c r="J133" s="393">
        <f t="shared" si="15"/>
        <v>0</v>
      </c>
      <c r="K133" s="294">
        <v>1554</v>
      </c>
      <c r="L133" s="294">
        <v>1553</v>
      </c>
      <c r="M133" s="259">
        <f t="shared" si="14"/>
        <v>99.935649935649934</v>
      </c>
    </row>
    <row r="134" spans="1:13" ht="17.25" customHeight="1" x14ac:dyDescent="0.25">
      <c r="A134" s="14" t="s">
        <v>160</v>
      </c>
      <c r="B134" s="427" t="s">
        <v>272</v>
      </c>
      <c r="C134" s="420">
        <f t="shared" ref="C134:L134" si="16">SUM(C135)</f>
        <v>19597</v>
      </c>
      <c r="D134" s="39">
        <f t="shared" si="16"/>
        <v>21664</v>
      </c>
      <c r="E134" s="39">
        <f t="shared" si="16"/>
        <v>21664</v>
      </c>
      <c r="F134" s="393">
        <f t="shared" si="15"/>
        <v>0</v>
      </c>
      <c r="G134" s="39">
        <f t="shared" si="16"/>
        <v>21664</v>
      </c>
      <c r="H134" s="393">
        <f t="shared" si="15"/>
        <v>0</v>
      </c>
      <c r="I134" s="39">
        <f t="shared" si="16"/>
        <v>21664</v>
      </c>
      <c r="J134" s="393">
        <f t="shared" si="15"/>
        <v>0</v>
      </c>
      <c r="K134" s="39">
        <f t="shared" si="16"/>
        <v>21664</v>
      </c>
      <c r="L134" s="39">
        <f t="shared" si="16"/>
        <v>21664</v>
      </c>
      <c r="M134" s="259">
        <f t="shared" si="14"/>
        <v>100</v>
      </c>
    </row>
    <row r="135" spans="1:13" ht="15" customHeight="1" x14ac:dyDescent="0.25">
      <c r="A135" s="14"/>
      <c r="B135" s="432" t="s">
        <v>299</v>
      </c>
      <c r="C135" s="420">
        <f>SUM(C137)+C136</f>
        <v>19597</v>
      </c>
      <c r="D135" s="39">
        <f>SUM(D137)+D136</f>
        <v>21664</v>
      </c>
      <c r="E135" s="39">
        <f>SUM(E137)+E136</f>
        <v>21664</v>
      </c>
      <c r="F135" s="393">
        <f t="shared" si="15"/>
        <v>0</v>
      </c>
      <c r="G135" s="39">
        <f>SUM(G137)+G136</f>
        <v>21664</v>
      </c>
      <c r="H135" s="393">
        <f t="shared" si="15"/>
        <v>0</v>
      </c>
      <c r="I135" s="39">
        <f>SUM(I137)+I136</f>
        <v>21664</v>
      </c>
      <c r="J135" s="393">
        <f t="shared" si="15"/>
        <v>0</v>
      </c>
      <c r="K135" s="39">
        <f>SUM(K137)+K136</f>
        <v>21664</v>
      </c>
      <c r="L135" s="39">
        <f>SUM(L137)+L136</f>
        <v>21664</v>
      </c>
      <c r="M135" s="259">
        <f t="shared" si="14"/>
        <v>100</v>
      </c>
    </row>
    <row r="136" spans="1:13" ht="15" hidden="1" customHeight="1" x14ac:dyDescent="0.2">
      <c r="A136" s="14" t="s">
        <v>621</v>
      </c>
      <c r="B136" s="8" t="s">
        <v>622</v>
      </c>
      <c r="C136" s="188"/>
      <c r="D136" s="13">
        <v>0</v>
      </c>
      <c r="E136" s="13">
        <v>0</v>
      </c>
      <c r="F136" s="393">
        <f t="shared" si="15"/>
        <v>0</v>
      </c>
      <c r="G136" s="13">
        <v>0</v>
      </c>
      <c r="H136" s="393">
        <f t="shared" si="15"/>
        <v>0</v>
      </c>
      <c r="I136" s="13">
        <v>0</v>
      </c>
      <c r="J136" s="393">
        <f t="shared" si="15"/>
        <v>0</v>
      </c>
      <c r="K136" s="13">
        <v>0</v>
      </c>
      <c r="L136" s="13">
        <v>0</v>
      </c>
      <c r="M136" s="259" t="e">
        <f t="shared" si="14"/>
        <v>#DIV/0!</v>
      </c>
    </row>
    <row r="137" spans="1:13" ht="17.25" customHeight="1" thickBot="1" x14ac:dyDescent="0.3">
      <c r="A137" s="14" t="s">
        <v>305</v>
      </c>
      <c r="B137" s="423" t="s">
        <v>309</v>
      </c>
      <c r="C137" s="421">
        <v>19597</v>
      </c>
      <c r="D137" s="349">
        <v>21664</v>
      </c>
      <c r="E137" s="349">
        <v>21664</v>
      </c>
      <c r="F137" s="393">
        <f t="shared" si="15"/>
        <v>0</v>
      </c>
      <c r="G137" s="349">
        <v>21664</v>
      </c>
      <c r="H137" s="393">
        <f t="shared" si="15"/>
        <v>0</v>
      </c>
      <c r="I137" s="349">
        <v>21664</v>
      </c>
      <c r="J137" s="393">
        <f t="shared" si="15"/>
        <v>0</v>
      </c>
      <c r="K137" s="349">
        <v>21664</v>
      </c>
      <c r="L137" s="349">
        <v>21664</v>
      </c>
      <c r="M137" s="259">
        <f t="shared" si="14"/>
        <v>100</v>
      </c>
    </row>
    <row r="138" spans="1:13" ht="15" hidden="1" customHeight="1" x14ac:dyDescent="0.25">
      <c r="A138" s="14"/>
      <c r="B138" s="152" t="s">
        <v>301</v>
      </c>
      <c r="C138" s="413"/>
      <c r="D138" s="39"/>
      <c r="E138" s="39"/>
      <c r="F138" s="39"/>
      <c r="G138" s="39"/>
      <c r="H138" s="39"/>
      <c r="I138" s="39"/>
      <c r="J138" s="39"/>
      <c r="K138" s="39"/>
      <c r="L138" s="39"/>
      <c r="M138" s="259" t="e">
        <f t="shared" si="14"/>
        <v>#DIV/0!</v>
      </c>
    </row>
    <row r="139" spans="1:13" ht="15" hidden="1" customHeight="1" thickBot="1" x14ac:dyDescent="0.3">
      <c r="A139" s="21"/>
      <c r="B139" s="149" t="s">
        <v>302</v>
      </c>
      <c r="C139" s="414"/>
      <c r="D139" s="136"/>
      <c r="E139" s="136"/>
      <c r="F139" s="136"/>
      <c r="G139" s="136"/>
      <c r="H139" s="136"/>
      <c r="I139" s="136"/>
      <c r="J139" s="136"/>
      <c r="K139" s="136"/>
      <c r="L139" s="136"/>
      <c r="M139" s="259" t="e">
        <f t="shared" si="14"/>
        <v>#DIV/0!</v>
      </c>
    </row>
    <row r="140" spans="1:13" ht="21.75" customHeight="1" thickBot="1" x14ac:dyDescent="0.4">
      <c r="A140" s="178"/>
      <c r="B140" s="179" t="s">
        <v>27</v>
      </c>
      <c r="C140" s="418">
        <f>SUM(C117+C134)</f>
        <v>1452399</v>
      </c>
      <c r="D140" s="143">
        <f>SUM(D117+D134)</f>
        <v>1810520</v>
      </c>
      <c r="E140" s="143">
        <f>SUM(E117+E134)</f>
        <v>1803287</v>
      </c>
      <c r="F140" s="394">
        <f>G140-E140</f>
        <v>10397</v>
      </c>
      <c r="G140" s="143">
        <f>SUM(G117+G134)</f>
        <v>1813684</v>
      </c>
      <c r="H140" s="394">
        <f>I140-G140</f>
        <v>-151244</v>
      </c>
      <c r="I140" s="143">
        <f>SUM(I117+I134)</f>
        <v>1662440</v>
      </c>
      <c r="J140" s="394">
        <f>K140-I140</f>
        <v>3415</v>
      </c>
      <c r="K140" s="143">
        <f>SUM(K117+K134)</f>
        <v>1665855</v>
      </c>
      <c r="L140" s="143">
        <f>SUM(L117+L134)</f>
        <v>1432883</v>
      </c>
      <c r="M140" s="259">
        <f t="shared" si="14"/>
        <v>86.014869241320525</v>
      </c>
    </row>
    <row r="141" spans="1:13" ht="15.75" hidden="1" customHeight="1" x14ac:dyDescent="0.2">
      <c r="B141" s="82" t="s">
        <v>425</v>
      </c>
      <c r="C141" s="26"/>
      <c r="D141" s="7">
        <f>SUM(D8-D118-D121-D124-D129-D127-D137+D130)</f>
        <v>149627</v>
      </c>
      <c r="E141" s="7">
        <f>SUM(E8-E118-E121-E124-E129-E127-E137+E130)</f>
        <v>107148</v>
      </c>
      <c r="F141" s="7"/>
      <c r="G141" s="215" t="e">
        <f>SUM(G8-G118-G121-G124-G129-G127+'8.Önk.'!#REF!+'8.Önk.'!#REF!+'8.Önk.'!#REF!+'8.Önk.'!J74)</f>
        <v>#REF!</v>
      </c>
      <c r="H141" s="7"/>
      <c r="I141" s="215" t="e">
        <f>SUM(I8-I118-I121-I124-I129-I127+'8.Önk.'!#REF!+'8.Önk.'!#REF!+'8.Önk.'!#REF!+'8.Önk.'!K74)</f>
        <v>#REF!</v>
      </c>
      <c r="J141" s="7"/>
      <c r="K141" s="215"/>
      <c r="L141" s="215" t="e">
        <f>SUM(L8-L118-L121-L124-L129-L127+'8.Önk.'!#REF!+'8.Önk.'!#REF!+'8.Önk.'!#REF!+'8.Önk.'!L74)</f>
        <v>#REF!</v>
      </c>
      <c r="M141" s="2"/>
    </row>
    <row r="142" spans="1:13" ht="15.75" hidden="1" customHeight="1" x14ac:dyDescent="0.2">
      <c r="B142" s="82" t="s">
        <v>478</v>
      </c>
      <c r="C142" s="26"/>
      <c r="D142" s="7">
        <f>SUM('8.Önk.'!X155)</f>
        <v>19822</v>
      </c>
      <c r="E142" s="7">
        <f>SUM('8.Önk.'!R155)</f>
        <v>0</v>
      </c>
      <c r="F142" s="7"/>
      <c r="G142" s="215"/>
      <c r="H142" s="7"/>
      <c r="I142" s="215"/>
      <c r="J142" s="7"/>
      <c r="K142" s="215"/>
      <c r="L142" s="215"/>
      <c r="M142" s="2"/>
    </row>
    <row r="143" spans="1:13" ht="15.75" hidden="1" customHeight="1" x14ac:dyDescent="0.2">
      <c r="B143" s="82" t="s">
        <v>479</v>
      </c>
      <c r="C143" s="26"/>
      <c r="D143" s="7" t="e">
        <f>SUM('8.Önk.'!#REF!+'8.Önk.'!#REF!)</f>
        <v>#REF!</v>
      </c>
      <c r="E143" s="7" t="e">
        <f>SUM('8.Önk.'!BH118+'8.Önk.'!#REF!)</f>
        <v>#REF!</v>
      </c>
      <c r="F143" s="7"/>
      <c r="G143" s="215"/>
      <c r="H143" s="7"/>
      <c r="I143" s="215"/>
      <c r="J143" s="7"/>
      <c r="K143" s="215"/>
      <c r="L143" s="215"/>
      <c r="M143" s="2"/>
    </row>
    <row r="144" spans="1:13" ht="15.75" hidden="1" customHeight="1" x14ac:dyDescent="0.2">
      <c r="B144" s="82" t="s">
        <v>483</v>
      </c>
      <c r="C144" s="26"/>
      <c r="D144" s="278" t="e">
        <f>SUM(D141+D142+D143)</f>
        <v>#REF!</v>
      </c>
      <c r="E144" s="278" t="e">
        <f>SUM(E141+E142+E143)</f>
        <v>#REF!</v>
      </c>
      <c r="F144" s="278"/>
      <c r="G144" s="215"/>
      <c r="H144" s="278"/>
      <c r="I144" s="215"/>
      <c r="J144" s="278"/>
      <c r="K144" s="215"/>
      <c r="L144" s="215"/>
      <c r="M144" s="2"/>
    </row>
    <row r="145" spans="2:13" ht="15.75" customHeight="1" x14ac:dyDescent="0.2">
      <c r="D145" s="7"/>
      <c r="E145" s="2"/>
      <c r="F145" s="2"/>
      <c r="G145" s="82"/>
      <c r="H145" s="2"/>
      <c r="I145" s="2"/>
      <c r="J145" s="2"/>
      <c r="K145" s="2"/>
      <c r="L145" s="2"/>
      <c r="M145" s="2"/>
    </row>
    <row r="146" spans="2:13" ht="15.75" customHeight="1" x14ac:dyDescent="0.2">
      <c r="D146" s="2"/>
      <c r="E146" s="2"/>
      <c r="F146" s="2"/>
      <c r="G146" s="82"/>
      <c r="H146" s="2"/>
      <c r="I146" s="2"/>
      <c r="J146" s="2"/>
      <c r="K146" s="2"/>
      <c r="L146" s="2"/>
      <c r="M146" s="2"/>
    </row>
    <row r="147" spans="2:13" ht="15.75" customHeight="1" x14ac:dyDescent="0.2">
      <c r="D147" s="2"/>
      <c r="E147" s="2"/>
      <c r="F147" s="2"/>
      <c r="G147" s="82"/>
      <c r="H147" s="2"/>
      <c r="I147" s="2"/>
      <c r="J147" s="2"/>
      <c r="K147" s="2"/>
      <c r="L147" s="2"/>
      <c r="M147" s="2"/>
    </row>
    <row r="148" spans="2:13" ht="15.75" customHeight="1" x14ac:dyDescent="0.2">
      <c r="D148" s="2"/>
      <c r="E148" s="2"/>
      <c r="F148" s="2"/>
      <c r="G148" s="82"/>
      <c r="H148" s="2"/>
      <c r="I148" s="2"/>
      <c r="J148" s="2"/>
      <c r="K148" s="2"/>
      <c r="L148" s="2"/>
      <c r="M148" s="2"/>
    </row>
    <row r="149" spans="2:13" ht="15.75" customHeight="1" x14ac:dyDescent="0.2">
      <c r="B149" s="2"/>
      <c r="C149" s="26"/>
      <c r="D149" s="2"/>
      <c r="E149" s="2"/>
      <c r="F149" s="2"/>
      <c r="G149" s="82"/>
      <c r="H149" s="2"/>
      <c r="I149" s="2"/>
      <c r="J149" s="2"/>
      <c r="K149" s="2"/>
      <c r="L149" s="2"/>
      <c r="M149" s="2"/>
    </row>
    <row r="150" spans="2:13" ht="15.75" customHeight="1" x14ac:dyDescent="0.2">
      <c r="B150" s="2"/>
      <c r="C150" s="26"/>
      <c r="D150" s="2"/>
      <c r="E150" s="2"/>
      <c r="F150" s="2"/>
      <c r="G150" s="82"/>
      <c r="H150" s="2"/>
      <c r="I150" s="2"/>
      <c r="J150" s="2"/>
      <c r="K150" s="2"/>
      <c r="L150" s="2"/>
      <c r="M150" s="2"/>
    </row>
    <row r="151" spans="2:13" ht="15.75" customHeight="1" x14ac:dyDescent="0.2">
      <c r="B151" s="2"/>
      <c r="C151" s="26"/>
      <c r="D151" s="2"/>
      <c r="E151" s="2"/>
      <c r="F151" s="2"/>
      <c r="G151" s="82"/>
      <c r="H151" s="2"/>
      <c r="I151" s="2"/>
      <c r="J151" s="2"/>
      <c r="K151" s="2"/>
      <c r="L151" s="2"/>
      <c r="M151" s="2"/>
    </row>
    <row r="152" spans="2:13" ht="15.75" customHeight="1" x14ac:dyDescent="0.2">
      <c r="B152" s="2"/>
      <c r="C152" s="26"/>
      <c r="D152" s="2"/>
      <c r="E152" s="2"/>
      <c r="F152" s="2"/>
      <c r="G152" s="82"/>
      <c r="H152" s="2"/>
      <c r="I152" s="2"/>
      <c r="J152" s="2"/>
      <c r="K152" s="2"/>
      <c r="L152" s="2"/>
      <c r="M152" s="2"/>
    </row>
    <row r="153" spans="2:13" ht="15.75" customHeight="1" x14ac:dyDescent="0.2">
      <c r="B153" s="2"/>
      <c r="C153" s="26"/>
      <c r="D153" s="2"/>
      <c r="E153" s="2"/>
      <c r="F153" s="2"/>
      <c r="G153" s="82"/>
      <c r="H153" s="2"/>
      <c r="I153" s="2"/>
      <c r="J153" s="2"/>
      <c r="K153" s="2"/>
      <c r="L153" s="2"/>
      <c r="M153" s="2"/>
    </row>
    <row r="154" spans="2:13" ht="15.75" customHeight="1" x14ac:dyDescent="0.2">
      <c r="B154" s="2"/>
      <c r="C154" s="26"/>
      <c r="D154" s="2"/>
      <c r="E154" s="2"/>
      <c r="F154" s="2"/>
      <c r="G154" s="82"/>
      <c r="H154" s="2"/>
      <c r="I154" s="2"/>
      <c r="J154" s="2"/>
      <c r="K154" s="2"/>
      <c r="L154" s="2"/>
      <c r="M154" s="2"/>
    </row>
    <row r="155" spans="2:13" ht="15.75" customHeight="1" x14ac:dyDescent="0.2">
      <c r="B155" s="2"/>
      <c r="C155" s="26"/>
      <c r="D155" s="2"/>
      <c r="E155" s="2"/>
      <c r="F155" s="2"/>
      <c r="G155" s="82"/>
      <c r="H155" s="2"/>
      <c r="I155" s="2"/>
      <c r="J155" s="2"/>
      <c r="K155" s="2"/>
      <c r="L155" s="2"/>
      <c r="M155" s="2"/>
    </row>
    <row r="156" spans="2:13" ht="15.75" customHeight="1" x14ac:dyDescent="0.2">
      <c r="B156" s="2"/>
      <c r="C156" s="26"/>
      <c r="D156" s="2"/>
      <c r="E156" s="2"/>
      <c r="F156" s="2"/>
      <c r="G156" s="82"/>
      <c r="H156" s="2"/>
      <c r="I156" s="2"/>
      <c r="J156" s="2"/>
      <c r="K156" s="2"/>
      <c r="L156" s="2"/>
      <c r="M156" s="2"/>
    </row>
    <row r="157" spans="2:13" ht="15.75" customHeight="1" x14ac:dyDescent="0.2">
      <c r="B157" s="2"/>
      <c r="C157" s="26"/>
      <c r="D157" s="2"/>
      <c r="E157" s="2"/>
      <c r="F157" s="2"/>
      <c r="G157" s="82"/>
      <c r="H157" s="2"/>
      <c r="I157" s="2"/>
      <c r="J157" s="2"/>
      <c r="K157" s="2"/>
      <c r="L157" s="2"/>
      <c r="M157" s="2"/>
    </row>
    <row r="158" spans="2:13" ht="15.75" customHeight="1" x14ac:dyDescent="0.2">
      <c r="B158" s="2"/>
      <c r="C158" s="26"/>
      <c r="D158" s="2"/>
      <c r="E158" s="2"/>
      <c r="F158" s="2"/>
      <c r="G158" s="82"/>
      <c r="H158" s="2"/>
      <c r="I158" s="2"/>
      <c r="J158" s="2"/>
      <c r="K158" s="2"/>
      <c r="L158" s="2"/>
      <c r="M158" s="2"/>
    </row>
    <row r="159" spans="2:13" ht="15.75" customHeight="1" x14ac:dyDescent="0.2">
      <c r="B159" s="2"/>
      <c r="C159" s="26"/>
      <c r="D159" s="2"/>
      <c r="E159" s="2"/>
      <c r="F159" s="2"/>
      <c r="G159" s="82"/>
      <c r="H159" s="2"/>
      <c r="I159" s="2"/>
      <c r="J159" s="2"/>
      <c r="K159" s="2"/>
      <c r="L159" s="2"/>
      <c r="M159" s="2"/>
    </row>
    <row r="160" spans="2:13" ht="15.75" customHeight="1" x14ac:dyDescent="0.2">
      <c r="B160" s="2"/>
      <c r="C160" s="26"/>
      <c r="D160" s="2"/>
      <c r="E160" s="2"/>
      <c r="F160" s="2"/>
      <c r="G160" s="82"/>
      <c r="H160" s="2"/>
      <c r="I160" s="2"/>
      <c r="J160" s="2"/>
      <c r="K160" s="2"/>
      <c r="L160" s="2"/>
      <c r="M160" s="2"/>
    </row>
    <row r="161" spans="2:13" ht="15.75" customHeight="1" x14ac:dyDescent="0.2">
      <c r="B161" s="2"/>
      <c r="C161" s="26"/>
      <c r="D161" s="2"/>
      <c r="E161" s="2"/>
      <c r="F161" s="2"/>
      <c r="G161" s="82"/>
      <c r="H161" s="2"/>
      <c r="I161" s="2"/>
      <c r="J161" s="2"/>
      <c r="K161" s="2"/>
      <c r="L161" s="2"/>
      <c r="M161" s="2"/>
    </row>
    <row r="162" spans="2:13" ht="15.75" customHeight="1" x14ac:dyDescent="0.2">
      <c r="B162" s="2"/>
      <c r="C162" s="26"/>
      <c r="D162" s="2"/>
      <c r="E162" s="2"/>
      <c r="F162" s="2"/>
      <c r="G162" s="82"/>
      <c r="H162" s="2"/>
      <c r="I162" s="2"/>
      <c r="J162" s="2"/>
      <c r="K162" s="2"/>
      <c r="L162" s="2"/>
      <c r="M162" s="2"/>
    </row>
    <row r="163" spans="2:13" ht="15.75" customHeight="1" x14ac:dyDescent="0.2">
      <c r="B163" s="2"/>
      <c r="C163" s="26"/>
      <c r="D163" s="2"/>
      <c r="E163" s="2"/>
      <c r="F163" s="2"/>
      <c r="G163" s="82"/>
      <c r="H163" s="2"/>
      <c r="I163" s="2"/>
      <c r="J163" s="2"/>
      <c r="K163" s="2"/>
      <c r="L163" s="2"/>
      <c r="M163" s="2"/>
    </row>
    <row r="164" spans="2:13" ht="15.75" customHeight="1" x14ac:dyDescent="0.2">
      <c r="B164" s="2"/>
      <c r="C164" s="26"/>
      <c r="D164" s="2"/>
      <c r="E164" s="2"/>
      <c r="F164" s="2"/>
      <c r="G164" s="82"/>
      <c r="H164" s="2"/>
      <c r="I164" s="2"/>
      <c r="J164" s="2"/>
      <c r="K164" s="2"/>
      <c r="L164" s="2"/>
      <c r="M164" s="2"/>
    </row>
    <row r="165" spans="2:13" ht="15.75" customHeight="1" x14ac:dyDescent="0.2">
      <c r="B165" s="2"/>
      <c r="C165" s="26"/>
      <c r="D165" s="2"/>
      <c r="E165" s="2"/>
      <c r="F165" s="2"/>
      <c r="G165" s="82"/>
      <c r="H165" s="2"/>
      <c r="I165" s="2"/>
      <c r="J165" s="2"/>
      <c r="K165" s="2"/>
      <c r="L165" s="2"/>
      <c r="M165" s="2"/>
    </row>
    <row r="166" spans="2:13" ht="15.75" customHeight="1" x14ac:dyDescent="0.2">
      <c r="B166" s="2"/>
      <c r="C166" s="26"/>
      <c r="D166" s="2"/>
      <c r="E166" s="2"/>
      <c r="F166" s="2"/>
      <c r="G166" s="82"/>
      <c r="H166" s="2"/>
      <c r="I166" s="2"/>
      <c r="J166" s="2"/>
      <c r="K166" s="2"/>
      <c r="L166" s="2"/>
      <c r="M166" s="2"/>
    </row>
    <row r="167" spans="2:13" ht="15.75" customHeight="1" x14ac:dyDescent="0.2">
      <c r="B167" s="2"/>
      <c r="C167" s="26"/>
      <c r="D167" s="2"/>
      <c r="E167" s="2"/>
      <c r="F167" s="2"/>
      <c r="G167" s="82"/>
      <c r="H167" s="2"/>
      <c r="I167" s="2"/>
      <c r="J167" s="2"/>
      <c r="K167" s="2"/>
      <c r="L167" s="2"/>
      <c r="M167" s="2"/>
    </row>
    <row r="168" spans="2:13" ht="15.75" customHeight="1" x14ac:dyDescent="0.2">
      <c r="B168" s="2"/>
      <c r="C168" s="26"/>
      <c r="D168" s="2"/>
      <c r="E168" s="2"/>
      <c r="F168" s="2"/>
      <c r="G168" s="82"/>
      <c r="H168" s="2"/>
      <c r="I168" s="2"/>
      <c r="J168" s="2"/>
      <c r="K168" s="2"/>
      <c r="L168" s="2"/>
      <c r="M168" s="2"/>
    </row>
    <row r="169" spans="2:13" ht="15.75" customHeight="1" x14ac:dyDescent="0.2">
      <c r="B169" s="2"/>
      <c r="C169" s="26"/>
      <c r="D169" s="2"/>
      <c r="E169" s="2"/>
      <c r="F169" s="2"/>
      <c r="G169" s="82"/>
      <c r="H169" s="2"/>
      <c r="I169" s="2"/>
      <c r="J169" s="2"/>
      <c r="K169" s="2"/>
      <c r="L169" s="2"/>
      <c r="M169" s="2"/>
    </row>
    <row r="170" spans="2:13" ht="15.75" customHeight="1" x14ac:dyDescent="0.2">
      <c r="B170" s="2"/>
      <c r="C170" s="26"/>
      <c r="D170" s="2"/>
      <c r="E170" s="2"/>
      <c r="F170" s="2"/>
      <c r="G170" s="82"/>
      <c r="H170" s="2"/>
      <c r="I170" s="2"/>
      <c r="J170" s="2"/>
      <c r="K170" s="2"/>
      <c r="L170" s="2"/>
      <c r="M170" s="2"/>
    </row>
    <row r="171" spans="2:13" ht="15.75" customHeight="1" x14ac:dyDescent="0.2">
      <c r="B171" s="2"/>
      <c r="C171" s="26"/>
      <c r="D171" s="2"/>
      <c r="E171" s="2"/>
      <c r="F171" s="2"/>
      <c r="G171" s="82"/>
      <c r="H171" s="2"/>
      <c r="I171" s="2"/>
      <c r="J171" s="2"/>
      <c r="K171" s="2"/>
      <c r="L171" s="2"/>
      <c r="M171" s="2"/>
    </row>
    <row r="172" spans="2:13" ht="15.75" customHeight="1" x14ac:dyDescent="0.2">
      <c r="B172" s="2"/>
      <c r="C172" s="26"/>
      <c r="D172" s="2"/>
      <c r="E172" s="2"/>
      <c r="F172" s="2"/>
      <c r="G172" s="82"/>
      <c r="H172" s="2"/>
      <c r="I172" s="2"/>
      <c r="J172" s="2"/>
      <c r="K172" s="2"/>
      <c r="L172" s="2"/>
      <c r="M172" s="2"/>
    </row>
    <row r="173" spans="2:13" ht="15.75" customHeight="1" x14ac:dyDescent="0.2">
      <c r="B173" s="2"/>
      <c r="C173" s="26"/>
      <c r="D173" s="2"/>
      <c r="E173" s="2"/>
      <c r="F173" s="2"/>
      <c r="G173" s="82"/>
      <c r="H173" s="2"/>
      <c r="I173" s="2"/>
      <c r="J173" s="2"/>
      <c r="K173" s="2"/>
      <c r="L173" s="2"/>
      <c r="M173" s="2"/>
    </row>
    <row r="174" spans="2:13" ht="15.75" customHeight="1" x14ac:dyDescent="0.2">
      <c r="B174" s="2"/>
      <c r="C174" s="26"/>
      <c r="D174" s="2"/>
      <c r="E174" s="2"/>
      <c r="F174" s="2"/>
      <c r="G174" s="82"/>
      <c r="H174" s="2"/>
      <c r="I174" s="2"/>
      <c r="J174" s="2"/>
      <c r="K174" s="2"/>
      <c r="L174" s="2"/>
      <c r="M174" s="2"/>
    </row>
    <row r="175" spans="2:13" ht="15.75" customHeight="1" x14ac:dyDescent="0.2">
      <c r="B175" s="2"/>
      <c r="C175" s="26"/>
      <c r="D175" s="2"/>
      <c r="E175" s="2"/>
      <c r="F175" s="2"/>
      <c r="G175" s="82"/>
      <c r="H175" s="2"/>
      <c r="I175" s="2"/>
      <c r="J175" s="2"/>
      <c r="K175" s="2"/>
      <c r="L175" s="2"/>
      <c r="M175" s="2"/>
    </row>
    <row r="176" spans="2:13" ht="15.75" customHeight="1" x14ac:dyDescent="0.2">
      <c r="B176" s="2"/>
      <c r="C176" s="26"/>
      <c r="D176" s="2"/>
      <c r="E176" s="2"/>
      <c r="F176" s="2"/>
      <c r="G176" s="82"/>
      <c r="H176" s="2"/>
      <c r="I176" s="2"/>
      <c r="J176" s="2"/>
      <c r="K176" s="2"/>
      <c r="L176" s="2"/>
      <c r="M176" s="2"/>
    </row>
    <row r="177" spans="2:13" ht="15.75" customHeight="1" x14ac:dyDescent="0.2">
      <c r="B177" s="2"/>
      <c r="C177" s="26"/>
      <c r="D177" s="2"/>
      <c r="E177" s="2"/>
      <c r="F177" s="2"/>
      <c r="G177" s="82"/>
      <c r="H177" s="2"/>
      <c r="I177" s="2"/>
      <c r="J177" s="2"/>
      <c r="K177" s="2"/>
      <c r="L177" s="2"/>
      <c r="M177" s="2"/>
    </row>
    <row r="178" spans="2:13" ht="15.75" customHeight="1" x14ac:dyDescent="0.2">
      <c r="B178" s="2"/>
      <c r="C178" s="26"/>
      <c r="D178" s="2"/>
      <c r="E178" s="2"/>
      <c r="F178" s="2"/>
      <c r="G178" s="82"/>
      <c r="H178" s="2"/>
      <c r="I178" s="2"/>
      <c r="J178" s="2"/>
      <c r="K178" s="2"/>
      <c r="L178" s="2"/>
      <c r="M178" s="2"/>
    </row>
    <row r="179" spans="2:13" ht="15.75" customHeight="1" x14ac:dyDescent="0.2">
      <c r="B179" s="2"/>
      <c r="C179" s="26"/>
      <c r="D179" s="2"/>
      <c r="E179" s="2"/>
      <c r="F179" s="2"/>
      <c r="G179" s="82"/>
      <c r="H179" s="2"/>
      <c r="I179" s="2"/>
      <c r="J179" s="2"/>
      <c r="K179" s="2"/>
      <c r="L179" s="2"/>
      <c r="M179" s="2"/>
    </row>
    <row r="180" spans="2:13" ht="15.75" customHeight="1" x14ac:dyDescent="0.2">
      <c r="B180" s="2"/>
      <c r="C180" s="26"/>
      <c r="D180" s="2"/>
      <c r="E180" s="2"/>
      <c r="F180" s="2"/>
      <c r="G180" s="82"/>
      <c r="H180" s="2"/>
      <c r="I180" s="2"/>
      <c r="J180" s="2"/>
      <c r="K180" s="2"/>
      <c r="L180" s="2"/>
      <c r="M180" s="2"/>
    </row>
    <row r="181" spans="2:13" ht="15.75" customHeight="1" x14ac:dyDescent="0.2">
      <c r="B181" s="2"/>
      <c r="C181" s="26"/>
      <c r="D181" s="2"/>
      <c r="E181" s="2"/>
      <c r="F181" s="2"/>
      <c r="G181" s="82"/>
      <c r="H181" s="2"/>
      <c r="I181" s="2"/>
      <c r="J181" s="2"/>
      <c r="K181" s="2"/>
      <c r="L181" s="2"/>
      <c r="M181" s="2"/>
    </row>
    <row r="182" spans="2:13" ht="15.75" customHeight="1" x14ac:dyDescent="0.2">
      <c r="B182" s="2"/>
      <c r="C182" s="26"/>
      <c r="D182" s="2"/>
      <c r="E182" s="2"/>
      <c r="F182" s="2"/>
      <c r="G182" s="82"/>
      <c r="H182" s="2"/>
      <c r="I182" s="2"/>
      <c r="J182" s="2"/>
      <c r="K182" s="2"/>
      <c r="L182" s="2"/>
      <c r="M182" s="2"/>
    </row>
    <row r="183" spans="2:13" ht="15.75" customHeight="1" x14ac:dyDescent="0.2">
      <c r="B183" s="2"/>
      <c r="C183" s="26"/>
      <c r="D183" s="2"/>
      <c r="E183" s="2"/>
      <c r="F183" s="2"/>
      <c r="G183" s="82"/>
      <c r="H183" s="2"/>
      <c r="I183" s="2"/>
      <c r="J183" s="2"/>
      <c r="K183" s="2"/>
      <c r="L183" s="2"/>
      <c r="M183" s="2"/>
    </row>
    <row r="184" spans="2:13" ht="15.75" customHeight="1" x14ac:dyDescent="0.2">
      <c r="B184" s="2"/>
      <c r="C184" s="26"/>
      <c r="D184" s="2"/>
      <c r="E184" s="2"/>
      <c r="F184" s="2"/>
      <c r="G184" s="82"/>
      <c r="H184" s="2"/>
      <c r="I184" s="2"/>
      <c r="J184" s="2"/>
      <c r="K184" s="2"/>
      <c r="L184" s="2"/>
      <c r="M184" s="2"/>
    </row>
    <row r="185" spans="2:13" ht="15.75" customHeight="1" x14ac:dyDescent="0.2">
      <c r="B185" s="2"/>
      <c r="C185" s="26"/>
      <c r="D185" s="2"/>
      <c r="E185" s="2"/>
      <c r="F185" s="2"/>
      <c r="G185" s="82"/>
      <c r="H185" s="2"/>
      <c r="I185" s="2"/>
      <c r="J185" s="2"/>
      <c r="K185" s="2"/>
      <c r="L185" s="2"/>
      <c r="M185" s="2"/>
    </row>
    <row r="186" spans="2:13" ht="15.75" customHeight="1" x14ac:dyDescent="0.2">
      <c r="B186" s="2"/>
      <c r="C186" s="26"/>
      <c r="D186" s="2"/>
      <c r="E186" s="2"/>
      <c r="F186" s="2"/>
      <c r="G186" s="82"/>
      <c r="H186" s="2"/>
      <c r="I186" s="2"/>
      <c r="J186" s="2"/>
      <c r="K186" s="2"/>
      <c r="L186" s="2"/>
      <c r="M186" s="2"/>
    </row>
    <row r="187" spans="2:13" ht="15.75" customHeight="1" x14ac:dyDescent="0.2">
      <c r="B187" s="2"/>
      <c r="C187" s="26"/>
      <c r="D187" s="2"/>
      <c r="E187" s="2"/>
      <c r="F187" s="2"/>
      <c r="G187" s="82"/>
      <c r="H187" s="2"/>
      <c r="I187" s="2"/>
      <c r="J187" s="2"/>
      <c r="K187" s="2"/>
      <c r="L187" s="2"/>
      <c r="M187" s="2"/>
    </row>
    <row r="188" spans="2:13" ht="15.75" customHeight="1" x14ac:dyDescent="0.2">
      <c r="B188" s="2"/>
      <c r="C188" s="26"/>
      <c r="D188" s="2"/>
      <c r="E188" s="2"/>
      <c r="F188" s="2"/>
      <c r="G188" s="82"/>
      <c r="H188" s="2"/>
      <c r="I188" s="2"/>
      <c r="J188" s="2"/>
      <c r="K188" s="2"/>
      <c r="L188" s="2"/>
      <c r="M188" s="2"/>
    </row>
    <row r="189" spans="2:13" ht="15.75" customHeight="1" x14ac:dyDescent="0.2">
      <c r="B189" s="2"/>
      <c r="C189" s="26"/>
      <c r="D189" s="2"/>
      <c r="E189" s="2"/>
      <c r="F189" s="2"/>
      <c r="G189" s="82"/>
      <c r="H189" s="2"/>
      <c r="I189" s="2"/>
      <c r="J189" s="2"/>
      <c r="K189" s="2"/>
      <c r="L189" s="2"/>
      <c r="M189" s="2"/>
    </row>
    <row r="190" spans="2:13" ht="15.75" customHeight="1" x14ac:dyDescent="0.2">
      <c r="B190" s="2"/>
      <c r="C190" s="26"/>
      <c r="D190" s="2"/>
      <c r="E190" s="2"/>
      <c r="F190" s="2"/>
      <c r="G190" s="82"/>
      <c r="H190" s="2"/>
      <c r="I190" s="2"/>
      <c r="J190" s="2"/>
      <c r="K190" s="2"/>
      <c r="L190" s="2"/>
      <c r="M190" s="2"/>
    </row>
    <row r="191" spans="2:13" ht="15.75" customHeight="1" x14ac:dyDescent="0.2">
      <c r="B191" s="2"/>
      <c r="C191" s="26"/>
      <c r="D191" s="2"/>
      <c r="E191" s="2"/>
      <c r="F191" s="2"/>
      <c r="G191" s="82"/>
      <c r="H191" s="2"/>
      <c r="I191" s="2"/>
      <c r="J191" s="2"/>
      <c r="K191" s="2"/>
      <c r="L191" s="2"/>
      <c r="M191" s="2"/>
    </row>
    <row r="192" spans="2:13" ht="15.75" customHeight="1" x14ac:dyDescent="0.2">
      <c r="B192" s="2"/>
      <c r="C192" s="26"/>
      <c r="D192" s="2"/>
      <c r="E192" s="2"/>
      <c r="F192" s="2"/>
      <c r="G192" s="82"/>
      <c r="H192" s="2"/>
      <c r="I192" s="2"/>
      <c r="J192" s="2"/>
      <c r="K192" s="2"/>
      <c r="L192" s="2"/>
      <c r="M192" s="2"/>
    </row>
    <row r="193" spans="2:13" ht="15.75" customHeight="1" x14ac:dyDescent="0.2">
      <c r="B193" s="2"/>
      <c r="C193" s="26"/>
      <c r="D193" s="2"/>
      <c r="E193" s="2"/>
      <c r="F193" s="2"/>
      <c r="G193" s="82"/>
      <c r="H193" s="2"/>
      <c r="I193" s="2"/>
      <c r="J193" s="2"/>
      <c r="K193" s="2"/>
      <c r="L193" s="2"/>
      <c r="M193" s="2"/>
    </row>
    <row r="194" spans="2:13" ht="15.75" customHeight="1" x14ac:dyDescent="0.2">
      <c r="B194" s="2"/>
      <c r="C194" s="26"/>
      <c r="D194" s="2"/>
      <c r="E194" s="2"/>
      <c r="F194" s="2"/>
      <c r="G194" s="82"/>
      <c r="H194" s="2"/>
      <c r="I194" s="2"/>
      <c r="J194" s="2"/>
      <c r="K194" s="2"/>
      <c r="L194" s="2"/>
      <c r="M194" s="2"/>
    </row>
    <row r="195" spans="2:13" ht="15.75" customHeight="1" x14ac:dyDescent="0.2">
      <c r="B195" s="2"/>
      <c r="C195" s="26"/>
      <c r="D195" s="2"/>
      <c r="E195" s="2"/>
      <c r="F195" s="2"/>
      <c r="G195" s="82"/>
      <c r="H195" s="2"/>
      <c r="I195" s="2"/>
      <c r="J195" s="2"/>
      <c r="K195" s="2"/>
      <c r="L195" s="2"/>
      <c r="M195" s="2"/>
    </row>
    <row r="196" spans="2:13" ht="15.75" customHeight="1" x14ac:dyDescent="0.2">
      <c r="B196" s="2"/>
      <c r="C196" s="26"/>
      <c r="D196" s="2"/>
      <c r="E196" s="2"/>
      <c r="F196" s="2"/>
      <c r="G196" s="82"/>
      <c r="H196" s="2"/>
      <c r="I196" s="2"/>
      <c r="J196" s="2"/>
      <c r="K196" s="2"/>
      <c r="L196" s="2"/>
      <c r="M196" s="2"/>
    </row>
    <row r="197" spans="2:13" ht="15.75" customHeight="1" x14ac:dyDescent="0.2">
      <c r="B197" s="2"/>
      <c r="C197" s="26"/>
      <c r="D197" s="2"/>
      <c r="E197" s="2"/>
      <c r="F197" s="2"/>
      <c r="G197" s="82"/>
      <c r="H197" s="2"/>
      <c r="I197" s="2"/>
      <c r="J197" s="2"/>
      <c r="K197" s="2"/>
      <c r="L197" s="2"/>
      <c r="M197" s="2"/>
    </row>
    <row r="198" spans="2:13" ht="15.75" customHeight="1" x14ac:dyDescent="0.2">
      <c r="B198" s="2"/>
      <c r="C198" s="26"/>
      <c r="D198" s="2"/>
      <c r="E198" s="2"/>
      <c r="F198" s="2"/>
      <c r="G198" s="82"/>
      <c r="H198" s="2"/>
      <c r="I198" s="2"/>
      <c r="J198" s="2"/>
      <c r="K198" s="2"/>
      <c r="L198" s="2"/>
      <c r="M198" s="2"/>
    </row>
    <row r="199" spans="2:13" ht="15.75" customHeight="1" x14ac:dyDescent="0.2">
      <c r="B199" s="2"/>
      <c r="C199" s="26"/>
      <c r="D199" s="2"/>
      <c r="E199" s="2"/>
      <c r="F199" s="2"/>
      <c r="G199" s="82"/>
      <c r="H199" s="2"/>
      <c r="I199" s="2"/>
      <c r="J199" s="2"/>
      <c r="K199" s="2"/>
      <c r="L199" s="2"/>
      <c r="M199" s="2"/>
    </row>
    <row r="200" spans="2:13" ht="15.75" customHeight="1" x14ac:dyDescent="0.2">
      <c r="B200" s="2"/>
      <c r="C200" s="26"/>
      <c r="D200" s="2"/>
      <c r="E200" s="2"/>
      <c r="F200" s="2"/>
      <c r="G200" s="82"/>
      <c r="H200" s="2"/>
      <c r="I200" s="2"/>
      <c r="J200" s="2"/>
      <c r="K200" s="2"/>
      <c r="L200" s="2"/>
      <c r="M200" s="2"/>
    </row>
    <row r="201" spans="2:13" ht="15.75" customHeight="1" x14ac:dyDescent="0.2">
      <c r="B201" s="2"/>
      <c r="C201" s="26"/>
      <c r="D201" s="2"/>
      <c r="E201" s="2"/>
      <c r="F201" s="2"/>
      <c r="G201" s="82"/>
      <c r="H201" s="2"/>
      <c r="I201" s="2"/>
      <c r="J201" s="2"/>
      <c r="K201" s="2"/>
      <c r="L201" s="2"/>
      <c r="M201" s="2"/>
    </row>
    <row r="202" spans="2:13" ht="15.75" customHeight="1" x14ac:dyDescent="0.2">
      <c r="B202" s="2"/>
      <c r="C202" s="26"/>
      <c r="D202" s="2"/>
      <c r="E202" s="2"/>
      <c r="F202" s="2"/>
      <c r="G202" s="82"/>
      <c r="H202" s="2"/>
      <c r="I202" s="2"/>
      <c r="J202" s="2"/>
      <c r="K202" s="2"/>
      <c r="L202" s="2"/>
      <c r="M202" s="2"/>
    </row>
    <row r="203" spans="2:13" ht="15.75" customHeight="1" x14ac:dyDescent="0.2">
      <c r="B203" s="2"/>
      <c r="C203" s="26"/>
      <c r="D203" s="2"/>
      <c r="E203" s="2"/>
      <c r="F203" s="2"/>
      <c r="G203" s="82"/>
      <c r="H203" s="2"/>
      <c r="I203" s="2"/>
      <c r="J203" s="2"/>
      <c r="K203" s="2"/>
      <c r="L203" s="2"/>
      <c r="M203" s="2"/>
    </row>
    <row r="204" spans="2:13" ht="15.75" customHeight="1" x14ac:dyDescent="0.2">
      <c r="B204" s="2"/>
      <c r="C204" s="26"/>
      <c r="D204" s="2"/>
      <c r="E204" s="2"/>
      <c r="F204" s="2"/>
      <c r="G204" s="82"/>
      <c r="H204" s="2"/>
      <c r="I204" s="2"/>
      <c r="J204" s="2"/>
      <c r="K204" s="2"/>
      <c r="L204" s="2"/>
      <c r="M204" s="2"/>
    </row>
    <row r="205" spans="2:13" ht="15.75" customHeight="1" x14ac:dyDescent="0.2">
      <c r="B205" s="2"/>
      <c r="C205" s="26"/>
      <c r="D205" s="2"/>
      <c r="E205" s="2"/>
      <c r="F205" s="2"/>
      <c r="G205" s="82"/>
      <c r="H205" s="2"/>
      <c r="I205" s="2"/>
      <c r="J205" s="2"/>
      <c r="K205" s="2"/>
      <c r="L205" s="2"/>
      <c r="M205" s="2"/>
    </row>
    <row r="206" spans="2:13" ht="15.75" customHeight="1" x14ac:dyDescent="0.2">
      <c r="B206" s="2"/>
      <c r="C206" s="26"/>
      <c r="D206" s="2"/>
      <c r="E206" s="2"/>
      <c r="F206" s="2"/>
      <c r="G206" s="82"/>
      <c r="H206" s="2"/>
      <c r="I206" s="2"/>
      <c r="J206" s="2"/>
      <c r="K206" s="2"/>
      <c r="L206" s="2"/>
      <c r="M206" s="2"/>
    </row>
    <row r="207" spans="2:13" ht="15.75" customHeight="1" x14ac:dyDescent="0.2">
      <c r="B207" s="2"/>
      <c r="C207" s="26"/>
      <c r="D207" s="2"/>
      <c r="E207" s="2"/>
      <c r="F207" s="2"/>
      <c r="G207" s="82"/>
      <c r="H207" s="2"/>
      <c r="I207" s="2"/>
      <c r="J207" s="2"/>
      <c r="K207" s="2"/>
      <c r="L207" s="2"/>
      <c r="M207" s="2"/>
    </row>
    <row r="208" spans="2:13" ht="15.75" customHeight="1" x14ac:dyDescent="0.2">
      <c r="B208" s="2"/>
      <c r="C208" s="26"/>
      <c r="D208" s="2"/>
      <c r="E208" s="2"/>
      <c r="F208" s="2"/>
      <c r="G208" s="82"/>
      <c r="H208" s="2"/>
      <c r="I208" s="2"/>
      <c r="J208" s="2"/>
      <c r="K208" s="2"/>
      <c r="L208" s="2"/>
      <c r="M208" s="2"/>
    </row>
    <row r="209" spans="2:13" ht="15.75" customHeight="1" x14ac:dyDescent="0.2">
      <c r="B209" s="2"/>
      <c r="C209" s="26"/>
      <c r="D209" s="2"/>
      <c r="E209" s="2"/>
      <c r="F209" s="2"/>
      <c r="G209" s="82"/>
      <c r="H209" s="2"/>
      <c r="I209" s="2"/>
      <c r="J209" s="2"/>
      <c r="K209" s="2"/>
      <c r="L209" s="2"/>
      <c r="M209" s="2"/>
    </row>
    <row r="210" spans="2:13" ht="15.75" customHeight="1" x14ac:dyDescent="0.2">
      <c r="B210" s="2"/>
      <c r="C210" s="26"/>
      <c r="D210" s="2"/>
      <c r="E210" s="2"/>
      <c r="F210" s="2"/>
      <c r="G210" s="82"/>
      <c r="H210" s="2"/>
      <c r="I210" s="2"/>
      <c r="J210" s="2"/>
      <c r="K210" s="2"/>
      <c r="L210" s="2"/>
      <c r="M210" s="2"/>
    </row>
    <row r="211" spans="2:13" ht="15.75" customHeight="1" x14ac:dyDescent="0.2">
      <c r="B211" s="2"/>
      <c r="C211" s="26"/>
      <c r="D211" s="2"/>
      <c r="E211" s="2"/>
      <c r="F211" s="2"/>
      <c r="G211" s="82"/>
      <c r="H211" s="2"/>
      <c r="I211" s="2"/>
      <c r="J211" s="2"/>
      <c r="K211" s="2"/>
      <c r="L211" s="2"/>
      <c r="M211" s="2"/>
    </row>
    <row r="212" spans="2:13" ht="15.75" customHeight="1" x14ac:dyDescent="0.2">
      <c r="B212" s="2"/>
      <c r="C212" s="26"/>
      <c r="D212" s="2"/>
      <c r="E212" s="2"/>
      <c r="F212" s="2"/>
      <c r="G212" s="82"/>
      <c r="H212" s="2"/>
      <c r="I212" s="2"/>
      <c r="J212" s="2"/>
      <c r="K212" s="2"/>
      <c r="L212" s="2"/>
      <c r="M212" s="2"/>
    </row>
    <row r="213" spans="2:13" ht="15.75" customHeight="1" x14ac:dyDescent="0.2">
      <c r="B213" s="2"/>
      <c r="C213" s="26"/>
      <c r="D213" s="2"/>
      <c r="E213" s="2"/>
      <c r="F213" s="2"/>
      <c r="G213" s="82"/>
      <c r="H213" s="2"/>
      <c r="I213" s="2"/>
      <c r="J213" s="2"/>
      <c r="K213" s="2"/>
      <c r="L213" s="2"/>
      <c r="M213" s="2"/>
    </row>
    <row r="214" spans="2:13" ht="15.75" customHeight="1" x14ac:dyDescent="0.2">
      <c r="B214" s="2"/>
      <c r="C214" s="26"/>
      <c r="D214" s="2"/>
      <c r="E214" s="2"/>
      <c r="F214" s="2"/>
      <c r="G214" s="82"/>
      <c r="H214" s="2"/>
      <c r="I214" s="2"/>
      <c r="J214" s="2"/>
      <c r="K214" s="2"/>
      <c r="L214" s="2"/>
      <c r="M214" s="2"/>
    </row>
    <row r="215" spans="2:13" ht="15.75" customHeight="1" x14ac:dyDescent="0.2">
      <c r="B215" s="2"/>
      <c r="C215" s="26"/>
      <c r="D215" s="2"/>
      <c r="E215" s="2"/>
      <c r="F215" s="2"/>
      <c r="G215" s="82"/>
      <c r="H215" s="2"/>
      <c r="I215" s="2"/>
      <c r="J215" s="2"/>
      <c r="K215" s="2"/>
      <c r="L215" s="2"/>
      <c r="M215" s="2"/>
    </row>
    <row r="216" spans="2:13" ht="15.75" customHeight="1" x14ac:dyDescent="0.2">
      <c r="B216" s="2"/>
      <c r="C216" s="26"/>
      <c r="D216" s="2"/>
      <c r="E216" s="2"/>
      <c r="F216" s="2"/>
      <c r="G216" s="82"/>
      <c r="H216" s="2"/>
      <c r="I216" s="2"/>
      <c r="J216" s="2"/>
      <c r="K216" s="2"/>
      <c r="L216" s="2"/>
      <c r="M216" s="2"/>
    </row>
    <row r="217" spans="2:13" ht="15.75" customHeight="1" x14ac:dyDescent="0.2">
      <c r="B217" s="2"/>
      <c r="C217" s="26"/>
      <c r="D217" s="2"/>
      <c r="E217" s="2"/>
      <c r="F217" s="2"/>
      <c r="G217" s="82"/>
      <c r="H217" s="2"/>
      <c r="I217" s="2"/>
      <c r="J217" s="2"/>
      <c r="K217" s="2"/>
      <c r="L217" s="2"/>
      <c r="M217" s="2"/>
    </row>
    <row r="218" spans="2:13" ht="15.75" customHeight="1" x14ac:dyDescent="0.2">
      <c r="B218" s="2"/>
      <c r="C218" s="26"/>
      <c r="D218" s="2"/>
      <c r="E218" s="2"/>
      <c r="F218" s="2"/>
      <c r="G218" s="82"/>
      <c r="H218" s="2"/>
      <c r="I218" s="2"/>
      <c r="J218" s="2"/>
      <c r="K218" s="2"/>
      <c r="L218" s="2"/>
      <c r="M218" s="2"/>
    </row>
    <row r="219" spans="2:13" ht="15.75" customHeight="1" x14ac:dyDescent="0.2">
      <c r="B219" s="2"/>
      <c r="C219" s="26"/>
      <c r="D219" s="2"/>
      <c r="E219" s="2"/>
      <c r="F219" s="2"/>
      <c r="G219" s="82"/>
      <c r="H219" s="2"/>
      <c r="I219" s="2"/>
      <c r="J219" s="2"/>
      <c r="K219" s="2"/>
      <c r="L219" s="2"/>
      <c r="M219" s="2"/>
    </row>
    <row r="220" spans="2:13" ht="15.75" customHeight="1" x14ac:dyDescent="0.2">
      <c r="B220" s="2"/>
      <c r="C220" s="26"/>
      <c r="D220" s="2"/>
      <c r="E220" s="2"/>
      <c r="F220" s="2"/>
      <c r="G220" s="82"/>
      <c r="H220" s="2"/>
      <c r="I220" s="2"/>
      <c r="J220" s="2"/>
      <c r="K220" s="2"/>
      <c r="L220" s="2"/>
      <c r="M220" s="2"/>
    </row>
    <row r="221" spans="2:13" ht="15.75" customHeight="1" x14ac:dyDescent="0.2">
      <c r="B221" s="2"/>
      <c r="C221" s="26"/>
      <c r="D221" s="2"/>
      <c r="E221" s="2"/>
      <c r="F221" s="2"/>
      <c r="G221" s="82"/>
      <c r="H221" s="2"/>
      <c r="I221" s="2"/>
      <c r="J221" s="2"/>
      <c r="K221" s="2"/>
      <c r="L221" s="2"/>
      <c r="M221" s="2"/>
    </row>
    <row r="222" spans="2:13" ht="15.75" customHeight="1" x14ac:dyDescent="0.2">
      <c r="B222" s="2"/>
      <c r="C222" s="26"/>
      <c r="D222" s="2"/>
      <c r="E222" s="2"/>
      <c r="F222" s="2"/>
      <c r="G222" s="82"/>
      <c r="H222" s="2"/>
      <c r="I222" s="2"/>
      <c r="J222" s="2"/>
      <c r="K222" s="2"/>
      <c r="L222" s="2"/>
      <c r="M222" s="2"/>
    </row>
    <row r="223" spans="2:13" ht="15.75" customHeight="1" x14ac:dyDescent="0.2">
      <c r="B223" s="2"/>
      <c r="C223" s="26"/>
      <c r="D223" s="2"/>
      <c r="E223" s="2"/>
      <c r="F223" s="2"/>
      <c r="G223" s="82"/>
      <c r="H223" s="2"/>
      <c r="I223" s="2"/>
      <c r="J223" s="2"/>
      <c r="K223" s="2"/>
      <c r="L223" s="2"/>
      <c r="M223" s="2"/>
    </row>
    <row r="224" spans="2:13" ht="15.75" customHeight="1" x14ac:dyDescent="0.2">
      <c r="B224" s="2"/>
      <c r="C224" s="26"/>
      <c r="D224" s="2"/>
      <c r="E224" s="2"/>
      <c r="F224" s="2"/>
      <c r="G224" s="82"/>
      <c r="H224" s="2"/>
      <c r="I224" s="2"/>
      <c r="J224" s="2"/>
      <c r="K224" s="2"/>
      <c r="L224" s="2"/>
      <c r="M224" s="2"/>
    </row>
    <row r="225" spans="2:13" ht="15.75" customHeight="1" x14ac:dyDescent="0.2">
      <c r="B225" s="2"/>
      <c r="C225" s="26"/>
      <c r="D225" s="2"/>
      <c r="E225" s="2"/>
      <c r="F225" s="2"/>
      <c r="G225" s="82"/>
      <c r="H225" s="2"/>
      <c r="I225" s="2"/>
      <c r="J225" s="2"/>
      <c r="K225" s="2"/>
      <c r="L225" s="2"/>
      <c r="M225" s="2"/>
    </row>
    <row r="226" spans="2:13" ht="15.75" customHeight="1" x14ac:dyDescent="0.2">
      <c r="B226" s="2"/>
      <c r="C226" s="26"/>
      <c r="D226" s="2"/>
      <c r="E226" s="2"/>
      <c r="F226" s="2"/>
      <c r="G226" s="82"/>
      <c r="H226" s="2"/>
      <c r="I226" s="2"/>
      <c r="J226" s="2"/>
      <c r="K226" s="2"/>
      <c r="L226" s="2"/>
      <c r="M226" s="2"/>
    </row>
    <row r="227" spans="2:13" ht="15.75" customHeight="1" x14ac:dyDescent="0.2">
      <c r="B227" s="2"/>
      <c r="C227" s="26"/>
      <c r="D227" s="2"/>
      <c r="E227" s="2"/>
      <c r="F227" s="2"/>
      <c r="G227" s="82"/>
      <c r="H227" s="2"/>
      <c r="I227" s="2"/>
      <c r="J227" s="2"/>
      <c r="K227" s="2"/>
      <c r="L227" s="2"/>
      <c r="M227" s="2"/>
    </row>
    <row r="228" spans="2:13" ht="15.75" customHeight="1" x14ac:dyDescent="0.2">
      <c r="B228" s="2"/>
      <c r="C228" s="26"/>
      <c r="D228" s="27"/>
      <c r="E228" s="27"/>
      <c r="F228" s="27"/>
      <c r="G228" s="215"/>
      <c r="H228" s="27"/>
      <c r="I228" s="27"/>
      <c r="J228" s="27"/>
      <c r="K228" s="27"/>
      <c r="L228" s="27"/>
      <c r="M228" s="2"/>
    </row>
    <row r="229" spans="2:13" ht="15.75" customHeight="1" x14ac:dyDescent="0.2">
      <c r="B229" s="2"/>
      <c r="C229" s="26"/>
      <c r="D229" s="27"/>
      <c r="E229" s="27"/>
      <c r="F229" s="27"/>
      <c r="G229" s="215"/>
      <c r="H229" s="27"/>
      <c r="I229" s="27"/>
      <c r="J229" s="27"/>
      <c r="K229" s="27"/>
      <c r="L229" s="27"/>
      <c r="M229" s="2"/>
    </row>
    <row r="230" spans="2:13" ht="15.75" customHeight="1" x14ac:dyDescent="0.2">
      <c r="B230" s="2"/>
      <c r="C230" s="26"/>
      <c r="D230" s="27"/>
      <c r="E230" s="27"/>
      <c r="F230" s="27"/>
      <c r="G230" s="215"/>
      <c r="H230" s="27"/>
      <c r="I230" s="27"/>
      <c r="J230" s="27"/>
      <c r="K230" s="27"/>
      <c r="L230" s="27"/>
      <c r="M230" s="2"/>
    </row>
    <row r="231" spans="2:13" ht="15.75" customHeight="1" x14ac:dyDescent="0.2">
      <c r="B231" s="2"/>
      <c r="C231" s="26"/>
      <c r="D231" s="27"/>
      <c r="E231" s="27"/>
      <c r="F231" s="27"/>
      <c r="G231" s="215"/>
      <c r="H231" s="27"/>
      <c r="I231" s="27"/>
      <c r="J231" s="27"/>
      <c r="K231" s="27"/>
      <c r="L231" s="27"/>
      <c r="M231" s="2"/>
    </row>
    <row r="232" spans="2:13" ht="15.75" customHeight="1" x14ac:dyDescent="0.2">
      <c r="B232" s="2"/>
      <c r="C232" s="26"/>
      <c r="D232" s="27"/>
      <c r="E232" s="27"/>
      <c r="F232" s="27"/>
      <c r="G232" s="215"/>
      <c r="H232" s="27"/>
      <c r="I232" s="27"/>
      <c r="J232" s="27"/>
      <c r="K232" s="27"/>
      <c r="L232" s="27"/>
      <c r="M232" s="2"/>
    </row>
    <row r="233" spans="2:13" ht="15.75" customHeight="1" x14ac:dyDescent="0.2">
      <c r="B233" s="2"/>
      <c r="C233" s="26"/>
      <c r="D233" s="27"/>
      <c r="E233" s="27"/>
      <c r="F233" s="27"/>
      <c r="G233" s="215"/>
      <c r="H233" s="27"/>
      <c r="I233" s="27"/>
      <c r="J233" s="27"/>
      <c r="K233" s="27"/>
      <c r="L233" s="27"/>
      <c r="M233" s="2"/>
    </row>
    <row r="234" spans="2:13" ht="15.75" customHeight="1" x14ac:dyDescent="0.2">
      <c r="B234" s="2"/>
      <c r="C234" s="26"/>
      <c r="D234" s="27"/>
      <c r="E234" s="27"/>
      <c r="F234" s="27"/>
      <c r="G234" s="215"/>
      <c r="H234" s="27"/>
      <c r="I234" s="27"/>
      <c r="J234" s="27"/>
      <c r="K234" s="27"/>
      <c r="L234" s="27"/>
      <c r="M234" s="2"/>
    </row>
    <row r="235" spans="2:13" ht="15.75" customHeight="1" x14ac:dyDescent="0.2">
      <c r="B235" s="2"/>
      <c r="C235" s="26"/>
      <c r="D235" s="27"/>
      <c r="E235" s="27"/>
      <c r="F235" s="27"/>
      <c r="G235" s="215"/>
      <c r="H235" s="27"/>
      <c r="I235" s="27"/>
      <c r="J235" s="27"/>
      <c r="K235" s="27"/>
      <c r="L235" s="27"/>
      <c r="M235" s="2"/>
    </row>
    <row r="236" spans="2:13" ht="15.75" customHeight="1" x14ac:dyDescent="0.2">
      <c r="B236" s="2"/>
      <c r="C236" s="26"/>
      <c r="D236" s="27"/>
      <c r="E236" s="27"/>
      <c r="F236" s="27"/>
      <c r="G236" s="215"/>
      <c r="H236" s="27"/>
      <c r="I236" s="27"/>
      <c r="J236" s="27"/>
      <c r="K236" s="27"/>
      <c r="L236" s="27"/>
      <c r="M236" s="2"/>
    </row>
    <row r="237" spans="2:13" ht="15.75" customHeight="1" x14ac:dyDescent="0.2">
      <c r="B237" s="2"/>
      <c r="C237" s="26"/>
      <c r="D237" s="27"/>
      <c r="E237" s="27"/>
      <c r="F237" s="27"/>
      <c r="G237" s="215"/>
      <c r="H237" s="27"/>
      <c r="I237" s="27"/>
      <c r="J237" s="27"/>
      <c r="K237" s="27"/>
      <c r="L237" s="27"/>
      <c r="M237" s="2"/>
    </row>
    <row r="238" spans="2:13" ht="15.75" customHeight="1" x14ac:dyDescent="0.2">
      <c r="B238" s="2"/>
      <c r="C238" s="26"/>
      <c r="D238" s="27"/>
      <c r="E238" s="27"/>
      <c r="F238" s="27"/>
      <c r="G238" s="215"/>
      <c r="H238" s="27"/>
      <c r="I238" s="27"/>
      <c r="J238" s="27"/>
      <c r="K238" s="27"/>
      <c r="L238" s="27"/>
      <c r="M238" s="2"/>
    </row>
    <row r="239" spans="2:13" ht="15.75" customHeight="1" x14ac:dyDescent="0.2">
      <c r="B239" s="2"/>
      <c r="C239" s="26"/>
      <c r="D239" s="27"/>
      <c r="E239" s="27"/>
      <c r="F239" s="27"/>
      <c r="G239" s="215"/>
      <c r="H239" s="27"/>
      <c r="I239" s="27"/>
      <c r="J239" s="27"/>
      <c r="K239" s="27"/>
      <c r="L239" s="27"/>
      <c r="M239" s="2"/>
    </row>
    <row r="240" spans="2:13" ht="15.75" customHeight="1" x14ac:dyDescent="0.2">
      <c r="B240" s="2"/>
      <c r="C240" s="26"/>
      <c r="D240" s="27"/>
      <c r="E240" s="27"/>
      <c r="F240" s="27"/>
      <c r="G240" s="215"/>
      <c r="H240" s="27"/>
      <c r="I240" s="27"/>
      <c r="J240" s="27"/>
      <c r="K240" s="27"/>
      <c r="L240" s="27"/>
      <c r="M240" s="2"/>
    </row>
    <row r="241" spans="2:13" ht="15.75" customHeight="1" x14ac:dyDescent="0.2">
      <c r="B241" s="2"/>
      <c r="C241" s="26"/>
      <c r="D241" s="27"/>
      <c r="E241" s="27"/>
      <c r="F241" s="27"/>
      <c r="G241" s="215"/>
      <c r="H241" s="27"/>
      <c r="I241" s="27"/>
      <c r="J241" s="27"/>
      <c r="K241" s="27"/>
      <c r="L241" s="27"/>
      <c r="M241" s="2"/>
    </row>
    <row r="242" spans="2:13" ht="15.75" customHeight="1" x14ac:dyDescent="0.2">
      <c r="B242" s="2"/>
      <c r="C242" s="26"/>
      <c r="D242" s="27"/>
      <c r="E242" s="27"/>
      <c r="F242" s="27"/>
      <c r="G242" s="215"/>
      <c r="H242" s="27"/>
      <c r="I242" s="27"/>
      <c r="J242" s="27"/>
      <c r="K242" s="27"/>
      <c r="L242" s="27"/>
      <c r="M242" s="2"/>
    </row>
    <row r="243" spans="2:13" ht="15.75" customHeight="1" x14ac:dyDescent="0.2">
      <c r="B243" s="2"/>
      <c r="C243" s="26"/>
      <c r="D243" s="27"/>
      <c r="E243" s="27"/>
      <c r="F243" s="27"/>
      <c r="G243" s="215"/>
      <c r="H243" s="27"/>
      <c r="I243" s="27"/>
      <c r="J243" s="27"/>
      <c r="K243" s="27"/>
      <c r="L243" s="27"/>
      <c r="M243" s="2"/>
    </row>
    <row r="244" spans="2:13" ht="15.75" customHeight="1" x14ac:dyDescent="0.2">
      <c r="B244" s="2"/>
      <c r="C244" s="26"/>
      <c r="D244" s="27"/>
      <c r="E244" s="27"/>
      <c r="F244" s="27"/>
      <c r="G244" s="215"/>
      <c r="H244" s="27"/>
      <c r="I244" s="27"/>
      <c r="J244" s="27"/>
      <c r="K244" s="27"/>
      <c r="L244" s="27"/>
      <c r="M244" s="2"/>
    </row>
    <row r="245" spans="2:13" ht="15.75" customHeight="1" x14ac:dyDescent="0.2">
      <c r="B245" s="2"/>
      <c r="C245" s="26"/>
      <c r="D245" s="27"/>
      <c r="E245" s="27"/>
      <c r="F245" s="27"/>
      <c r="G245" s="215"/>
      <c r="H245" s="27"/>
      <c r="I245" s="27"/>
      <c r="J245" s="27"/>
      <c r="K245" s="27"/>
      <c r="L245" s="27"/>
      <c r="M245" s="2"/>
    </row>
    <row r="246" spans="2:13" ht="15.75" customHeight="1" x14ac:dyDescent="0.2">
      <c r="B246" s="2"/>
      <c r="C246" s="26"/>
      <c r="D246" s="27"/>
      <c r="E246" s="27"/>
      <c r="F246" s="27"/>
      <c r="G246" s="215"/>
      <c r="H246" s="27"/>
      <c r="I246" s="27"/>
      <c r="J246" s="27"/>
      <c r="K246" s="27"/>
      <c r="L246" s="27"/>
      <c r="M246" s="2"/>
    </row>
    <row r="247" spans="2:13" ht="15.75" customHeight="1" x14ac:dyDescent="0.2">
      <c r="B247" s="2"/>
      <c r="C247" s="26"/>
      <c r="D247" s="27"/>
      <c r="E247" s="27"/>
      <c r="F247" s="27"/>
      <c r="G247" s="215"/>
      <c r="H247" s="27"/>
      <c r="I247" s="27"/>
      <c r="J247" s="27"/>
      <c r="K247" s="27"/>
      <c r="L247" s="27"/>
      <c r="M247" s="2"/>
    </row>
    <row r="248" spans="2:13" ht="15.75" customHeight="1" x14ac:dyDescent="0.2">
      <c r="B248" s="2"/>
      <c r="C248" s="26"/>
      <c r="D248" s="27"/>
      <c r="E248" s="27"/>
      <c r="F248" s="27"/>
      <c r="G248" s="215"/>
      <c r="H248" s="27"/>
      <c r="I248" s="27"/>
      <c r="J248" s="27"/>
      <c r="K248" s="27"/>
      <c r="L248" s="27"/>
      <c r="M248" s="2"/>
    </row>
    <row r="249" spans="2:13" ht="15.75" customHeight="1" x14ac:dyDescent="0.2">
      <c r="B249" s="2"/>
      <c r="C249" s="26"/>
      <c r="D249" s="27"/>
      <c r="E249" s="27"/>
      <c r="F249" s="27"/>
      <c r="G249" s="215"/>
      <c r="H249" s="27"/>
      <c r="I249" s="27"/>
      <c r="J249" s="27"/>
      <c r="K249" s="27"/>
      <c r="L249" s="27"/>
      <c r="M249" s="2"/>
    </row>
    <row r="250" spans="2:13" ht="15.75" customHeight="1" x14ac:dyDescent="0.2">
      <c r="B250" s="2"/>
      <c r="C250" s="26"/>
      <c r="D250" s="27"/>
      <c r="E250" s="27"/>
      <c r="F250" s="27"/>
      <c r="G250" s="215"/>
      <c r="H250" s="27"/>
      <c r="I250" s="27"/>
      <c r="J250" s="27"/>
      <c r="K250" s="27"/>
      <c r="L250" s="27"/>
      <c r="M250" s="2"/>
    </row>
    <row r="251" spans="2:13" ht="15.75" customHeight="1" x14ac:dyDescent="0.2">
      <c r="B251" s="2"/>
      <c r="C251" s="26"/>
      <c r="D251" s="27"/>
      <c r="E251" s="27"/>
      <c r="F251" s="27"/>
      <c r="G251" s="215"/>
      <c r="H251" s="27"/>
      <c r="I251" s="27"/>
      <c r="J251" s="27"/>
      <c r="K251" s="27"/>
      <c r="L251" s="27"/>
      <c r="M251" s="2"/>
    </row>
    <row r="252" spans="2:13" ht="15.75" customHeight="1" x14ac:dyDescent="0.2">
      <c r="B252" s="2"/>
      <c r="C252" s="26"/>
      <c r="D252" s="27"/>
      <c r="E252" s="27"/>
      <c r="F252" s="27"/>
      <c r="G252" s="215"/>
      <c r="H252" s="27"/>
      <c r="I252" s="27"/>
      <c r="J252" s="27"/>
      <c r="K252" s="27"/>
      <c r="L252" s="27"/>
      <c r="M252" s="2"/>
    </row>
    <row r="253" spans="2:13" ht="15.75" customHeight="1" x14ac:dyDescent="0.2">
      <c r="B253" s="2"/>
      <c r="C253" s="26"/>
      <c r="D253" s="27"/>
      <c r="E253" s="27"/>
      <c r="F253" s="27"/>
      <c r="G253" s="215"/>
      <c r="H253" s="27"/>
      <c r="I253" s="27"/>
      <c r="J253" s="27"/>
      <c r="K253" s="27"/>
      <c r="L253" s="27"/>
      <c r="M253" s="2"/>
    </row>
    <row r="254" spans="2:13" ht="15.75" customHeight="1" x14ac:dyDescent="0.2">
      <c r="B254" s="2"/>
      <c r="C254" s="26"/>
      <c r="D254" s="27"/>
      <c r="E254" s="27"/>
      <c r="F254" s="27"/>
      <c r="G254" s="215"/>
      <c r="H254" s="27"/>
      <c r="I254" s="27"/>
      <c r="J254" s="27"/>
      <c r="K254" s="27"/>
      <c r="L254" s="27"/>
      <c r="M254" s="2"/>
    </row>
    <row r="255" spans="2:13" ht="15.75" customHeight="1" x14ac:dyDescent="0.2">
      <c r="B255" s="2"/>
      <c r="C255" s="26"/>
      <c r="D255" s="27"/>
      <c r="E255" s="27"/>
      <c r="F255" s="27"/>
      <c r="G255" s="215"/>
      <c r="H255" s="27"/>
      <c r="I255" s="27"/>
      <c r="J255" s="27"/>
      <c r="K255" s="27"/>
      <c r="L255" s="27"/>
      <c r="M255" s="2"/>
    </row>
    <row r="256" spans="2:13" ht="15.75" customHeight="1" x14ac:dyDescent="0.2">
      <c r="B256" s="2"/>
      <c r="C256" s="26"/>
      <c r="D256" s="27"/>
      <c r="E256" s="27"/>
      <c r="F256" s="27"/>
      <c r="G256" s="215"/>
      <c r="H256" s="27"/>
      <c r="I256" s="27"/>
      <c r="J256" s="27"/>
      <c r="K256" s="27"/>
      <c r="L256" s="27"/>
      <c r="M256" s="2"/>
    </row>
    <row r="257" spans="2:13" ht="15.75" customHeight="1" x14ac:dyDescent="0.2">
      <c r="B257" s="2"/>
      <c r="C257" s="26"/>
      <c r="D257" s="27"/>
      <c r="E257" s="27"/>
      <c r="F257" s="27"/>
      <c r="G257" s="215"/>
      <c r="H257" s="27"/>
      <c r="I257" s="27"/>
      <c r="J257" s="27"/>
      <c r="K257" s="27"/>
      <c r="L257" s="27"/>
      <c r="M257" s="2"/>
    </row>
    <row r="258" spans="2:13" ht="15.75" customHeight="1" x14ac:dyDescent="0.2">
      <c r="B258" s="2"/>
      <c r="C258" s="26"/>
      <c r="D258" s="27"/>
      <c r="E258" s="27"/>
      <c r="F258" s="27"/>
      <c r="G258" s="215"/>
      <c r="H258" s="27"/>
      <c r="I258" s="27"/>
      <c r="J258" s="27"/>
      <c r="K258" s="27"/>
      <c r="L258" s="27"/>
      <c r="M258" s="2"/>
    </row>
    <row r="259" spans="2:13" ht="15.75" customHeight="1" x14ac:dyDescent="0.2">
      <c r="B259" s="2"/>
      <c r="C259" s="26"/>
      <c r="D259" s="27"/>
      <c r="E259" s="27"/>
      <c r="F259" s="27"/>
      <c r="G259" s="215"/>
      <c r="H259" s="27"/>
      <c r="I259" s="27"/>
      <c r="J259" s="27"/>
      <c r="K259" s="27"/>
      <c r="L259" s="27"/>
      <c r="M259" s="2"/>
    </row>
    <row r="260" spans="2:13" ht="15.75" customHeight="1" x14ac:dyDescent="0.2">
      <c r="B260" s="2"/>
      <c r="C260" s="26"/>
      <c r="D260" s="27"/>
      <c r="E260" s="27"/>
      <c r="F260" s="27"/>
      <c r="G260" s="215"/>
      <c r="H260" s="27"/>
      <c r="I260" s="27"/>
      <c r="J260" s="27"/>
      <c r="K260" s="27"/>
      <c r="L260" s="27"/>
      <c r="M260" s="2"/>
    </row>
    <row r="261" spans="2:13" ht="15.75" customHeight="1" x14ac:dyDescent="0.2">
      <c r="B261" s="2"/>
      <c r="C261" s="26"/>
      <c r="D261" s="27"/>
      <c r="E261" s="27"/>
      <c r="F261" s="27"/>
      <c r="G261" s="215"/>
      <c r="H261" s="27"/>
      <c r="I261" s="27"/>
      <c r="J261" s="27"/>
      <c r="K261" s="27"/>
      <c r="L261" s="27"/>
      <c r="M261" s="2"/>
    </row>
    <row r="262" spans="2:13" ht="15.75" customHeight="1" x14ac:dyDescent="0.2">
      <c r="B262" s="2"/>
      <c r="C262" s="26"/>
      <c r="D262" s="27"/>
      <c r="E262" s="27"/>
      <c r="F262" s="27"/>
      <c r="G262" s="215"/>
      <c r="H262" s="27"/>
      <c r="I262" s="27"/>
      <c r="J262" s="27"/>
      <c r="K262" s="27"/>
      <c r="L262" s="27"/>
      <c r="M262" s="2"/>
    </row>
    <row r="263" spans="2:13" ht="15.75" customHeight="1" x14ac:dyDescent="0.2">
      <c r="B263" s="2"/>
      <c r="C263" s="26"/>
      <c r="D263" s="27"/>
      <c r="E263" s="27"/>
      <c r="F263" s="27"/>
      <c r="G263" s="215"/>
      <c r="H263" s="27"/>
      <c r="I263" s="27"/>
      <c r="J263" s="27"/>
      <c r="K263" s="27"/>
      <c r="L263" s="27"/>
      <c r="M263" s="2"/>
    </row>
    <row r="264" spans="2:13" ht="15.75" customHeight="1" x14ac:dyDescent="0.2">
      <c r="B264" s="2"/>
      <c r="C264" s="26"/>
      <c r="D264" s="27"/>
      <c r="E264" s="27"/>
      <c r="F264" s="27"/>
      <c r="G264" s="215"/>
      <c r="H264" s="27"/>
      <c r="I264" s="27"/>
      <c r="J264" s="27"/>
      <c r="K264" s="27"/>
      <c r="L264" s="27"/>
      <c r="M264" s="2"/>
    </row>
    <row r="265" spans="2:13" ht="15.75" customHeight="1" x14ac:dyDescent="0.2">
      <c r="B265" s="2"/>
      <c r="C265" s="26"/>
      <c r="D265" s="27"/>
      <c r="E265" s="27"/>
      <c r="F265" s="27"/>
      <c r="G265" s="215"/>
      <c r="H265" s="27"/>
      <c r="I265" s="27"/>
      <c r="J265" s="27"/>
      <c r="K265" s="27"/>
      <c r="L265" s="27"/>
      <c r="M265" s="2"/>
    </row>
    <row r="266" spans="2:13" ht="15.75" customHeight="1" x14ac:dyDescent="0.2">
      <c r="B266" s="2"/>
      <c r="C266" s="26"/>
      <c r="D266" s="27"/>
      <c r="E266" s="27"/>
      <c r="F266" s="27"/>
      <c r="G266" s="215"/>
      <c r="H266" s="27"/>
      <c r="I266" s="27"/>
      <c r="J266" s="27"/>
      <c r="K266" s="27"/>
      <c r="L266" s="27"/>
      <c r="M266" s="2"/>
    </row>
    <row r="267" spans="2:13" ht="15.75" customHeight="1" x14ac:dyDescent="0.2">
      <c r="B267" s="2"/>
      <c r="C267" s="26"/>
      <c r="D267" s="27"/>
      <c r="E267" s="27"/>
      <c r="F267" s="27"/>
      <c r="G267" s="215"/>
      <c r="H267" s="27"/>
      <c r="I267" s="27"/>
      <c r="J267" s="27"/>
      <c r="K267" s="27"/>
      <c r="L267" s="27"/>
      <c r="M267" s="2"/>
    </row>
    <row r="268" spans="2:13" ht="15.75" customHeight="1" x14ac:dyDescent="0.2">
      <c r="B268" s="2"/>
      <c r="C268" s="26"/>
      <c r="D268" s="27"/>
      <c r="E268" s="27"/>
      <c r="F268" s="27"/>
      <c r="G268" s="215"/>
      <c r="H268" s="27"/>
      <c r="I268" s="27"/>
      <c r="J268" s="27"/>
      <c r="K268" s="27"/>
      <c r="L268" s="27"/>
      <c r="M268" s="2"/>
    </row>
    <row r="269" spans="2:13" ht="15.75" customHeight="1" x14ac:dyDescent="0.2">
      <c r="B269" s="2"/>
      <c r="C269" s="26"/>
      <c r="D269" s="27"/>
      <c r="E269" s="27"/>
      <c r="F269" s="27"/>
      <c r="G269" s="215"/>
      <c r="H269" s="27"/>
      <c r="I269" s="27"/>
      <c r="J269" s="27"/>
      <c r="K269" s="27"/>
      <c r="L269" s="27"/>
      <c r="M269" s="2"/>
    </row>
    <row r="270" spans="2:13" ht="15.75" customHeight="1" x14ac:dyDescent="0.2">
      <c r="B270" s="2"/>
      <c r="C270" s="26"/>
      <c r="D270" s="27"/>
      <c r="E270" s="27"/>
      <c r="F270" s="27"/>
      <c r="G270" s="215"/>
      <c r="H270" s="27"/>
      <c r="I270" s="27"/>
      <c r="J270" s="27"/>
      <c r="K270" s="27"/>
      <c r="L270" s="27"/>
      <c r="M270" s="2"/>
    </row>
    <row r="271" spans="2:13" ht="15.75" customHeight="1" x14ac:dyDescent="0.2">
      <c r="B271" s="2"/>
      <c r="C271" s="26"/>
      <c r="D271" s="27"/>
      <c r="E271" s="27"/>
      <c r="F271" s="27"/>
      <c r="G271" s="215"/>
      <c r="H271" s="27"/>
      <c r="I271" s="27"/>
      <c r="J271" s="27"/>
      <c r="K271" s="27"/>
      <c r="L271" s="27"/>
      <c r="M271" s="2"/>
    </row>
    <row r="272" spans="2:13" ht="15.75" customHeight="1" x14ac:dyDescent="0.2">
      <c r="B272" s="2"/>
      <c r="C272" s="26"/>
      <c r="D272" s="27"/>
      <c r="E272" s="27"/>
      <c r="F272" s="27"/>
      <c r="G272" s="215"/>
      <c r="H272" s="27"/>
      <c r="I272" s="27"/>
      <c r="J272" s="27"/>
      <c r="K272" s="27"/>
      <c r="L272" s="27"/>
      <c r="M272" s="2"/>
    </row>
    <row r="273" spans="2:13" ht="15.75" customHeight="1" x14ac:dyDescent="0.2">
      <c r="B273" s="2"/>
      <c r="C273" s="26"/>
      <c r="D273" s="27"/>
      <c r="E273" s="27"/>
      <c r="F273" s="27"/>
      <c r="G273" s="215"/>
      <c r="H273" s="27"/>
      <c r="I273" s="27"/>
      <c r="J273" s="27"/>
      <c r="K273" s="27"/>
      <c r="L273" s="27"/>
      <c r="M273" s="2"/>
    </row>
    <row r="274" spans="2:13" ht="15.75" customHeight="1" x14ac:dyDescent="0.2">
      <c r="B274" s="2"/>
      <c r="C274" s="26"/>
      <c r="D274" s="27"/>
      <c r="E274" s="27"/>
      <c r="F274" s="27"/>
      <c r="G274" s="215"/>
      <c r="H274" s="27"/>
      <c r="I274" s="27"/>
      <c r="J274" s="27"/>
      <c r="K274" s="27"/>
      <c r="L274" s="27"/>
      <c r="M274" s="2"/>
    </row>
    <row r="275" spans="2:13" ht="15.75" customHeight="1" x14ac:dyDescent="0.2">
      <c r="B275" s="2"/>
      <c r="C275" s="26"/>
      <c r="D275" s="27"/>
      <c r="E275" s="27"/>
      <c r="F275" s="27"/>
      <c r="G275" s="215"/>
      <c r="H275" s="27"/>
      <c r="I275" s="27"/>
      <c r="J275" s="27"/>
      <c r="K275" s="27"/>
      <c r="L275" s="27"/>
      <c r="M275" s="2"/>
    </row>
    <row r="276" spans="2:13" ht="15.75" customHeight="1" x14ac:dyDescent="0.2">
      <c r="B276" s="2"/>
      <c r="C276" s="26"/>
      <c r="D276" s="27"/>
      <c r="E276" s="27"/>
      <c r="F276" s="27"/>
      <c r="G276" s="215"/>
      <c r="H276" s="27"/>
      <c r="I276" s="27"/>
      <c r="J276" s="27"/>
      <c r="K276" s="27"/>
      <c r="L276" s="27"/>
      <c r="M276" s="2"/>
    </row>
    <row r="277" spans="2:13" ht="15.75" customHeight="1" x14ac:dyDescent="0.2">
      <c r="B277" s="2"/>
      <c r="C277" s="26"/>
      <c r="D277" s="27"/>
      <c r="E277" s="27"/>
      <c r="F277" s="27"/>
      <c r="G277" s="215"/>
      <c r="H277" s="27"/>
      <c r="I277" s="27"/>
      <c r="J277" s="27"/>
      <c r="K277" s="27"/>
      <c r="L277" s="27"/>
      <c r="M277" s="2"/>
    </row>
    <row r="278" spans="2:13" ht="15.75" customHeight="1" x14ac:dyDescent="0.2">
      <c r="B278" s="2"/>
      <c r="C278" s="26"/>
      <c r="D278" s="27"/>
      <c r="E278" s="27"/>
      <c r="F278" s="27"/>
      <c r="G278" s="215"/>
      <c r="H278" s="27"/>
      <c r="I278" s="27"/>
      <c r="J278" s="27"/>
      <c r="K278" s="27"/>
      <c r="L278" s="27"/>
      <c r="M278" s="2"/>
    </row>
    <row r="279" spans="2:13" ht="15.75" customHeight="1" x14ac:dyDescent="0.2">
      <c r="B279" s="2"/>
      <c r="C279" s="26"/>
      <c r="D279" s="27"/>
      <c r="E279" s="27"/>
      <c r="F279" s="27"/>
      <c r="G279" s="215"/>
      <c r="H279" s="27"/>
      <c r="I279" s="27"/>
      <c r="J279" s="27"/>
      <c r="K279" s="27"/>
      <c r="L279" s="27"/>
      <c r="M279" s="2"/>
    </row>
    <row r="280" spans="2:13" ht="15.75" customHeight="1" x14ac:dyDescent="0.2">
      <c r="B280" s="2"/>
      <c r="C280" s="26"/>
      <c r="D280" s="27"/>
      <c r="E280" s="27"/>
      <c r="F280" s="27"/>
      <c r="G280" s="215"/>
      <c r="H280" s="27"/>
      <c r="I280" s="27"/>
      <c r="J280" s="27"/>
      <c r="K280" s="27"/>
      <c r="L280" s="27"/>
      <c r="M280" s="2"/>
    </row>
    <row r="281" spans="2:13" ht="15.75" customHeight="1" x14ac:dyDescent="0.2">
      <c r="B281" s="2"/>
      <c r="C281" s="26"/>
      <c r="D281" s="27"/>
      <c r="E281" s="27"/>
      <c r="F281" s="27"/>
      <c r="G281" s="215"/>
      <c r="H281" s="27"/>
      <c r="I281" s="27"/>
      <c r="J281" s="27"/>
      <c r="K281" s="27"/>
      <c r="L281" s="27"/>
      <c r="M281" s="2"/>
    </row>
    <row r="282" spans="2:13" ht="15.75" customHeight="1" x14ac:dyDescent="0.2">
      <c r="B282" s="2"/>
      <c r="C282" s="26"/>
      <c r="D282" s="27"/>
      <c r="E282" s="27"/>
      <c r="F282" s="27"/>
      <c r="G282" s="215"/>
      <c r="H282" s="27"/>
      <c r="I282" s="27"/>
      <c r="J282" s="27"/>
      <c r="K282" s="27"/>
      <c r="L282" s="27"/>
      <c r="M282" s="2"/>
    </row>
    <row r="283" spans="2:13" ht="15.75" customHeight="1" x14ac:dyDescent="0.2">
      <c r="B283" s="2"/>
      <c r="C283" s="26"/>
      <c r="D283" s="27"/>
      <c r="E283" s="27"/>
      <c r="F283" s="27"/>
      <c r="G283" s="215"/>
      <c r="H283" s="27"/>
      <c r="I283" s="27"/>
      <c r="J283" s="27"/>
      <c r="K283" s="27"/>
      <c r="L283" s="27"/>
      <c r="M283" s="2"/>
    </row>
    <row r="284" spans="2:13" ht="15.75" customHeight="1" x14ac:dyDescent="0.2">
      <c r="B284" s="2"/>
      <c r="C284" s="26"/>
      <c r="D284" s="27"/>
      <c r="E284" s="27"/>
      <c r="F284" s="27"/>
      <c r="G284" s="215"/>
      <c r="H284" s="27"/>
      <c r="I284" s="27"/>
      <c r="J284" s="27"/>
      <c r="K284" s="27"/>
      <c r="L284" s="27"/>
      <c r="M284" s="2"/>
    </row>
    <row r="285" spans="2:13" ht="15.75" customHeight="1" x14ac:dyDescent="0.2">
      <c r="B285" s="2"/>
      <c r="C285" s="26"/>
      <c r="D285" s="27"/>
      <c r="E285" s="27"/>
      <c r="F285" s="27"/>
      <c r="G285" s="215"/>
      <c r="H285" s="27"/>
      <c r="I285" s="27"/>
      <c r="J285" s="27"/>
      <c r="K285" s="27"/>
      <c r="L285" s="27"/>
      <c r="M285" s="2"/>
    </row>
    <row r="286" spans="2:13" ht="15.75" customHeight="1" x14ac:dyDescent="0.2">
      <c r="B286" s="2"/>
      <c r="C286" s="26"/>
      <c r="D286" s="27"/>
      <c r="E286" s="27"/>
      <c r="F286" s="27"/>
      <c r="G286" s="215"/>
      <c r="H286" s="27"/>
      <c r="I286" s="27"/>
      <c r="J286" s="27"/>
      <c r="K286" s="27"/>
      <c r="L286" s="27"/>
      <c r="M286" s="2"/>
    </row>
    <row r="287" spans="2:13" ht="15.75" customHeight="1" x14ac:dyDescent="0.2">
      <c r="B287" s="2"/>
      <c r="C287" s="26"/>
      <c r="D287" s="27"/>
      <c r="E287" s="27"/>
      <c r="F287" s="27"/>
      <c r="G287" s="215"/>
      <c r="H287" s="27"/>
      <c r="I287" s="27"/>
      <c r="J287" s="27"/>
      <c r="K287" s="27"/>
      <c r="L287" s="27"/>
      <c r="M287" s="2"/>
    </row>
    <row r="288" spans="2:13" ht="15.75" customHeight="1" x14ac:dyDescent="0.2">
      <c r="B288" s="2"/>
      <c r="C288" s="26"/>
      <c r="D288" s="27"/>
      <c r="E288" s="27"/>
      <c r="F288" s="27"/>
      <c r="G288" s="215"/>
      <c r="H288" s="27"/>
      <c r="I288" s="27"/>
      <c r="J288" s="27"/>
      <c r="K288" s="27"/>
      <c r="L288" s="27"/>
      <c r="M288" s="2"/>
    </row>
    <row r="289" spans="2:13" ht="15.75" customHeight="1" x14ac:dyDescent="0.2">
      <c r="B289" s="2"/>
      <c r="C289" s="26"/>
      <c r="D289" s="27"/>
      <c r="E289" s="27"/>
      <c r="F289" s="27"/>
      <c r="G289" s="215"/>
      <c r="H289" s="27"/>
      <c r="I289" s="27"/>
      <c r="J289" s="27"/>
      <c r="K289" s="27"/>
      <c r="L289" s="27"/>
      <c r="M289" s="2"/>
    </row>
    <row r="290" spans="2:13" ht="15.75" customHeight="1" x14ac:dyDescent="0.2">
      <c r="B290" s="2"/>
      <c r="C290" s="26"/>
      <c r="D290" s="27"/>
      <c r="E290" s="27"/>
      <c r="F290" s="27"/>
      <c r="G290" s="215"/>
      <c r="H290" s="27"/>
      <c r="I290" s="27"/>
      <c r="J290" s="27"/>
      <c r="K290" s="27"/>
      <c r="L290" s="27"/>
      <c r="M290" s="2"/>
    </row>
    <row r="291" spans="2:13" ht="15.75" customHeight="1" x14ac:dyDescent="0.2">
      <c r="B291" s="2"/>
      <c r="C291" s="26"/>
      <c r="D291" s="27"/>
      <c r="E291" s="27"/>
      <c r="F291" s="27"/>
      <c r="G291" s="215"/>
      <c r="H291" s="27"/>
      <c r="I291" s="27"/>
      <c r="J291" s="27"/>
      <c r="K291" s="27"/>
      <c r="L291" s="27"/>
      <c r="M291" s="2"/>
    </row>
    <row r="292" spans="2:13" ht="15.75" customHeight="1" x14ac:dyDescent="0.2">
      <c r="B292" s="2"/>
      <c r="C292" s="26"/>
      <c r="D292" s="27"/>
      <c r="E292" s="27"/>
      <c r="F292" s="27"/>
      <c r="G292" s="215"/>
      <c r="H292" s="27"/>
      <c r="I292" s="27"/>
      <c r="J292" s="27"/>
      <c r="K292" s="27"/>
      <c r="L292" s="27"/>
      <c r="M292" s="2"/>
    </row>
    <row r="293" spans="2:13" ht="15.75" customHeight="1" x14ac:dyDescent="0.2">
      <c r="B293" s="2"/>
      <c r="C293" s="26"/>
      <c r="D293" s="27"/>
      <c r="E293" s="27"/>
      <c r="F293" s="27"/>
      <c r="G293" s="215"/>
      <c r="H293" s="27"/>
      <c r="I293" s="27"/>
      <c r="J293" s="27"/>
      <c r="K293" s="27"/>
      <c r="L293" s="27"/>
      <c r="M293" s="2"/>
    </row>
    <row r="294" spans="2:13" ht="15.75" customHeight="1" x14ac:dyDescent="0.2">
      <c r="B294" s="2"/>
      <c r="C294" s="26"/>
      <c r="D294" s="27"/>
      <c r="E294" s="27"/>
      <c r="F294" s="27"/>
      <c r="G294" s="215"/>
      <c r="H294" s="27"/>
      <c r="I294" s="27"/>
      <c r="J294" s="27"/>
      <c r="K294" s="27"/>
      <c r="L294" s="27"/>
      <c r="M294" s="2"/>
    </row>
    <row r="295" spans="2:13" ht="15.75" customHeight="1" x14ac:dyDescent="0.2">
      <c r="B295" s="2"/>
      <c r="C295" s="26"/>
      <c r="D295" s="27"/>
      <c r="E295" s="27"/>
      <c r="F295" s="27"/>
      <c r="G295" s="215"/>
      <c r="H295" s="27"/>
      <c r="I295" s="27"/>
      <c r="J295" s="27"/>
      <c r="K295" s="27"/>
      <c r="L295" s="27"/>
      <c r="M295" s="2"/>
    </row>
    <row r="296" spans="2:13" ht="15.75" customHeight="1" x14ac:dyDescent="0.2">
      <c r="B296" s="2"/>
      <c r="C296" s="26"/>
      <c r="D296" s="27"/>
      <c r="E296" s="27"/>
      <c r="F296" s="27"/>
      <c r="G296" s="215"/>
      <c r="H296" s="27"/>
      <c r="I296" s="27"/>
      <c r="J296" s="27"/>
      <c r="K296" s="27"/>
      <c r="L296" s="27"/>
      <c r="M296" s="2"/>
    </row>
    <row r="297" spans="2:13" ht="15.75" customHeight="1" x14ac:dyDescent="0.2">
      <c r="B297" s="2"/>
      <c r="C297" s="26"/>
      <c r="D297" s="27"/>
      <c r="E297" s="27"/>
      <c r="F297" s="27"/>
      <c r="G297" s="215"/>
      <c r="H297" s="27"/>
      <c r="I297" s="27"/>
      <c r="J297" s="27"/>
      <c r="K297" s="27"/>
      <c r="L297" s="27"/>
      <c r="M297" s="2"/>
    </row>
    <row r="298" spans="2:13" ht="15.75" customHeight="1" x14ac:dyDescent="0.2">
      <c r="B298" s="2"/>
      <c r="C298" s="26"/>
      <c r="D298" s="27"/>
      <c r="E298" s="27"/>
      <c r="F298" s="27"/>
      <c r="G298" s="215"/>
      <c r="H298" s="27"/>
      <c r="I298" s="27"/>
      <c r="J298" s="27"/>
      <c r="K298" s="27"/>
      <c r="L298" s="27"/>
      <c r="M298" s="2"/>
    </row>
    <row r="299" spans="2:13" ht="15.75" customHeight="1" x14ac:dyDescent="0.2">
      <c r="B299" s="2"/>
      <c r="C299" s="26"/>
      <c r="D299" s="27"/>
      <c r="E299" s="27"/>
      <c r="F299" s="27"/>
      <c r="G299" s="215"/>
      <c r="H299" s="27"/>
      <c r="I299" s="27"/>
      <c r="J299" s="27"/>
      <c r="K299" s="27"/>
      <c r="L299" s="27"/>
      <c r="M299" s="2"/>
    </row>
    <row r="300" spans="2:13" ht="15.75" customHeight="1" x14ac:dyDescent="0.2">
      <c r="B300" s="2"/>
      <c r="C300" s="26"/>
      <c r="D300" s="27"/>
      <c r="E300" s="27"/>
      <c r="F300" s="27"/>
      <c r="G300" s="215"/>
      <c r="H300" s="27"/>
      <c r="I300" s="27"/>
      <c r="J300" s="27"/>
      <c r="K300" s="27"/>
      <c r="L300" s="27"/>
      <c r="M300" s="2"/>
    </row>
    <row r="301" spans="2:13" ht="15.75" customHeight="1" x14ac:dyDescent="0.2">
      <c r="B301" s="2"/>
      <c r="C301" s="26"/>
      <c r="D301" s="27"/>
      <c r="E301" s="27"/>
      <c r="F301" s="27"/>
      <c r="G301" s="215"/>
      <c r="H301" s="27"/>
      <c r="I301" s="27"/>
      <c r="J301" s="27"/>
      <c r="K301" s="27"/>
      <c r="L301" s="27"/>
      <c r="M301" s="2"/>
    </row>
    <row r="302" spans="2:13" ht="15.75" customHeight="1" x14ac:dyDescent="0.2">
      <c r="B302" s="2"/>
      <c r="C302" s="26"/>
      <c r="D302" s="27"/>
      <c r="E302" s="27"/>
      <c r="F302" s="27"/>
      <c r="G302" s="215"/>
      <c r="H302" s="27"/>
      <c r="I302" s="27"/>
      <c r="J302" s="27"/>
      <c r="K302" s="27"/>
      <c r="L302" s="27"/>
      <c r="M302" s="2"/>
    </row>
    <row r="303" spans="2:13" ht="15.75" customHeight="1" x14ac:dyDescent="0.2">
      <c r="B303" s="2"/>
      <c r="C303" s="26"/>
      <c r="D303" s="27"/>
      <c r="E303" s="27"/>
      <c r="F303" s="27"/>
      <c r="G303" s="215"/>
      <c r="H303" s="27"/>
      <c r="I303" s="27"/>
      <c r="J303" s="27"/>
      <c r="K303" s="27"/>
      <c r="L303" s="27"/>
      <c r="M303" s="2"/>
    </row>
    <row r="304" spans="2:13" ht="15.75" customHeight="1" x14ac:dyDescent="0.2">
      <c r="B304" s="2"/>
      <c r="C304" s="26"/>
      <c r="D304" s="27"/>
      <c r="E304" s="27"/>
      <c r="F304" s="27"/>
      <c r="G304" s="215"/>
      <c r="H304" s="27"/>
      <c r="I304" s="27"/>
      <c r="J304" s="27"/>
      <c r="K304" s="27"/>
      <c r="L304" s="27"/>
      <c r="M304" s="2"/>
    </row>
    <row r="305" spans="2:13" ht="15.75" customHeight="1" x14ac:dyDescent="0.2">
      <c r="B305" s="2"/>
      <c r="C305" s="26"/>
      <c r="D305" s="27"/>
      <c r="E305" s="27"/>
      <c r="F305" s="27"/>
      <c r="G305" s="215"/>
      <c r="H305" s="27"/>
      <c r="I305" s="27"/>
      <c r="J305" s="27"/>
      <c r="K305" s="27"/>
      <c r="L305" s="27"/>
      <c r="M305" s="2"/>
    </row>
    <row r="306" spans="2:13" ht="15.75" customHeight="1" x14ac:dyDescent="0.2">
      <c r="B306" s="2"/>
      <c r="C306" s="26"/>
      <c r="D306" s="27"/>
      <c r="E306" s="27"/>
      <c r="F306" s="27"/>
      <c r="G306" s="215"/>
      <c r="H306" s="27"/>
      <c r="I306" s="27"/>
      <c r="J306" s="27"/>
      <c r="K306" s="27"/>
      <c r="L306" s="27"/>
      <c r="M306" s="2"/>
    </row>
    <row r="307" spans="2:13" ht="15.75" customHeight="1" x14ac:dyDescent="0.2">
      <c r="B307" s="2"/>
      <c r="C307" s="26"/>
      <c r="D307" s="27"/>
      <c r="E307" s="27"/>
      <c r="F307" s="27"/>
      <c r="G307" s="215"/>
      <c r="H307" s="27"/>
      <c r="I307" s="27"/>
      <c r="J307" s="27"/>
      <c r="K307" s="27"/>
      <c r="L307" s="27"/>
      <c r="M307" s="2"/>
    </row>
    <row r="308" spans="2:13" ht="15.75" customHeight="1" x14ac:dyDescent="0.2">
      <c r="B308" s="2"/>
      <c r="C308" s="26"/>
      <c r="D308" s="27"/>
      <c r="E308" s="27"/>
      <c r="F308" s="27"/>
      <c r="G308" s="215"/>
      <c r="H308" s="27"/>
      <c r="I308" s="27"/>
      <c r="J308" s="27"/>
      <c r="K308" s="27"/>
      <c r="L308" s="27"/>
      <c r="M308" s="2"/>
    </row>
    <row r="309" spans="2:13" ht="15.75" customHeight="1" x14ac:dyDescent="0.2">
      <c r="B309" s="2"/>
      <c r="C309" s="26"/>
      <c r="D309" s="27"/>
      <c r="E309" s="27"/>
      <c r="F309" s="27"/>
      <c r="G309" s="215"/>
      <c r="H309" s="27"/>
      <c r="I309" s="27"/>
      <c r="J309" s="27"/>
      <c r="K309" s="27"/>
      <c r="L309" s="27"/>
      <c r="M309" s="2"/>
    </row>
    <row r="310" spans="2:13" ht="15.75" customHeight="1" x14ac:dyDescent="0.2">
      <c r="B310" s="2"/>
      <c r="C310" s="26"/>
      <c r="D310" s="27"/>
      <c r="E310" s="27"/>
      <c r="F310" s="27"/>
      <c r="G310" s="215"/>
      <c r="H310" s="27"/>
      <c r="I310" s="27"/>
      <c r="J310" s="27"/>
      <c r="K310" s="27"/>
      <c r="L310" s="27"/>
      <c r="M310" s="2"/>
    </row>
    <row r="311" spans="2:13" ht="15.75" customHeight="1" x14ac:dyDescent="0.2">
      <c r="B311" s="2"/>
      <c r="C311" s="26"/>
      <c r="D311" s="27"/>
      <c r="E311" s="27"/>
      <c r="F311" s="27"/>
      <c r="G311" s="215"/>
      <c r="H311" s="27"/>
      <c r="I311" s="27"/>
      <c r="J311" s="27"/>
      <c r="K311" s="27"/>
      <c r="L311" s="27"/>
      <c r="M311" s="2"/>
    </row>
    <row r="312" spans="2:13" ht="15.75" customHeight="1" x14ac:dyDescent="0.2">
      <c r="B312" s="2"/>
      <c r="C312" s="26"/>
      <c r="D312" s="27"/>
      <c r="E312" s="27"/>
      <c r="F312" s="27"/>
      <c r="G312" s="215"/>
      <c r="H312" s="27"/>
      <c r="I312" s="27"/>
      <c r="J312" s="27"/>
      <c r="K312" s="27"/>
      <c r="L312" s="27"/>
      <c r="M312" s="2"/>
    </row>
    <row r="313" spans="2:13" ht="15.75" customHeight="1" x14ac:dyDescent="0.2">
      <c r="B313" s="2"/>
      <c r="C313" s="26"/>
      <c r="D313" s="27"/>
      <c r="E313" s="27"/>
      <c r="F313" s="27"/>
      <c r="G313" s="215"/>
      <c r="H313" s="27"/>
      <c r="I313" s="27"/>
      <c r="J313" s="27"/>
      <c r="K313" s="27"/>
      <c r="L313" s="27"/>
      <c r="M313" s="2"/>
    </row>
    <row r="314" spans="2:13" ht="15.75" customHeight="1" x14ac:dyDescent="0.2">
      <c r="B314" s="2"/>
      <c r="C314" s="26"/>
      <c r="D314" s="27"/>
      <c r="E314" s="27"/>
      <c r="F314" s="27"/>
      <c r="G314" s="215"/>
      <c r="H314" s="27"/>
      <c r="I314" s="27"/>
      <c r="J314" s="27"/>
      <c r="K314" s="27"/>
      <c r="L314" s="27"/>
      <c r="M314" s="2"/>
    </row>
    <row r="315" spans="2:13" ht="15.75" customHeight="1" x14ac:dyDescent="0.2">
      <c r="B315" s="2"/>
      <c r="C315" s="26"/>
      <c r="D315" s="27"/>
      <c r="E315" s="27"/>
      <c r="F315" s="27"/>
      <c r="G315" s="215"/>
      <c r="H315" s="27"/>
      <c r="I315" s="27"/>
      <c r="J315" s="27"/>
      <c r="K315" s="27"/>
      <c r="L315" s="27"/>
      <c r="M315" s="2"/>
    </row>
    <row r="316" spans="2:13" ht="15.75" customHeight="1" x14ac:dyDescent="0.2">
      <c r="B316" s="2"/>
      <c r="C316" s="26"/>
      <c r="D316" s="27"/>
      <c r="E316" s="27"/>
      <c r="F316" s="27"/>
      <c r="G316" s="215"/>
      <c r="H316" s="27"/>
      <c r="I316" s="27"/>
      <c r="J316" s="27"/>
      <c r="K316" s="27"/>
      <c r="L316" s="27"/>
      <c r="M316" s="2"/>
    </row>
    <row r="317" spans="2:13" ht="15.75" customHeight="1" x14ac:dyDescent="0.2">
      <c r="B317" s="2"/>
      <c r="C317" s="26"/>
      <c r="D317" s="27"/>
      <c r="E317" s="27"/>
      <c r="F317" s="27"/>
      <c r="G317" s="215"/>
      <c r="H317" s="27"/>
      <c r="I317" s="27"/>
      <c r="J317" s="27"/>
      <c r="K317" s="27"/>
      <c r="L317" s="27"/>
      <c r="M317" s="2"/>
    </row>
    <row r="318" spans="2:13" ht="15.75" customHeight="1" x14ac:dyDescent="0.2">
      <c r="B318" s="2"/>
      <c r="C318" s="26"/>
      <c r="D318" s="27"/>
      <c r="E318" s="27"/>
      <c r="F318" s="27"/>
      <c r="G318" s="215"/>
      <c r="H318" s="27"/>
      <c r="I318" s="27"/>
      <c r="J318" s="27"/>
      <c r="K318" s="27"/>
      <c r="L318" s="27"/>
      <c r="M318" s="2"/>
    </row>
    <row r="319" spans="2:13" ht="15.75" customHeight="1" x14ac:dyDescent="0.2">
      <c r="B319" s="2"/>
      <c r="C319" s="26"/>
      <c r="D319" s="27"/>
      <c r="E319" s="27"/>
      <c r="F319" s="27"/>
      <c r="G319" s="215"/>
      <c r="H319" s="27"/>
      <c r="I319" s="27"/>
      <c r="J319" s="27"/>
      <c r="K319" s="27"/>
      <c r="L319" s="27"/>
      <c r="M319" s="2"/>
    </row>
    <row r="320" spans="2:13" ht="15.75" customHeight="1" x14ac:dyDescent="0.2">
      <c r="B320" s="2"/>
      <c r="C320" s="26"/>
      <c r="D320" s="27"/>
      <c r="E320" s="27"/>
      <c r="F320" s="27"/>
      <c r="G320" s="215"/>
      <c r="H320" s="27"/>
      <c r="I320" s="27"/>
      <c r="J320" s="27"/>
      <c r="K320" s="27"/>
      <c r="L320" s="27"/>
      <c r="M320" s="2"/>
    </row>
    <row r="321" spans="2:13" ht="15.75" customHeight="1" x14ac:dyDescent="0.2">
      <c r="B321" s="2"/>
      <c r="C321" s="26"/>
      <c r="D321" s="27"/>
      <c r="E321" s="27"/>
      <c r="F321" s="27"/>
      <c r="G321" s="215"/>
      <c r="H321" s="27"/>
      <c r="I321" s="27"/>
      <c r="J321" s="27"/>
      <c r="K321" s="27"/>
      <c r="L321" s="27"/>
      <c r="M321" s="2"/>
    </row>
    <row r="322" spans="2:13" ht="15.75" customHeight="1" x14ac:dyDescent="0.2">
      <c r="B322" s="2"/>
      <c r="C322" s="26"/>
      <c r="D322" s="27"/>
      <c r="E322" s="27"/>
      <c r="F322" s="27"/>
      <c r="G322" s="215"/>
      <c r="H322" s="27"/>
      <c r="I322" s="27"/>
      <c r="J322" s="27"/>
      <c r="K322" s="27"/>
      <c r="L322" s="27"/>
      <c r="M322" s="2"/>
    </row>
    <row r="323" spans="2:13" ht="15.75" customHeight="1" x14ac:dyDescent="0.2">
      <c r="B323" s="2"/>
      <c r="C323" s="26"/>
      <c r="D323" s="27"/>
      <c r="E323" s="27"/>
      <c r="F323" s="27"/>
      <c r="G323" s="215"/>
      <c r="H323" s="27"/>
      <c r="I323" s="27"/>
      <c r="J323" s="27"/>
      <c r="K323" s="27"/>
      <c r="L323" s="27"/>
      <c r="M323" s="2"/>
    </row>
    <row r="324" spans="2:13" ht="15.75" customHeight="1" x14ac:dyDescent="0.2">
      <c r="B324" s="2"/>
      <c r="C324" s="26"/>
      <c r="D324" s="27"/>
      <c r="E324" s="27"/>
      <c r="F324" s="27"/>
      <c r="G324" s="215"/>
      <c r="H324" s="27"/>
      <c r="I324" s="27"/>
      <c r="J324" s="27"/>
      <c r="K324" s="27"/>
      <c r="L324" s="27"/>
      <c r="M324" s="2"/>
    </row>
    <row r="325" spans="2:13" ht="15.75" customHeight="1" x14ac:dyDescent="0.2">
      <c r="B325" s="2"/>
      <c r="C325" s="26"/>
      <c r="D325" s="27"/>
      <c r="E325" s="27"/>
      <c r="F325" s="27"/>
      <c r="G325" s="215"/>
      <c r="H325" s="27"/>
      <c r="I325" s="27"/>
      <c r="J325" s="27"/>
      <c r="K325" s="27"/>
      <c r="L325" s="27"/>
      <c r="M325" s="2"/>
    </row>
    <row r="326" spans="2:13" ht="15.75" customHeight="1" x14ac:dyDescent="0.2">
      <c r="B326" s="2"/>
      <c r="C326" s="26"/>
      <c r="D326" s="27"/>
      <c r="E326" s="27"/>
      <c r="F326" s="27"/>
      <c r="G326" s="215"/>
      <c r="H326" s="27"/>
      <c r="I326" s="27"/>
      <c r="J326" s="27"/>
      <c r="K326" s="27"/>
      <c r="L326" s="27"/>
      <c r="M326" s="2"/>
    </row>
    <row r="327" spans="2:13" ht="15.75" customHeight="1" x14ac:dyDescent="0.2">
      <c r="B327" s="2"/>
      <c r="C327" s="26"/>
      <c r="D327" s="27"/>
      <c r="E327" s="27"/>
      <c r="F327" s="27"/>
      <c r="G327" s="215"/>
      <c r="H327" s="27"/>
      <c r="I327" s="27"/>
      <c r="J327" s="27"/>
      <c r="K327" s="27"/>
      <c r="L327" s="27"/>
      <c r="M327" s="2"/>
    </row>
    <row r="328" spans="2:13" ht="15.75" customHeight="1" x14ac:dyDescent="0.2">
      <c r="B328" s="2"/>
      <c r="C328" s="26"/>
      <c r="D328" s="27"/>
      <c r="E328" s="27"/>
      <c r="F328" s="27"/>
      <c r="G328" s="215"/>
      <c r="H328" s="27"/>
      <c r="I328" s="27"/>
      <c r="J328" s="27"/>
      <c r="K328" s="27"/>
      <c r="L328" s="27"/>
      <c r="M328" s="2"/>
    </row>
    <row r="329" spans="2:13" ht="15.75" customHeight="1" x14ac:dyDescent="0.2">
      <c r="B329" s="2"/>
      <c r="C329" s="26"/>
      <c r="D329" s="27"/>
      <c r="E329" s="27"/>
      <c r="F329" s="27"/>
      <c r="G329" s="215"/>
      <c r="H329" s="27"/>
      <c r="I329" s="27"/>
      <c r="J329" s="27"/>
      <c r="K329" s="27"/>
      <c r="L329" s="27"/>
      <c r="M329" s="2"/>
    </row>
    <row r="330" spans="2:13" ht="15.75" customHeight="1" x14ac:dyDescent="0.2">
      <c r="B330" s="2"/>
      <c r="C330" s="26"/>
      <c r="D330" s="27"/>
      <c r="E330" s="27"/>
      <c r="F330" s="27"/>
      <c r="G330" s="215"/>
      <c r="H330" s="27"/>
      <c r="I330" s="27"/>
      <c r="J330" s="27"/>
      <c r="K330" s="27"/>
      <c r="L330" s="27"/>
      <c r="M330" s="2"/>
    </row>
    <row r="331" spans="2:13" ht="15.75" customHeight="1" x14ac:dyDescent="0.2">
      <c r="B331" s="2"/>
      <c r="C331" s="26"/>
      <c r="D331" s="27"/>
      <c r="E331" s="27"/>
      <c r="F331" s="27"/>
      <c r="G331" s="215"/>
      <c r="H331" s="27"/>
      <c r="I331" s="27"/>
      <c r="J331" s="27"/>
      <c r="K331" s="27"/>
      <c r="L331" s="27"/>
      <c r="M331" s="2"/>
    </row>
    <row r="332" spans="2:13" ht="15.75" customHeight="1" x14ac:dyDescent="0.2">
      <c r="B332" s="2"/>
      <c r="C332" s="26"/>
      <c r="D332" s="27"/>
      <c r="E332" s="27"/>
      <c r="F332" s="27"/>
      <c r="G332" s="215"/>
      <c r="H332" s="27"/>
      <c r="I332" s="27"/>
      <c r="J332" s="27"/>
      <c r="K332" s="27"/>
      <c r="L332" s="27"/>
      <c r="M332" s="2"/>
    </row>
    <row r="333" spans="2:13" ht="15.75" customHeight="1" x14ac:dyDescent="0.2">
      <c r="B333" s="2"/>
      <c r="C333" s="26"/>
      <c r="D333" s="27"/>
      <c r="E333" s="27"/>
      <c r="F333" s="27"/>
      <c r="G333" s="215"/>
      <c r="H333" s="27"/>
      <c r="I333" s="27"/>
      <c r="J333" s="27"/>
      <c r="K333" s="27"/>
      <c r="L333" s="27"/>
      <c r="M333" s="2"/>
    </row>
    <row r="334" spans="2:13" ht="15.75" customHeight="1" x14ac:dyDescent="0.2">
      <c r="B334" s="2"/>
      <c r="C334" s="26"/>
      <c r="D334" s="27"/>
      <c r="E334" s="27"/>
      <c r="F334" s="27"/>
      <c r="G334" s="215"/>
      <c r="H334" s="27"/>
      <c r="I334" s="27"/>
      <c r="J334" s="27"/>
      <c r="K334" s="27"/>
      <c r="L334" s="27"/>
      <c r="M334" s="2"/>
    </row>
    <row r="335" spans="2:13" ht="15.75" customHeight="1" x14ac:dyDescent="0.2">
      <c r="B335" s="2"/>
      <c r="C335" s="26"/>
      <c r="D335" s="27"/>
      <c r="E335" s="27"/>
      <c r="F335" s="27"/>
      <c r="G335" s="215"/>
      <c r="H335" s="27"/>
      <c r="I335" s="27"/>
      <c r="J335" s="27"/>
      <c r="K335" s="27"/>
      <c r="L335" s="27"/>
      <c r="M335" s="2"/>
    </row>
    <row r="336" spans="2:13" ht="15.75" customHeight="1" x14ac:dyDescent="0.2">
      <c r="B336" s="2"/>
      <c r="C336" s="26"/>
      <c r="D336" s="27"/>
      <c r="E336" s="27"/>
      <c r="F336" s="27"/>
      <c r="G336" s="215"/>
      <c r="H336" s="27"/>
      <c r="I336" s="27"/>
      <c r="J336" s="27"/>
      <c r="K336" s="27"/>
      <c r="L336" s="27"/>
      <c r="M336" s="2"/>
    </row>
    <row r="337" spans="2:13" ht="15.75" customHeight="1" x14ac:dyDescent="0.2">
      <c r="B337" s="2"/>
      <c r="C337" s="26"/>
      <c r="D337" s="27"/>
      <c r="E337" s="27"/>
      <c r="F337" s="27"/>
      <c r="G337" s="215"/>
      <c r="H337" s="27"/>
      <c r="I337" s="27"/>
      <c r="J337" s="27"/>
      <c r="K337" s="27"/>
      <c r="L337" s="27"/>
      <c r="M337" s="2"/>
    </row>
    <row r="338" spans="2:13" ht="15.75" customHeight="1" x14ac:dyDescent="0.2">
      <c r="B338" s="2"/>
      <c r="C338" s="26"/>
      <c r="D338" s="27"/>
      <c r="E338" s="27"/>
      <c r="F338" s="27"/>
      <c r="G338" s="215"/>
      <c r="H338" s="27"/>
      <c r="I338" s="27"/>
      <c r="J338" s="27"/>
      <c r="K338" s="27"/>
      <c r="L338" s="27"/>
      <c r="M338" s="2"/>
    </row>
    <row r="339" spans="2:13" ht="15.75" customHeight="1" x14ac:dyDescent="0.2">
      <c r="B339" s="2"/>
      <c r="C339" s="26"/>
      <c r="D339" s="27"/>
      <c r="E339" s="27"/>
      <c r="F339" s="27"/>
      <c r="G339" s="215"/>
      <c r="H339" s="27"/>
      <c r="I339" s="27"/>
      <c r="J339" s="27"/>
      <c r="K339" s="27"/>
      <c r="L339" s="27"/>
      <c r="M339" s="2"/>
    </row>
    <row r="340" spans="2:13" ht="15.75" customHeight="1" x14ac:dyDescent="0.2">
      <c r="B340" s="2"/>
      <c r="C340" s="26"/>
      <c r="D340" s="27"/>
      <c r="E340" s="27"/>
      <c r="F340" s="27"/>
      <c r="G340" s="215"/>
      <c r="H340" s="27"/>
      <c r="I340" s="27"/>
      <c r="J340" s="27"/>
      <c r="K340" s="27"/>
      <c r="L340" s="27"/>
      <c r="M340" s="2"/>
    </row>
    <row r="341" spans="2:13" ht="15.75" customHeight="1" x14ac:dyDescent="0.2">
      <c r="B341" s="2"/>
      <c r="C341" s="26"/>
      <c r="D341" s="27"/>
      <c r="E341" s="27"/>
      <c r="F341" s="27"/>
      <c r="G341" s="215"/>
      <c r="H341" s="27"/>
      <c r="I341" s="27"/>
      <c r="J341" s="27"/>
      <c r="K341" s="27"/>
      <c r="L341" s="27"/>
      <c r="M341" s="2"/>
    </row>
    <row r="342" spans="2:13" ht="15.75" customHeight="1" x14ac:dyDescent="0.2">
      <c r="B342" s="2"/>
      <c r="C342" s="26"/>
      <c r="D342" s="27"/>
      <c r="E342" s="27"/>
      <c r="F342" s="27"/>
      <c r="G342" s="215"/>
      <c r="H342" s="27"/>
      <c r="I342" s="27"/>
      <c r="J342" s="27"/>
      <c r="K342" s="27"/>
      <c r="L342" s="27"/>
      <c r="M342" s="2"/>
    </row>
    <row r="343" spans="2:13" ht="15.75" customHeight="1" x14ac:dyDescent="0.2">
      <c r="B343" s="2"/>
      <c r="C343" s="26"/>
      <c r="D343" s="27"/>
      <c r="E343" s="27"/>
      <c r="F343" s="27"/>
      <c r="G343" s="215"/>
      <c r="H343" s="27"/>
      <c r="I343" s="27"/>
      <c r="J343" s="27"/>
      <c r="K343" s="27"/>
      <c r="L343" s="27"/>
      <c r="M343" s="2"/>
    </row>
    <row r="344" spans="2:13" ht="15.75" customHeight="1" x14ac:dyDescent="0.2">
      <c r="B344" s="2"/>
      <c r="C344" s="26"/>
      <c r="D344" s="27"/>
      <c r="E344" s="27"/>
      <c r="F344" s="27"/>
      <c r="G344" s="215"/>
      <c r="H344" s="27"/>
      <c r="I344" s="27"/>
      <c r="J344" s="27"/>
      <c r="K344" s="27"/>
      <c r="L344" s="27"/>
      <c r="M344" s="2"/>
    </row>
    <row r="345" spans="2:13" ht="15.75" customHeight="1" x14ac:dyDescent="0.2">
      <c r="B345" s="2"/>
      <c r="C345" s="26"/>
      <c r="D345" s="27"/>
      <c r="E345" s="27"/>
      <c r="F345" s="27"/>
      <c r="G345" s="215"/>
      <c r="H345" s="27"/>
      <c r="I345" s="27"/>
      <c r="J345" s="27"/>
      <c r="K345" s="27"/>
      <c r="L345" s="27"/>
      <c r="M345" s="2"/>
    </row>
    <row r="346" spans="2:13" ht="15.75" customHeight="1" x14ac:dyDescent="0.2">
      <c r="B346" s="2"/>
      <c r="C346" s="26"/>
      <c r="D346" s="27"/>
      <c r="E346" s="27"/>
      <c r="F346" s="27"/>
      <c r="G346" s="215"/>
      <c r="H346" s="27"/>
      <c r="I346" s="27"/>
      <c r="J346" s="27"/>
      <c r="K346" s="27"/>
      <c r="L346" s="27"/>
      <c r="M346" s="2"/>
    </row>
    <row r="347" spans="2:13" ht="15.75" customHeight="1" x14ac:dyDescent="0.2">
      <c r="B347" s="2"/>
      <c r="C347" s="26"/>
      <c r="D347" s="27"/>
      <c r="E347" s="27"/>
      <c r="F347" s="27"/>
      <c r="G347" s="215"/>
      <c r="H347" s="27"/>
      <c r="I347" s="27"/>
      <c r="J347" s="27"/>
      <c r="K347" s="27"/>
      <c r="L347" s="27"/>
      <c r="M347" s="2"/>
    </row>
    <row r="348" spans="2:13" ht="15.75" customHeight="1" x14ac:dyDescent="0.2">
      <c r="B348" s="2"/>
      <c r="C348" s="26"/>
      <c r="D348" s="27"/>
      <c r="E348" s="27"/>
      <c r="F348" s="27"/>
      <c r="G348" s="215"/>
      <c r="H348" s="27"/>
      <c r="I348" s="27"/>
      <c r="J348" s="27"/>
      <c r="K348" s="27"/>
      <c r="L348" s="27"/>
      <c r="M348" s="2"/>
    </row>
    <row r="349" spans="2:13" ht="15.75" customHeight="1" x14ac:dyDescent="0.2">
      <c r="B349" s="2"/>
      <c r="C349" s="26"/>
      <c r="D349" s="27"/>
      <c r="E349" s="27"/>
      <c r="F349" s="27"/>
      <c r="G349" s="215"/>
      <c r="H349" s="27"/>
      <c r="I349" s="27"/>
      <c r="J349" s="27"/>
      <c r="K349" s="27"/>
      <c r="L349" s="27"/>
      <c r="M349" s="2"/>
    </row>
    <row r="350" spans="2:13" ht="15.75" customHeight="1" x14ac:dyDescent="0.2">
      <c r="B350" s="2"/>
      <c r="C350" s="26"/>
      <c r="D350" s="27"/>
      <c r="E350" s="27"/>
      <c r="F350" s="27"/>
      <c r="G350" s="215"/>
      <c r="H350" s="27"/>
      <c r="I350" s="27"/>
      <c r="J350" s="27"/>
      <c r="K350" s="27"/>
      <c r="L350" s="27"/>
      <c r="M350" s="2"/>
    </row>
    <row r="351" spans="2:13" ht="15.75" customHeight="1" x14ac:dyDescent="0.2">
      <c r="B351" s="2"/>
      <c r="C351" s="26"/>
      <c r="D351" s="27"/>
      <c r="E351" s="27"/>
      <c r="F351" s="27"/>
      <c r="G351" s="215"/>
      <c r="H351" s="27"/>
      <c r="I351" s="27"/>
      <c r="J351" s="27"/>
      <c r="K351" s="27"/>
      <c r="L351" s="27"/>
      <c r="M351" s="2"/>
    </row>
    <row r="352" spans="2:13" ht="15.75" customHeight="1" x14ac:dyDescent="0.2">
      <c r="B352" s="2"/>
      <c r="C352" s="26"/>
      <c r="D352" s="27"/>
      <c r="E352" s="27"/>
      <c r="F352" s="27"/>
      <c r="G352" s="215"/>
      <c r="H352" s="27"/>
      <c r="I352" s="27"/>
      <c r="J352" s="27"/>
      <c r="K352" s="27"/>
      <c r="L352" s="27"/>
      <c r="M352" s="2"/>
    </row>
    <row r="353" spans="2:13" ht="15.75" customHeight="1" x14ac:dyDescent="0.2">
      <c r="B353" s="2"/>
      <c r="C353" s="26"/>
      <c r="D353" s="27"/>
      <c r="E353" s="27"/>
      <c r="F353" s="27"/>
      <c r="G353" s="215"/>
      <c r="H353" s="27"/>
      <c r="I353" s="27"/>
      <c r="J353" s="27"/>
      <c r="K353" s="27"/>
      <c r="L353" s="27"/>
      <c r="M353" s="2"/>
    </row>
    <row r="354" spans="2:13" ht="15.75" customHeight="1" x14ac:dyDescent="0.2">
      <c r="B354" s="2"/>
      <c r="C354" s="26"/>
      <c r="D354" s="27"/>
      <c r="E354" s="27"/>
      <c r="F354" s="27"/>
      <c r="G354" s="215"/>
      <c r="H354" s="27"/>
      <c r="I354" s="27"/>
      <c r="J354" s="27"/>
      <c r="K354" s="27"/>
      <c r="L354" s="27"/>
      <c r="M354" s="2"/>
    </row>
    <row r="355" spans="2:13" ht="15.75" customHeight="1" x14ac:dyDescent="0.2">
      <c r="B355" s="2"/>
      <c r="C355" s="26"/>
      <c r="D355" s="27"/>
      <c r="E355" s="27"/>
      <c r="F355" s="27"/>
      <c r="G355" s="215"/>
      <c r="H355" s="27"/>
      <c r="I355" s="27"/>
      <c r="J355" s="27"/>
      <c r="K355" s="27"/>
      <c r="L355" s="27"/>
      <c r="M355" s="2"/>
    </row>
    <row r="356" spans="2:13" ht="15.75" customHeight="1" x14ac:dyDescent="0.2">
      <c r="B356" s="2"/>
      <c r="C356" s="26"/>
      <c r="D356" s="27"/>
      <c r="E356" s="27"/>
      <c r="F356" s="27"/>
      <c r="G356" s="215"/>
      <c r="H356" s="27"/>
      <c r="I356" s="27"/>
      <c r="J356" s="27"/>
      <c r="K356" s="27"/>
      <c r="L356" s="27"/>
      <c r="M356" s="2"/>
    </row>
    <row r="357" spans="2:13" ht="15.75" customHeight="1" x14ac:dyDescent="0.2">
      <c r="B357" s="2"/>
      <c r="C357" s="26"/>
      <c r="D357" s="27"/>
      <c r="E357" s="27"/>
      <c r="F357" s="27"/>
      <c r="G357" s="215"/>
      <c r="H357" s="27"/>
      <c r="I357" s="27"/>
      <c r="J357" s="27"/>
      <c r="K357" s="27"/>
      <c r="L357" s="27"/>
      <c r="M357" s="2"/>
    </row>
    <row r="358" spans="2:13" ht="15.75" customHeight="1" x14ac:dyDescent="0.2">
      <c r="B358" s="2"/>
      <c r="C358" s="26"/>
      <c r="D358" s="27"/>
      <c r="E358" s="27"/>
      <c r="F358" s="27"/>
      <c r="G358" s="215"/>
      <c r="H358" s="27"/>
      <c r="I358" s="27"/>
      <c r="J358" s="27"/>
      <c r="K358" s="27"/>
      <c r="L358" s="27"/>
      <c r="M358" s="2"/>
    </row>
    <row r="359" spans="2:13" ht="15.75" customHeight="1" x14ac:dyDescent="0.2">
      <c r="B359" s="2"/>
      <c r="C359" s="26"/>
      <c r="D359" s="27"/>
      <c r="E359" s="27"/>
      <c r="F359" s="27"/>
      <c r="G359" s="215"/>
      <c r="H359" s="27"/>
      <c r="I359" s="27"/>
      <c r="J359" s="27"/>
      <c r="K359" s="27"/>
      <c r="L359" s="27"/>
      <c r="M359" s="2"/>
    </row>
    <row r="360" spans="2:13" ht="15.75" customHeight="1" x14ac:dyDescent="0.2">
      <c r="B360" s="2"/>
      <c r="C360" s="26"/>
      <c r="D360" s="27"/>
      <c r="E360" s="27"/>
      <c r="F360" s="27"/>
      <c r="G360" s="215"/>
      <c r="H360" s="27"/>
      <c r="I360" s="27"/>
      <c r="J360" s="27"/>
      <c r="K360" s="27"/>
      <c r="L360" s="27"/>
      <c r="M360" s="2"/>
    </row>
    <row r="361" spans="2:13" ht="15.75" customHeight="1" x14ac:dyDescent="0.2">
      <c r="B361" s="2"/>
      <c r="C361" s="26"/>
      <c r="D361" s="27"/>
      <c r="E361" s="27"/>
      <c r="F361" s="27"/>
      <c r="G361" s="215"/>
      <c r="H361" s="27"/>
      <c r="I361" s="27"/>
      <c r="J361" s="27"/>
      <c r="K361" s="27"/>
      <c r="L361" s="27"/>
      <c r="M361" s="2"/>
    </row>
    <row r="362" spans="2:13" ht="15.75" customHeight="1" x14ac:dyDescent="0.2">
      <c r="B362" s="2"/>
      <c r="C362" s="26"/>
      <c r="D362" s="27"/>
      <c r="E362" s="27"/>
      <c r="F362" s="27"/>
      <c r="G362" s="215"/>
      <c r="H362" s="27"/>
      <c r="I362" s="27"/>
      <c r="J362" s="27"/>
      <c r="K362" s="27"/>
      <c r="L362" s="27"/>
      <c r="M362" s="2"/>
    </row>
    <row r="363" spans="2:13" ht="15.75" customHeight="1" x14ac:dyDescent="0.2">
      <c r="B363" s="2"/>
      <c r="C363" s="26"/>
      <c r="D363" s="27"/>
      <c r="E363" s="27"/>
      <c r="F363" s="27"/>
      <c r="G363" s="215"/>
      <c r="H363" s="27"/>
      <c r="I363" s="27"/>
      <c r="J363" s="27"/>
      <c r="K363" s="27"/>
      <c r="L363" s="27"/>
      <c r="M363" s="2"/>
    </row>
    <row r="364" spans="2:13" ht="15.75" customHeight="1" x14ac:dyDescent="0.2">
      <c r="B364" s="2"/>
      <c r="C364" s="26"/>
      <c r="D364" s="27"/>
      <c r="E364" s="27"/>
      <c r="F364" s="27"/>
      <c r="G364" s="215"/>
      <c r="H364" s="27"/>
      <c r="I364" s="27"/>
      <c r="J364" s="27"/>
      <c r="K364" s="27"/>
      <c r="L364" s="27"/>
      <c r="M364" s="2"/>
    </row>
    <row r="365" spans="2:13" ht="15.75" customHeight="1" x14ac:dyDescent="0.2">
      <c r="B365" s="2"/>
      <c r="C365" s="26"/>
      <c r="D365" s="27"/>
      <c r="E365" s="27"/>
      <c r="F365" s="27"/>
      <c r="G365" s="215"/>
      <c r="H365" s="27"/>
      <c r="I365" s="27"/>
      <c r="J365" s="27"/>
      <c r="K365" s="27"/>
      <c r="L365" s="27"/>
      <c r="M365" s="2"/>
    </row>
    <row r="366" spans="2:13" ht="15.75" customHeight="1" x14ac:dyDescent="0.2">
      <c r="B366" s="2"/>
      <c r="C366" s="26"/>
      <c r="D366" s="27"/>
      <c r="E366" s="27"/>
      <c r="F366" s="27"/>
      <c r="G366" s="215"/>
      <c r="H366" s="27"/>
      <c r="I366" s="27"/>
      <c r="J366" s="27"/>
      <c r="K366" s="27"/>
      <c r="L366" s="27"/>
      <c r="M366" s="2"/>
    </row>
    <row r="367" spans="2:13" ht="15.75" customHeight="1" x14ac:dyDescent="0.2">
      <c r="B367" s="2"/>
      <c r="C367" s="26"/>
      <c r="D367" s="27"/>
      <c r="E367" s="27"/>
      <c r="F367" s="27"/>
      <c r="G367" s="215"/>
      <c r="H367" s="27"/>
      <c r="I367" s="27"/>
      <c r="J367" s="27"/>
      <c r="K367" s="27"/>
      <c r="L367" s="27"/>
      <c r="M367" s="2"/>
    </row>
    <row r="368" spans="2:13" ht="15.75" customHeight="1" x14ac:dyDescent="0.2">
      <c r="B368" s="2"/>
      <c r="C368" s="26"/>
      <c r="D368" s="27"/>
      <c r="E368" s="27"/>
      <c r="F368" s="27"/>
      <c r="G368" s="215"/>
      <c r="H368" s="27"/>
      <c r="I368" s="27"/>
      <c r="J368" s="27"/>
      <c r="K368" s="27"/>
      <c r="L368" s="27"/>
      <c r="M368" s="2"/>
    </row>
    <row r="369" spans="2:13" ht="15.75" customHeight="1" x14ac:dyDescent="0.2">
      <c r="B369" s="2"/>
      <c r="C369" s="26"/>
      <c r="D369" s="27"/>
      <c r="E369" s="27"/>
      <c r="F369" s="27"/>
      <c r="G369" s="215"/>
      <c r="H369" s="27"/>
      <c r="I369" s="27"/>
      <c r="J369" s="27"/>
      <c r="K369" s="27"/>
      <c r="L369" s="27"/>
      <c r="M369" s="2"/>
    </row>
    <row r="370" spans="2:13" ht="15.75" customHeight="1" x14ac:dyDescent="0.2">
      <c r="B370" s="2"/>
      <c r="C370" s="26"/>
      <c r="D370" s="27"/>
      <c r="E370" s="27"/>
      <c r="F370" s="27"/>
      <c r="G370" s="215"/>
      <c r="H370" s="27"/>
      <c r="I370" s="27"/>
      <c r="J370" s="27"/>
      <c r="K370" s="27"/>
      <c r="L370" s="27"/>
      <c r="M370" s="2"/>
    </row>
    <row r="371" spans="2:13" ht="15.75" customHeight="1" x14ac:dyDescent="0.2">
      <c r="B371" s="2"/>
      <c r="C371" s="26"/>
      <c r="D371" s="27"/>
      <c r="E371" s="27"/>
      <c r="F371" s="27"/>
      <c r="G371" s="215"/>
      <c r="H371" s="27"/>
      <c r="I371" s="27"/>
      <c r="J371" s="27"/>
      <c r="K371" s="27"/>
      <c r="L371" s="27"/>
      <c r="M371" s="2"/>
    </row>
    <row r="372" spans="2:13" ht="15.75" customHeight="1" x14ac:dyDescent="0.2">
      <c r="B372" s="2"/>
      <c r="C372" s="26"/>
      <c r="D372" s="27"/>
      <c r="E372" s="27"/>
      <c r="F372" s="27"/>
      <c r="G372" s="215"/>
      <c r="H372" s="27"/>
      <c r="I372" s="27"/>
      <c r="J372" s="27"/>
      <c r="K372" s="27"/>
      <c r="L372" s="27"/>
      <c r="M372" s="2"/>
    </row>
    <row r="373" spans="2:13" ht="15.75" customHeight="1" x14ac:dyDescent="0.2">
      <c r="B373" s="2"/>
      <c r="C373" s="26"/>
      <c r="D373" s="27"/>
      <c r="E373" s="27"/>
      <c r="F373" s="27"/>
      <c r="G373" s="215"/>
      <c r="H373" s="27"/>
      <c r="I373" s="27"/>
      <c r="J373" s="27"/>
      <c r="K373" s="27"/>
      <c r="L373" s="27"/>
      <c r="M373" s="2"/>
    </row>
    <row r="374" spans="2:13" ht="15.75" customHeight="1" x14ac:dyDescent="0.2">
      <c r="B374" s="2"/>
      <c r="C374" s="26"/>
      <c r="D374" s="27"/>
      <c r="E374" s="27"/>
      <c r="F374" s="27"/>
      <c r="G374" s="215"/>
      <c r="H374" s="27"/>
      <c r="I374" s="27"/>
      <c r="J374" s="27"/>
      <c r="K374" s="27"/>
      <c r="L374" s="27"/>
      <c r="M374" s="2"/>
    </row>
    <row r="375" spans="2:13" ht="15.75" customHeight="1" x14ac:dyDescent="0.2">
      <c r="B375" s="2"/>
      <c r="C375" s="26"/>
      <c r="D375" s="27"/>
      <c r="E375" s="27"/>
      <c r="F375" s="27"/>
      <c r="G375" s="215"/>
      <c r="H375" s="27"/>
      <c r="I375" s="27"/>
      <c r="J375" s="27"/>
      <c r="K375" s="27"/>
      <c r="L375" s="27"/>
      <c r="M375" s="2"/>
    </row>
    <row r="376" spans="2:13" ht="15.75" customHeight="1" x14ac:dyDescent="0.2">
      <c r="B376" s="2"/>
      <c r="C376" s="26"/>
      <c r="D376" s="27"/>
      <c r="E376" s="27"/>
      <c r="F376" s="27"/>
      <c r="G376" s="215"/>
      <c r="H376" s="27"/>
      <c r="I376" s="27"/>
      <c r="J376" s="27"/>
      <c r="K376" s="27"/>
      <c r="L376" s="27"/>
      <c r="M376" s="2"/>
    </row>
    <row r="377" spans="2:13" ht="15.75" customHeight="1" x14ac:dyDescent="0.2">
      <c r="B377" s="2"/>
      <c r="C377" s="26"/>
      <c r="D377" s="27"/>
      <c r="E377" s="27"/>
      <c r="F377" s="27"/>
      <c r="G377" s="215"/>
      <c r="H377" s="27"/>
      <c r="I377" s="27"/>
      <c r="J377" s="27"/>
      <c r="K377" s="27"/>
      <c r="L377" s="27"/>
      <c r="M377" s="2"/>
    </row>
    <row r="378" spans="2:13" ht="15.75" customHeight="1" x14ac:dyDescent="0.2">
      <c r="B378" s="2"/>
      <c r="C378" s="26"/>
      <c r="D378" s="27"/>
      <c r="E378" s="27"/>
      <c r="F378" s="27"/>
      <c r="G378" s="215"/>
      <c r="H378" s="27"/>
      <c r="I378" s="27"/>
      <c r="J378" s="27"/>
      <c r="K378" s="27"/>
      <c r="L378" s="27"/>
      <c r="M378" s="2"/>
    </row>
    <row r="379" spans="2:13" ht="15.75" customHeight="1" x14ac:dyDescent="0.2">
      <c r="B379" s="2"/>
      <c r="C379" s="26"/>
      <c r="D379" s="27"/>
      <c r="E379" s="27"/>
      <c r="F379" s="27"/>
      <c r="G379" s="215"/>
      <c r="H379" s="27"/>
      <c r="I379" s="27"/>
      <c r="J379" s="27"/>
      <c r="K379" s="27"/>
      <c r="L379" s="27"/>
      <c r="M379" s="2"/>
    </row>
    <row r="380" spans="2:13" ht="15.75" customHeight="1" x14ac:dyDescent="0.2">
      <c r="B380" s="2"/>
      <c r="C380" s="26"/>
      <c r="D380" s="27"/>
      <c r="E380" s="27"/>
      <c r="F380" s="27"/>
      <c r="G380" s="215"/>
      <c r="H380" s="27"/>
      <c r="I380" s="27"/>
      <c r="J380" s="27"/>
      <c r="K380" s="27"/>
      <c r="L380" s="27"/>
      <c r="M380" s="2"/>
    </row>
    <row r="381" spans="2:13" ht="15.75" customHeight="1" x14ac:dyDescent="0.2">
      <c r="B381" s="2"/>
      <c r="C381" s="26"/>
      <c r="D381" s="27"/>
      <c r="E381" s="27"/>
      <c r="F381" s="27"/>
      <c r="G381" s="215"/>
      <c r="H381" s="27"/>
      <c r="I381" s="27"/>
      <c r="J381" s="27"/>
      <c r="K381" s="27"/>
      <c r="L381" s="27"/>
      <c r="M381" s="2"/>
    </row>
    <row r="382" spans="2:13" ht="15.75" customHeight="1" x14ac:dyDescent="0.2">
      <c r="B382" s="2"/>
      <c r="C382" s="26"/>
      <c r="D382" s="27"/>
      <c r="E382" s="27"/>
      <c r="F382" s="27"/>
      <c r="G382" s="215"/>
      <c r="H382" s="27"/>
      <c r="I382" s="27"/>
      <c r="J382" s="27"/>
      <c r="K382" s="27"/>
      <c r="L382" s="27"/>
      <c r="M382" s="2"/>
    </row>
    <row r="383" spans="2:13" ht="15.75" customHeight="1" x14ac:dyDescent="0.2">
      <c r="B383" s="2"/>
      <c r="C383" s="26"/>
      <c r="D383" s="27"/>
      <c r="E383" s="27"/>
      <c r="F383" s="27"/>
      <c r="G383" s="215"/>
      <c r="H383" s="27"/>
      <c r="I383" s="27"/>
      <c r="J383" s="27"/>
      <c r="K383" s="27"/>
      <c r="L383" s="27"/>
      <c r="M383" s="2"/>
    </row>
    <row r="384" spans="2:13" ht="15.75" customHeight="1" x14ac:dyDescent="0.2">
      <c r="B384" s="2"/>
      <c r="C384" s="26"/>
      <c r="D384" s="27"/>
      <c r="E384" s="27"/>
      <c r="F384" s="27"/>
      <c r="G384" s="215"/>
      <c r="H384" s="27"/>
      <c r="I384" s="27"/>
      <c r="J384" s="27"/>
      <c r="K384" s="27"/>
      <c r="L384" s="27"/>
      <c r="M384" s="2"/>
    </row>
    <row r="385" spans="2:13" ht="15.75" customHeight="1" x14ac:dyDescent="0.2">
      <c r="B385" s="2"/>
      <c r="C385" s="26"/>
      <c r="D385" s="27"/>
      <c r="E385" s="27"/>
      <c r="F385" s="27"/>
      <c r="G385" s="215"/>
      <c r="H385" s="27"/>
      <c r="I385" s="27"/>
      <c r="J385" s="27"/>
      <c r="K385" s="27"/>
      <c r="L385" s="27"/>
      <c r="M385" s="2"/>
    </row>
    <row r="386" spans="2:13" ht="15.75" customHeight="1" x14ac:dyDescent="0.2">
      <c r="B386" s="2"/>
      <c r="C386" s="26"/>
      <c r="D386" s="27"/>
      <c r="E386" s="27"/>
      <c r="F386" s="27"/>
      <c r="G386" s="215"/>
      <c r="H386" s="27"/>
      <c r="I386" s="27"/>
      <c r="J386" s="27"/>
      <c r="K386" s="27"/>
      <c r="L386" s="27"/>
      <c r="M386" s="2"/>
    </row>
    <row r="387" spans="2:13" ht="15.75" customHeight="1" x14ac:dyDescent="0.2">
      <c r="B387" s="2"/>
      <c r="C387" s="26"/>
      <c r="D387" s="27"/>
      <c r="E387" s="27"/>
      <c r="F387" s="27"/>
      <c r="G387" s="215"/>
      <c r="H387" s="27"/>
      <c r="I387" s="27"/>
      <c r="J387" s="27"/>
      <c r="K387" s="27"/>
      <c r="L387" s="27"/>
      <c r="M387" s="2"/>
    </row>
    <row r="388" spans="2:13" ht="15.75" customHeight="1" x14ac:dyDescent="0.2">
      <c r="B388" s="2"/>
      <c r="C388" s="26"/>
      <c r="D388" s="27"/>
      <c r="E388" s="27"/>
      <c r="F388" s="27"/>
      <c r="G388" s="215"/>
      <c r="H388" s="27"/>
      <c r="I388" s="27"/>
      <c r="J388" s="27"/>
      <c r="K388" s="27"/>
      <c r="L388" s="27"/>
      <c r="M388" s="2"/>
    </row>
    <row r="389" spans="2:13" ht="15.75" customHeight="1" x14ac:dyDescent="0.2">
      <c r="B389" s="2"/>
      <c r="C389" s="26"/>
      <c r="D389" s="27"/>
      <c r="E389" s="27"/>
      <c r="F389" s="27"/>
      <c r="G389" s="215"/>
      <c r="H389" s="27"/>
      <c r="I389" s="27"/>
      <c r="J389" s="27"/>
      <c r="K389" s="27"/>
      <c r="L389" s="27"/>
      <c r="M389" s="2"/>
    </row>
    <row r="390" spans="2:13" ht="15.75" customHeight="1" x14ac:dyDescent="0.2">
      <c r="B390" s="2"/>
      <c r="C390" s="26"/>
      <c r="D390" s="27"/>
      <c r="E390" s="27"/>
      <c r="F390" s="27"/>
      <c r="G390" s="215"/>
      <c r="H390" s="27"/>
      <c r="I390" s="27"/>
      <c r="J390" s="27"/>
      <c r="K390" s="27"/>
      <c r="L390" s="27"/>
      <c r="M390" s="2"/>
    </row>
    <row r="391" spans="2:13" ht="15.75" customHeight="1" x14ac:dyDescent="0.2">
      <c r="B391" s="2"/>
      <c r="C391" s="26"/>
      <c r="D391" s="27"/>
      <c r="E391" s="27"/>
      <c r="F391" s="27"/>
      <c r="G391" s="215"/>
      <c r="H391" s="27"/>
      <c r="I391" s="27"/>
      <c r="J391" s="27"/>
      <c r="K391" s="27"/>
      <c r="L391" s="27"/>
      <c r="M391" s="2"/>
    </row>
    <row r="392" spans="2:13" ht="15.75" customHeight="1" x14ac:dyDescent="0.2">
      <c r="B392" s="2"/>
      <c r="C392" s="26"/>
      <c r="D392" s="27"/>
      <c r="E392" s="27"/>
      <c r="F392" s="27"/>
      <c r="G392" s="215"/>
      <c r="H392" s="27"/>
      <c r="I392" s="27"/>
      <c r="J392" s="27"/>
      <c r="K392" s="27"/>
      <c r="L392" s="27"/>
      <c r="M392" s="2"/>
    </row>
    <row r="393" spans="2:13" ht="15.75" customHeight="1" x14ac:dyDescent="0.2">
      <c r="B393" s="2"/>
      <c r="C393" s="26"/>
      <c r="D393" s="27"/>
      <c r="E393" s="27"/>
      <c r="F393" s="27"/>
      <c r="G393" s="215"/>
      <c r="H393" s="27"/>
      <c r="I393" s="27"/>
      <c r="J393" s="27"/>
      <c r="K393" s="27"/>
      <c r="L393" s="27"/>
      <c r="M393" s="2"/>
    </row>
    <row r="394" spans="2:13" ht="15.75" customHeight="1" x14ac:dyDescent="0.2">
      <c r="B394" s="2"/>
      <c r="C394" s="26"/>
      <c r="D394" s="27"/>
      <c r="E394" s="27"/>
      <c r="F394" s="27"/>
      <c r="G394" s="215"/>
      <c r="H394" s="27"/>
      <c r="I394" s="27"/>
      <c r="J394" s="27"/>
      <c r="K394" s="27"/>
      <c r="L394" s="27"/>
      <c r="M394" s="2"/>
    </row>
    <row r="395" spans="2:13" ht="15.75" customHeight="1" x14ac:dyDescent="0.2">
      <c r="B395" s="2"/>
      <c r="C395" s="26"/>
      <c r="D395" s="27"/>
      <c r="E395" s="27"/>
      <c r="F395" s="27"/>
      <c r="G395" s="215"/>
      <c r="H395" s="27"/>
      <c r="I395" s="27"/>
      <c r="J395" s="27"/>
      <c r="K395" s="27"/>
      <c r="L395" s="27"/>
      <c r="M395" s="2"/>
    </row>
    <row r="396" spans="2:13" ht="15.75" customHeight="1" x14ac:dyDescent="0.2">
      <c r="B396" s="2"/>
      <c r="C396" s="26"/>
      <c r="D396" s="27"/>
      <c r="E396" s="27"/>
      <c r="F396" s="27"/>
      <c r="G396" s="215"/>
      <c r="H396" s="27"/>
      <c r="I396" s="27"/>
      <c r="J396" s="27"/>
      <c r="K396" s="27"/>
      <c r="L396" s="27"/>
      <c r="M396" s="2"/>
    </row>
    <row r="397" spans="2:13" ht="15.75" customHeight="1" x14ac:dyDescent="0.2">
      <c r="B397" s="2"/>
      <c r="C397" s="26"/>
      <c r="D397" s="27"/>
      <c r="E397" s="27"/>
      <c r="F397" s="27"/>
      <c r="G397" s="215"/>
      <c r="H397" s="27"/>
      <c r="I397" s="27"/>
      <c r="J397" s="27"/>
      <c r="K397" s="27"/>
      <c r="L397" s="27"/>
      <c r="M397" s="2"/>
    </row>
    <row r="398" spans="2:13" ht="15.75" customHeight="1" x14ac:dyDescent="0.2">
      <c r="B398" s="2"/>
      <c r="C398" s="26"/>
      <c r="D398" s="27"/>
      <c r="E398" s="27"/>
      <c r="F398" s="27"/>
      <c r="G398" s="215"/>
      <c r="H398" s="27"/>
      <c r="I398" s="27"/>
      <c r="J398" s="27"/>
      <c r="K398" s="27"/>
      <c r="L398" s="27"/>
      <c r="M398" s="2"/>
    </row>
    <row r="399" spans="2:13" ht="15.75" customHeight="1" x14ac:dyDescent="0.2">
      <c r="B399" s="2"/>
      <c r="C399" s="26"/>
      <c r="D399" s="27"/>
      <c r="E399" s="27"/>
      <c r="F399" s="27"/>
      <c r="G399" s="215"/>
      <c r="H399" s="27"/>
      <c r="I399" s="27"/>
      <c r="J399" s="27"/>
      <c r="K399" s="27"/>
      <c r="L399" s="27"/>
      <c r="M399" s="2"/>
    </row>
    <row r="400" spans="2:13" ht="15.75" customHeight="1" x14ac:dyDescent="0.2">
      <c r="B400" s="2"/>
      <c r="C400" s="26"/>
      <c r="D400" s="27"/>
      <c r="E400" s="27"/>
      <c r="F400" s="27"/>
      <c r="G400" s="215"/>
      <c r="H400" s="27"/>
      <c r="I400" s="27"/>
      <c r="J400" s="27"/>
      <c r="K400" s="27"/>
      <c r="L400" s="27"/>
      <c r="M400" s="2"/>
    </row>
    <row r="401" spans="2:13" ht="15.75" customHeight="1" x14ac:dyDescent="0.2">
      <c r="B401" s="2"/>
      <c r="C401" s="26"/>
      <c r="D401" s="27"/>
      <c r="E401" s="27"/>
      <c r="F401" s="27"/>
      <c r="G401" s="215"/>
      <c r="H401" s="27"/>
      <c r="I401" s="27"/>
      <c r="J401" s="27"/>
      <c r="K401" s="27"/>
      <c r="L401" s="27"/>
      <c r="M401" s="2"/>
    </row>
    <row r="402" spans="2:13" ht="15.75" customHeight="1" x14ac:dyDescent="0.2">
      <c r="B402" s="2"/>
      <c r="C402" s="26"/>
      <c r="D402" s="27"/>
      <c r="E402" s="27"/>
      <c r="F402" s="27"/>
      <c r="G402" s="215"/>
      <c r="H402" s="27"/>
      <c r="I402" s="27"/>
      <c r="J402" s="27"/>
      <c r="K402" s="27"/>
      <c r="L402" s="27"/>
      <c r="M402" s="2"/>
    </row>
    <row r="403" spans="2:13" ht="15.75" customHeight="1" x14ac:dyDescent="0.2">
      <c r="B403" s="2"/>
      <c r="C403" s="26"/>
      <c r="D403" s="27"/>
      <c r="E403" s="27"/>
      <c r="F403" s="27"/>
      <c r="G403" s="215"/>
      <c r="H403" s="27"/>
      <c r="I403" s="27"/>
      <c r="J403" s="27"/>
      <c r="K403" s="27"/>
      <c r="L403" s="27"/>
      <c r="M403" s="2"/>
    </row>
    <row r="404" spans="2:13" ht="15.75" customHeight="1" x14ac:dyDescent="0.2">
      <c r="B404" s="2"/>
      <c r="C404" s="26"/>
      <c r="D404" s="27"/>
      <c r="E404" s="27"/>
      <c r="F404" s="27"/>
      <c r="G404" s="215"/>
      <c r="H404" s="27"/>
      <c r="I404" s="27"/>
      <c r="J404" s="27"/>
      <c r="K404" s="27"/>
      <c r="L404" s="27"/>
      <c r="M404" s="2"/>
    </row>
    <row r="405" spans="2:13" ht="15.75" customHeight="1" x14ac:dyDescent="0.2">
      <c r="B405" s="2"/>
      <c r="C405" s="26"/>
      <c r="D405" s="27"/>
      <c r="E405" s="27"/>
      <c r="F405" s="27"/>
      <c r="G405" s="215"/>
      <c r="H405" s="27"/>
      <c r="I405" s="27"/>
      <c r="J405" s="27"/>
      <c r="K405" s="27"/>
      <c r="L405" s="27"/>
      <c r="M405" s="2"/>
    </row>
    <row r="406" spans="2:13" ht="15.75" customHeight="1" x14ac:dyDescent="0.2">
      <c r="B406" s="2"/>
      <c r="C406" s="26"/>
      <c r="D406" s="27"/>
      <c r="E406" s="27"/>
      <c r="F406" s="27"/>
      <c r="G406" s="215"/>
      <c r="H406" s="27"/>
      <c r="I406" s="27"/>
      <c r="J406" s="27"/>
      <c r="K406" s="27"/>
      <c r="L406" s="27"/>
      <c r="M406" s="2"/>
    </row>
    <row r="407" spans="2:13" ht="15.75" customHeight="1" x14ac:dyDescent="0.2">
      <c r="B407" s="2"/>
      <c r="C407" s="26"/>
      <c r="D407" s="27"/>
      <c r="E407" s="27"/>
      <c r="F407" s="27"/>
      <c r="G407" s="215"/>
      <c r="H407" s="27"/>
      <c r="I407" s="27"/>
      <c r="J407" s="27"/>
      <c r="K407" s="27"/>
      <c r="L407" s="27"/>
      <c r="M407" s="2"/>
    </row>
    <row r="408" spans="2:13" ht="15.75" customHeight="1" x14ac:dyDescent="0.2">
      <c r="B408" s="2"/>
      <c r="C408" s="26"/>
      <c r="D408" s="27"/>
      <c r="E408" s="27"/>
      <c r="F408" s="27"/>
      <c r="G408" s="215"/>
      <c r="H408" s="27"/>
      <c r="I408" s="27"/>
      <c r="J408" s="27"/>
      <c r="K408" s="27"/>
      <c r="L408" s="27"/>
      <c r="M408" s="2"/>
    </row>
    <row r="409" spans="2:13" ht="15.75" customHeight="1" x14ac:dyDescent="0.2">
      <c r="B409" s="2"/>
      <c r="C409" s="26"/>
      <c r="D409" s="27"/>
      <c r="E409" s="27"/>
      <c r="F409" s="27"/>
      <c r="G409" s="215"/>
      <c r="H409" s="27"/>
      <c r="I409" s="27"/>
      <c r="J409" s="27"/>
      <c r="K409" s="27"/>
      <c r="L409" s="27"/>
      <c r="M409" s="2"/>
    </row>
    <row r="410" spans="2:13" ht="15.75" customHeight="1" x14ac:dyDescent="0.2">
      <c r="B410" s="2"/>
      <c r="C410" s="26"/>
      <c r="D410" s="27"/>
      <c r="E410" s="27"/>
      <c r="F410" s="27"/>
      <c r="G410" s="215"/>
      <c r="H410" s="27"/>
      <c r="I410" s="27"/>
      <c r="J410" s="27"/>
      <c r="K410" s="27"/>
      <c r="L410" s="27"/>
      <c r="M410" s="2"/>
    </row>
    <row r="411" spans="2:13" ht="15.75" customHeight="1" x14ac:dyDescent="0.2">
      <c r="B411" s="2"/>
      <c r="C411" s="26"/>
      <c r="D411" s="27"/>
      <c r="E411" s="27"/>
      <c r="F411" s="27"/>
      <c r="G411" s="215"/>
      <c r="H411" s="27"/>
      <c r="I411" s="27"/>
      <c r="J411" s="27"/>
      <c r="K411" s="27"/>
      <c r="L411" s="27"/>
      <c r="M411" s="2"/>
    </row>
    <row r="412" spans="2:13" ht="15.75" customHeight="1" x14ac:dyDescent="0.2">
      <c r="B412" s="2"/>
      <c r="C412" s="26"/>
      <c r="D412" s="27"/>
      <c r="E412" s="27"/>
      <c r="F412" s="27"/>
      <c r="G412" s="215"/>
      <c r="H412" s="27"/>
      <c r="I412" s="27"/>
      <c r="J412" s="27"/>
      <c r="K412" s="27"/>
      <c r="L412" s="27"/>
      <c r="M412" s="2"/>
    </row>
    <row r="413" spans="2:13" ht="15.75" customHeight="1" x14ac:dyDescent="0.2">
      <c r="B413" s="2"/>
      <c r="C413" s="26"/>
      <c r="D413" s="27"/>
      <c r="E413" s="27"/>
      <c r="F413" s="27"/>
      <c r="G413" s="215"/>
      <c r="H413" s="27"/>
      <c r="I413" s="27"/>
      <c r="J413" s="27"/>
      <c r="K413" s="27"/>
      <c r="L413" s="27"/>
      <c r="M413" s="2"/>
    </row>
    <row r="414" spans="2:13" ht="15.75" customHeight="1" x14ac:dyDescent="0.2">
      <c r="B414" s="2"/>
      <c r="C414" s="26"/>
      <c r="D414" s="27"/>
      <c r="E414" s="27"/>
      <c r="F414" s="27"/>
      <c r="G414" s="215"/>
      <c r="H414" s="27"/>
      <c r="I414" s="27"/>
      <c r="J414" s="27"/>
      <c r="K414" s="27"/>
      <c r="L414" s="27"/>
      <c r="M414" s="2"/>
    </row>
    <row r="415" spans="2:13" ht="15.75" customHeight="1" x14ac:dyDescent="0.2">
      <c r="B415" s="2"/>
      <c r="C415" s="26"/>
      <c r="D415" s="27"/>
      <c r="E415" s="27"/>
      <c r="F415" s="27"/>
      <c r="G415" s="215"/>
      <c r="H415" s="27"/>
      <c r="I415" s="27"/>
      <c r="J415" s="27"/>
      <c r="K415" s="27"/>
      <c r="L415" s="27"/>
      <c r="M415" s="2"/>
    </row>
    <row r="416" spans="2:13" ht="15.75" customHeight="1" x14ac:dyDescent="0.2">
      <c r="B416" s="2"/>
      <c r="C416" s="26"/>
      <c r="D416" s="27"/>
      <c r="E416" s="27"/>
      <c r="F416" s="27"/>
      <c r="G416" s="215"/>
      <c r="H416" s="27"/>
      <c r="I416" s="27"/>
      <c r="J416" s="27"/>
      <c r="K416" s="27"/>
      <c r="L416" s="27"/>
      <c r="M416" s="2"/>
    </row>
    <row r="417" spans="2:13" ht="15.75" customHeight="1" x14ac:dyDescent="0.2">
      <c r="B417" s="2"/>
      <c r="C417" s="26"/>
      <c r="D417" s="27"/>
      <c r="E417" s="27"/>
      <c r="F417" s="27"/>
      <c r="G417" s="215"/>
      <c r="H417" s="27"/>
      <c r="I417" s="27"/>
      <c r="J417" s="27"/>
      <c r="K417" s="27"/>
      <c r="L417" s="27"/>
      <c r="M417" s="2"/>
    </row>
    <row r="418" spans="2:13" ht="15.75" customHeight="1" x14ac:dyDescent="0.2">
      <c r="B418" s="2"/>
      <c r="C418" s="26"/>
      <c r="D418" s="27"/>
      <c r="E418" s="27"/>
      <c r="F418" s="27"/>
      <c r="G418" s="215"/>
      <c r="H418" s="27"/>
      <c r="I418" s="27"/>
      <c r="J418" s="27"/>
      <c r="K418" s="27"/>
      <c r="L418" s="27"/>
      <c r="M418" s="2"/>
    </row>
    <row r="419" spans="2:13" ht="15.75" customHeight="1" x14ac:dyDescent="0.2">
      <c r="B419" s="2"/>
      <c r="C419" s="26"/>
      <c r="D419" s="27"/>
      <c r="E419" s="27"/>
      <c r="F419" s="27"/>
      <c r="G419" s="215"/>
      <c r="H419" s="27"/>
      <c r="I419" s="27"/>
      <c r="J419" s="27"/>
      <c r="K419" s="27"/>
      <c r="L419" s="27"/>
      <c r="M419" s="2"/>
    </row>
    <row r="420" spans="2:13" ht="15.75" customHeight="1" x14ac:dyDescent="0.2">
      <c r="B420" s="2"/>
      <c r="C420" s="26"/>
      <c r="D420" s="27"/>
      <c r="E420" s="27"/>
      <c r="F420" s="27"/>
      <c r="G420" s="215"/>
      <c r="H420" s="27"/>
      <c r="I420" s="27"/>
      <c r="J420" s="27"/>
      <c r="K420" s="27"/>
      <c r="L420" s="27"/>
      <c r="M420" s="2"/>
    </row>
    <row r="421" spans="2:13" ht="15.75" customHeight="1" x14ac:dyDescent="0.2">
      <c r="B421" s="2"/>
      <c r="C421" s="26"/>
      <c r="D421" s="27"/>
      <c r="E421" s="27"/>
      <c r="F421" s="27"/>
      <c r="G421" s="215"/>
      <c r="H421" s="27"/>
      <c r="I421" s="27"/>
      <c r="J421" s="27"/>
      <c r="K421" s="27"/>
      <c r="L421" s="27"/>
      <c r="M421" s="2"/>
    </row>
    <row r="422" spans="2:13" ht="15.75" customHeight="1" x14ac:dyDescent="0.2">
      <c r="B422" s="2"/>
      <c r="C422" s="26"/>
      <c r="D422" s="27"/>
      <c r="E422" s="27"/>
      <c r="F422" s="27"/>
      <c r="G422" s="215"/>
      <c r="H422" s="27"/>
      <c r="I422" s="27"/>
      <c r="J422" s="27"/>
      <c r="K422" s="27"/>
      <c r="L422" s="27"/>
      <c r="M422" s="2"/>
    </row>
    <row r="423" spans="2:13" ht="15.75" customHeight="1" x14ac:dyDescent="0.2">
      <c r="B423" s="2"/>
      <c r="C423" s="26"/>
      <c r="D423" s="27"/>
      <c r="E423" s="27"/>
      <c r="F423" s="27"/>
      <c r="G423" s="215"/>
      <c r="H423" s="27"/>
      <c r="I423" s="27"/>
      <c r="J423" s="27"/>
      <c r="K423" s="27"/>
      <c r="L423" s="27"/>
      <c r="M423" s="2"/>
    </row>
    <row r="424" spans="2:13" ht="15.75" customHeight="1" x14ac:dyDescent="0.2">
      <c r="B424" s="2"/>
      <c r="C424" s="26"/>
      <c r="D424" s="27"/>
      <c r="E424" s="27"/>
      <c r="F424" s="27"/>
      <c r="G424" s="215"/>
      <c r="H424" s="27"/>
      <c r="I424" s="27"/>
      <c r="J424" s="27"/>
      <c r="K424" s="27"/>
      <c r="L424" s="27"/>
      <c r="M424" s="2"/>
    </row>
    <row r="425" spans="2:13" ht="15.75" customHeight="1" x14ac:dyDescent="0.2">
      <c r="B425" s="2"/>
      <c r="C425" s="26"/>
      <c r="D425" s="27"/>
      <c r="E425" s="27"/>
      <c r="F425" s="27"/>
      <c r="G425" s="215"/>
      <c r="H425" s="27"/>
      <c r="I425" s="27"/>
      <c r="J425" s="27"/>
      <c r="K425" s="27"/>
      <c r="L425" s="27"/>
      <c r="M425" s="2"/>
    </row>
    <row r="426" spans="2:13" ht="15.75" customHeight="1" x14ac:dyDescent="0.2">
      <c r="B426" s="2"/>
      <c r="C426" s="26"/>
      <c r="D426" s="27"/>
      <c r="E426" s="27"/>
      <c r="F426" s="27"/>
      <c r="G426" s="215"/>
      <c r="H426" s="27"/>
      <c r="I426" s="27"/>
      <c r="J426" s="27"/>
      <c r="K426" s="27"/>
      <c r="L426" s="27"/>
      <c r="M426" s="2"/>
    </row>
    <row r="427" spans="2:13" ht="15.75" customHeight="1" x14ac:dyDescent="0.2">
      <c r="B427" s="2"/>
      <c r="C427" s="26"/>
      <c r="D427" s="27"/>
      <c r="E427" s="27"/>
      <c r="F427" s="27"/>
      <c r="G427" s="215"/>
      <c r="H427" s="27"/>
      <c r="I427" s="27"/>
      <c r="J427" s="27"/>
      <c r="K427" s="27"/>
      <c r="L427" s="27"/>
      <c r="M427" s="2"/>
    </row>
    <row r="428" spans="2:13" ht="15.75" customHeight="1" x14ac:dyDescent="0.2">
      <c r="B428" s="2"/>
      <c r="C428" s="26"/>
      <c r="D428" s="27"/>
      <c r="E428" s="27"/>
      <c r="F428" s="27"/>
      <c r="G428" s="215"/>
      <c r="H428" s="27"/>
      <c r="I428" s="27"/>
      <c r="J428" s="27"/>
      <c r="K428" s="27"/>
      <c r="L428" s="27"/>
      <c r="M428" s="2"/>
    </row>
    <row r="429" spans="2:13" ht="15.75" customHeight="1" x14ac:dyDescent="0.2">
      <c r="B429" s="2"/>
      <c r="C429" s="26"/>
      <c r="D429" s="27"/>
      <c r="E429" s="27"/>
      <c r="F429" s="27"/>
      <c r="G429" s="215"/>
      <c r="H429" s="27"/>
      <c r="I429" s="27"/>
      <c r="J429" s="27"/>
      <c r="K429" s="27"/>
      <c r="L429" s="27"/>
      <c r="M429" s="2"/>
    </row>
    <row r="430" spans="2:13" ht="15.75" customHeight="1" x14ac:dyDescent="0.2">
      <c r="B430" s="2"/>
      <c r="C430" s="26"/>
      <c r="D430" s="27"/>
      <c r="E430" s="27"/>
      <c r="F430" s="27"/>
      <c r="G430" s="215"/>
      <c r="H430" s="27"/>
      <c r="I430" s="27"/>
      <c r="J430" s="27"/>
      <c r="K430" s="27"/>
      <c r="L430" s="27"/>
      <c r="M430" s="2"/>
    </row>
    <row r="431" spans="2:13" ht="15.75" customHeight="1" x14ac:dyDescent="0.2">
      <c r="B431" s="2"/>
      <c r="C431" s="26"/>
      <c r="D431" s="27"/>
      <c r="E431" s="27"/>
      <c r="F431" s="27"/>
      <c r="G431" s="215"/>
      <c r="H431" s="27"/>
      <c r="I431" s="27"/>
      <c r="J431" s="27"/>
      <c r="K431" s="27"/>
      <c r="L431" s="27"/>
      <c r="M431" s="2"/>
    </row>
    <row r="432" spans="2:13" ht="15.75" customHeight="1" x14ac:dyDescent="0.2">
      <c r="B432" s="2"/>
      <c r="C432" s="26"/>
      <c r="D432" s="27"/>
      <c r="E432" s="27"/>
      <c r="F432" s="27"/>
      <c r="G432" s="215"/>
      <c r="H432" s="27"/>
      <c r="I432" s="27"/>
      <c r="J432" s="27"/>
      <c r="K432" s="27"/>
      <c r="L432" s="27"/>
      <c r="M432" s="2"/>
    </row>
    <row r="433" spans="2:13" ht="15.75" customHeight="1" x14ac:dyDescent="0.2">
      <c r="B433" s="2"/>
      <c r="C433" s="26"/>
      <c r="D433" s="27"/>
      <c r="E433" s="27"/>
      <c r="F433" s="27"/>
      <c r="G433" s="215"/>
      <c r="H433" s="27"/>
      <c r="I433" s="27"/>
      <c r="J433" s="27"/>
      <c r="K433" s="27"/>
      <c r="L433" s="27"/>
      <c r="M433" s="2"/>
    </row>
    <row r="434" spans="2:13" ht="15.75" customHeight="1" x14ac:dyDescent="0.2">
      <c r="B434" s="2"/>
      <c r="C434" s="26"/>
      <c r="D434" s="27"/>
      <c r="E434" s="27"/>
      <c r="F434" s="27"/>
      <c r="G434" s="215"/>
      <c r="H434" s="27"/>
      <c r="I434" s="27"/>
      <c r="J434" s="27"/>
      <c r="K434" s="27"/>
      <c r="L434" s="27"/>
      <c r="M434" s="2"/>
    </row>
    <row r="435" spans="2:13" ht="15.75" customHeight="1" x14ac:dyDescent="0.2">
      <c r="B435" s="2"/>
      <c r="C435" s="26"/>
      <c r="D435" s="27"/>
      <c r="E435" s="27"/>
      <c r="F435" s="27"/>
      <c r="G435" s="215"/>
      <c r="H435" s="27"/>
      <c r="I435" s="27"/>
      <c r="J435" s="27"/>
      <c r="K435" s="27"/>
      <c r="L435" s="27"/>
      <c r="M435" s="2"/>
    </row>
    <row r="436" spans="2:13" ht="15.75" customHeight="1" x14ac:dyDescent="0.2">
      <c r="B436" s="2"/>
      <c r="C436" s="26"/>
      <c r="D436" s="27"/>
      <c r="E436" s="27"/>
      <c r="F436" s="27"/>
      <c r="G436" s="215"/>
      <c r="H436" s="27"/>
      <c r="I436" s="27"/>
      <c r="J436" s="27"/>
      <c r="K436" s="27"/>
      <c r="L436" s="27"/>
      <c r="M436" s="2"/>
    </row>
    <row r="437" spans="2:13" ht="15.75" customHeight="1" x14ac:dyDescent="0.2">
      <c r="B437" s="2"/>
      <c r="C437" s="26"/>
      <c r="D437" s="27"/>
      <c r="E437" s="27"/>
      <c r="F437" s="27"/>
      <c r="G437" s="215"/>
      <c r="H437" s="27"/>
      <c r="I437" s="27"/>
      <c r="J437" s="27"/>
      <c r="K437" s="27"/>
      <c r="L437" s="27"/>
      <c r="M437" s="2"/>
    </row>
    <row r="438" spans="2:13" ht="15.75" customHeight="1" x14ac:dyDescent="0.2">
      <c r="B438" s="2"/>
      <c r="C438" s="26"/>
      <c r="D438" s="27"/>
      <c r="E438" s="27"/>
      <c r="F438" s="27"/>
      <c r="G438" s="215"/>
      <c r="H438" s="27"/>
      <c r="I438" s="27"/>
      <c r="J438" s="27"/>
      <c r="K438" s="27"/>
      <c r="L438" s="27"/>
      <c r="M438" s="2"/>
    </row>
    <row r="439" spans="2:13" ht="15.75" customHeight="1" x14ac:dyDescent="0.2">
      <c r="B439" s="2"/>
      <c r="C439" s="26"/>
      <c r="D439" s="27"/>
      <c r="E439" s="27"/>
      <c r="F439" s="27"/>
      <c r="G439" s="215"/>
      <c r="H439" s="27"/>
      <c r="I439" s="27"/>
      <c r="J439" s="27"/>
      <c r="K439" s="27"/>
      <c r="L439" s="27"/>
      <c r="M439" s="2"/>
    </row>
    <row r="440" spans="2:13" ht="15.75" customHeight="1" x14ac:dyDescent="0.2">
      <c r="B440" s="2"/>
      <c r="C440" s="26"/>
      <c r="D440" s="27"/>
      <c r="E440" s="27"/>
      <c r="F440" s="27"/>
      <c r="G440" s="215"/>
      <c r="H440" s="27"/>
      <c r="I440" s="27"/>
      <c r="J440" s="27"/>
      <c r="K440" s="27"/>
      <c r="L440" s="27"/>
      <c r="M440" s="2"/>
    </row>
    <row r="441" spans="2:13" ht="15.75" customHeight="1" x14ac:dyDescent="0.2">
      <c r="B441" s="2"/>
      <c r="C441" s="26"/>
      <c r="D441" s="27"/>
      <c r="E441" s="27"/>
      <c r="F441" s="27"/>
      <c r="G441" s="215"/>
      <c r="H441" s="27"/>
      <c r="I441" s="27"/>
      <c r="J441" s="27"/>
      <c r="K441" s="27"/>
      <c r="L441" s="27"/>
      <c r="M441" s="2"/>
    </row>
    <row r="442" spans="2:13" ht="15.75" customHeight="1" x14ac:dyDescent="0.2">
      <c r="B442" s="2"/>
      <c r="C442" s="26"/>
      <c r="D442" s="27"/>
      <c r="E442" s="27"/>
      <c r="F442" s="27"/>
      <c r="G442" s="215"/>
      <c r="H442" s="27"/>
      <c r="I442" s="27"/>
      <c r="J442" s="27"/>
      <c r="K442" s="27"/>
      <c r="L442" s="27"/>
      <c r="M442" s="2"/>
    </row>
    <row r="443" spans="2:13" ht="15.75" customHeight="1" x14ac:dyDescent="0.2">
      <c r="B443" s="2"/>
      <c r="C443" s="26"/>
      <c r="D443" s="27"/>
      <c r="E443" s="27"/>
      <c r="F443" s="27"/>
      <c r="G443" s="215"/>
      <c r="H443" s="27"/>
      <c r="I443" s="27"/>
      <c r="J443" s="27"/>
      <c r="K443" s="27"/>
      <c r="L443" s="27"/>
      <c r="M443" s="2"/>
    </row>
    <row r="444" spans="2:13" ht="15.75" customHeight="1" x14ac:dyDescent="0.2">
      <c r="B444" s="2"/>
      <c r="C444" s="26"/>
      <c r="D444" s="27"/>
      <c r="E444" s="27"/>
      <c r="F444" s="27"/>
      <c r="G444" s="215"/>
      <c r="H444" s="27"/>
      <c r="I444" s="27"/>
      <c r="J444" s="27"/>
      <c r="K444" s="27"/>
      <c r="L444" s="27"/>
      <c r="M444" s="2"/>
    </row>
    <row r="445" spans="2:13" ht="15.75" customHeight="1" x14ac:dyDescent="0.2">
      <c r="B445" s="2"/>
      <c r="C445" s="26"/>
      <c r="D445" s="27"/>
      <c r="E445" s="27"/>
      <c r="F445" s="27"/>
      <c r="G445" s="215"/>
      <c r="H445" s="27"/>
      <c r="I445" s="27"/>
      <c r="J445" s="27"/>
      <c r="K445" s="27"/>
      <c r="L445" s="27"/>
      <c r="M445" s="2"/>
    </row>
    <row r="446" spans="2:13" ht="15.75" customHeight="1" x14ac:dyDescent="0.2">
      <c r="B446" s="2"/>
      <c r="C446" s="26"/>
      <c r="D446" s="27"/>
      <c r="E446" s="27"/>
      <c r="F446" s="27"/>
      <c r="G446" s="215"/>
      <c r="H446" s="27"/>
      <c r="I446" s="27"/>
      <c r="J446" s="27"/>
      <c r="K446" s="27"/>
      <c r="L446" s="27"/>
      <c r="M446" s="2"/>
    </row>
    <row r="447" spans="2:13" ht="15.75" customHeight="1" x14ac:dyDescent="0.2">
      <c r="B447" s="2"/>
      <c r="C447" s="26"/>
      <c r="D447" s="27"/>
      <c r="E447" s="27"/>
      <c r="F447" s="27"/>
      <c r="G447" s="215"/>
      <c r="H447" s="27"/>
      <c r="I447" s="27"/>
      <c r="J447" s="27"/>
      <c r="K447" s="27"/>
      <c r="L447" s="27"/>
      <c r="M447" s="2"/>
    </row>
    <row r="448" spans="2:13" ht="15.75" customHeight="1" x14ac:dyDescent="0.2">
      <c r="B448" s="2"/>
      <c r="C448" s="26"/>
      <c r="D448" s="27"/>
      <c r="E448" s="27"/>
      <c r="F448" s="27"/>
      <c r="G448" s="215"/>
      <c r="H448" s="27"/>
      <c r="I448" s="27"/>
      <c r="J448" s="27"/>
      <c r="K448" s="27"/>
      <c r="L448" s="27"/>
      <c r="M448" s="2"/>
    </row>
    <row r="449" spans="2:13" ht="15.75" customHeight="1" x14ac:dyDescent="0.2">
      <c r="B449" s="2"/>
      <c r="C449" s="26"/>
      <c r="D449" s="27"/>
      <c r="E449" s="27"/>
      <c r="F449" s="27"/>
      <c r="G449" s="215"/>
      <c r="H449" s="27"/>
      <c r="I449" s="27"/>
      <c r="J449" s="27"/>
      <c r="K449" s="27"/>
      <c r="L449" s="27"/>
      <c r="M449" s="2"/>
    </row>
    <row r="450" spans="2:13" ht="15.75" customHeight="1" x14ac:dyDescent="0.2">
      <c r="B450" s="2"/>
      <c r="C450" s="26"/>
      <c r="D450" s="27"/>
      <c r="E450" s="27"/>
      <c r="F450" s="27"/>
      <c r="G450" s="215"/>
      <c r="H450" s="27"/>
      <c r="I450" s="27"/>
      <c r="J450" s="27"/>
      <c r="K450" s="27"/>
      <c r="L450" s="27"/>
      <c r="M450" s="2"/>
    </row>
    <row r="451" spans="2:13" ht="15.75" customHeight="1" x14ac:dyDescent="0.2">
      <c r="B451" s="2"/>
      <c r="C451" s="26"/>
      <c r="D451" s="27"/>
      <c r="E451" s="27"/>
      <c r="F451" s="27"/>
      <c r="G451" s="215"/>
      <c r="H451" s="27"/>
      <c r="I451" s="27"/>
      <c r="J451" s="27"/>
      <c r="K451" s="27"/>
      <c r="L451" s="27"/>
      <c r="M451" s="2"/>
    </row>
    <row r="452" spans="2:13" ht="15.75" customHeight="1" x14ac:dyDescent="0.2">
      <c r="B452" s="2"/>
      <c r="C452" s="26"/>
      <c r="D452" s="27"/>
      <c r="E452" s="27"/>
      <c r="F452" s="27"/>
      <c r="G452" s="215"/>
      <c r="H452" s="27"/>
      <c r="I452" s="27"/>
      <c r="J452" s="27"/>
      <c r="K452" s="27"/>
      <c r="L452" s="27"/>
      <c r="M452" s="2"/>
    </row>
    <row r="453" spans="2:13" ht="15.75" customHeight="1" x14ac:dyDescent="0.2">
      <c r="B453" s="2"/>
      <c r="C453" s="26"/>
      <c r="D453" s="27"/>
      <c r="E453" s="27"/>
      <c r="F453" s="27"/>
      <c r="G453" s="215"/>
      <c r="H453" s="27"/>
      <c r="I453" s="27"/>
      <c r="J453" s="27"/>
      <c r="K453" s="27"/>
      <c r="L453" s="27"/>
      <c r="M453" s="2"/>
    </row>
    <row r="454" spans="2:13" ht="15.75" customHeight="1" x14ac:dyDescent="0.2">
      <c r="B454" s="2"/>
      <c r="C454" s="26"/>
      <c r="D454" s="27"/>
      <c r="E454" s="27"/>
      <c r="F454" s="27"/>
      <c r="G454" s="215"/>
      <c r="H454" s="27"/>
      <c r="I454" s="27"/>
      <c r="J454" s="27"/>
      <c r="K454" s="27"/>
      <c r="L454" s="27"/>
      <c r="M454" s="2"/>
    </row>
    <row r="455" spans="2:13" ht="15.75" customHeight="1" x14ac:dyDescent="0.2">
      <c r="B455" s="2"/>
      <c r="C455" s="26"/>
      <c r="D455" s="27"/>
      <c r="E455" s="27"/>
      <c r="F455" s="27"/>
      <c r="G455" s="215"/>
      <c r="H455" s="27"/>
      <c r="I455" s="27"/>
      <c r="J455" s="27"/>
      <c r="K455" s="27"/>
      <c r="L455" s="27"/>
      <c r="M455" s="2"/>
    </row>
    <row r="456" spans="2:13" ht="15.75" customHeight="1" x14ac:dyDescent="0.2">
      <c r="B456" s="2"/>
      <c r="C456" s="26"/>
      <c r="D456" s="27"/>
      <c r="E456" s="27"/>
      <c r="F456" s="27"/>
      <c r="G456" s="215"/>
      <c r="H456" s="27"/>
      <c r="I456" s="27"/>
      <c r="J456" s="27"/>
      <c r="K456" s="27"/>
      <c r="L456" s="27"/>
      <c r="M456" s="2"/>
    </row>
    <row r="457" spans="2:13" ht="15.75" customHeight="1" x14ac:dyDescent="0.2">
      <c r="B457" s="2"/>
      <c r="C457" s="26"/>
      <c r="D457" s="27"/>
      <c r="E457" s="27"/>
      <c r="F457" s="27"/>
      <c r="G457" s="215"/>
      <c r="H457" s="27"/>
      <c r="I457" s="27"/>
      <c r="J457" s="27"/>
      <c r="K457" s="27"/>
      <c r="L457" s="27"/>
      <c r="M457" s="2"/>
    </row>
    <row r="458" spans="2:13" ht="15.75" customHeight="1" x14ac:dyDescent="0.2">
      <c r="B458" s="2"/>
      <c r="C458" s="26"/>
      <c r="D458" s="27"/>
      <c r="E458" s="27"/>
      <c r="F458" s="27"/>
      <c r="G458" s="215"/>
      <c r="H458" s="27"/>
      <c r="I458" s="27"/>
      <c r="J458" s="27"/>
      <c r="K458" s="27"/>
      <c r="L458" s="27"/>
      <c r="M458" s="2"/>
    </row>
    <row r="459" spans="2:13" ht="15.75" customHeight="1" x14ac:dyDescent="0.2">
      <c r="B459" s="2"/>
      <c r="C459" s="26"/>
      <c r="D459" s="27"/>
      <c r="E459" s="27"/>
      <c r="F459" s="27"/>
      <c r="G459" s="215"/>
      <c r="H459" s="27"/>
      <c r="I459" s="27"/>
      <c r="J459" s="27"/>
      <c r="K459" s="27"/>
      <c r="L459" s="27"/>
      <c r="M459" s="2"/>
    </row>
    <row r="460" spans="2:13" ht="15.75" customHeight="1" x14ac:dyDescent="0.2">
      <c r="B460" s="2"/>
      <c r="C460" s="26"/>
      <c r="D460" s="27"/>
      <c r="E460" s="27"/>
      <c r="F460" s="27"/>
      <c r="G460" s="215"/>
      <c r="H460" s="27"/>
      <c r="I460" s="27"/>
      <c r="J460" s="27"/>
      <c r="K460" s="27"/>
      <c r="L460" s="27"/>
      <c r="M460" s="2"/>
    </row>
    <row r="461" spans="2:13" ht="15.75" customHeight="1" x14ac:dyDescent="0.2">
      <c r="B461" s="2"/>
      <c r="C461" s="26"/>
      <c r="D461" s="27"/>
      <c r="E461" s="27"/>
      <c r="F461" s="27"/>
      <c r="G461" s="215"/>
      <c r="H461" s="27"/>
      <c r="I461" s="27"/>
      <c r="J461" s="27"/>
      <c r="K461" s="27"/>
      <c r="L461" s="27"/>
      <c r="M461" s="2"/>
    </row>
    <row r="462" spans="2:13" ht="15.75" customHeight="1" x14ac:dyDescent="0.2">
      <c r="B462" s="2"/>
      <c r="C462" s="26"/>
      <c r="D462" s="27"/>
      <c r="E462" s="27"/>
      <c r="F462" s="27"/>
      <c r="G462" s="215"/>
      <c r="H462" s="27"/>
      <c r="I462" s="27"/>
      <c r="J462" s="27"/>
      <c r="K462" s="27"/>
      <c r="L462" s="27"/>
      <c r="M462" s="2"/>
    </row>
    <row r="463" spans="2:13" ht="15.75" customHeight="1" x14ac:dyDescent="0.2">
      <c r="B463" s="2"/>
      <c r="C463" s="26"/>
      <c r="D463" s="27"/>
      <c r="E463" s="27"/>
      <c r="F463" s="27"/>
      <c r="G463" s="215"/>
      <c r="H463" s="27"/>
      <c r="I463" s="27"/>
      <c r="J463" s="27"/>
      <c r="K463" s="27"/>
      <c r="L463" s="27"/>
      <c r="M463" s="2"/>
    </row>
    <row r="464" spans="2:13" ht="15.75" customHeight="1" x14ac:dyDescent="0.2">
      <c r="B464" s="2"/>
      <c r="C464" s="26"/>
      <c r="D464" s="27"/>
      <c r="E464" s="27"/>
      <c r="F464" s="27"/>
      <c r="G464" s="215"/>
      <c r="H464" s="27"/>
      <c r="I464" s="27"/>
      <c r="J464" s="27"/>
      <c r="K464" s="27"/>
      <c r="L464" s="27"/>
      <c r="M464" s="2"/>
    </row>
    <row r="465" spans="2:13" ht="15.75" customHeight="1" x14ac:dyDescent="0.2">
      <c r="B465" s="2"/>
      <c r="C465" s="26"/>
      <c r="D465" s="27"/>
      <c r="E465" s="27"/>
      <c r="F465" s="27"/>
      <c r="G465" s="215"/>
      <c r="H465" s="27"/>
      <c r="I465" s="27"/>
      <c r="J465" s="27"/>
      <c r="K465" s="27"/>
      <c r="L465" s="27"/>
      <c r="M465" s="2"/>
    </row>
    <row r="466" spans="2:13" ht="15.75" customHeight="1" x14ac:dyDescent="0.2">
      <c r="B466" s="2"/>
      <c r="C466" s="26"/>
      <c r="D466" s="27"/>
      <c r="E466" s="27"/>
      <c r="F466" s="27"/>
      <c r="G466" s="215"/>
      <c r="H466" s="27"/>
      <c r="I466" s="27"/>
      <c r="J466" s="27"/>
      <c r="K466" s="27"/>
      <c r="L466" s="27"/>
      <c r="M466" s="2"/>
    </row>
    <row r="467" spans="2:13" ht="15.75" customHeight="1" x14ac:dyDescent="0.2">
      <c r="B467" s="2"/>
      <c r="C467" s="26"/>
      <c r="D467" s="27"/>
      <c r="E467" s="27"/>
      <c r="F467" s="27"/>
      <c r="G467" s="215"/>
      <c r="H467" s="27"/>
      <c r="I467" s="27"/>
      <c r="J467" s="27"/>
      <c r="K467" s="27"/>
      <c r="L467" s="27"/>
      <c r="M467" s="2"/>
    </row>
    <row r="468" spans="2:13" ht="15.75" customHeight="1" x14ac:dyDescent="0.2">
      <c r="B468" s="2"/>
      <c r="C468" s="26"/>
      <c r="D468" s="27"/>
      <c r="E468" s="27"/>
      <c r="F468" s="27"/>
      <c r="G468" s="215"/>
      <c r="H468" s="27"/>
      <c r="I468" s="27"/>
      <c r="J468" s="27"/>
      <c r="K468" s="27"/>
      <c r="L468" s="27"/>
      <c r="M468" s="2"/>
    </row>
    <row r="469" spans="2:13" ht="15.75" customHeight="1" x14ac:dyDescent="0.2">
      <c r="B469" s="2"/>
      <c r="C469" s="26"/>
      <c r="D469" s="27"/>
      <c r="E469" s="27"/>
      <c r="F469" s="27"/>
      <c r="G469" s="215"/>
      <c r="H469" s="27"/>
      <c r="I469" s="27"/>
      <c r="J469" s="27"/>
      <c r="K469" s="27"/>
      <c r="L469" s="27"/>
      <c r="M469" s="2"/>
    </row>
    <row r="470" spans="2:13" ht="15.75" customHeight="1" x14ac:dyDescent="0.2">
      <c r="B470" s="2"/>
      <c r="C470" s="26"/>
      <c r="D470" s="27"/>
      <c r="E470" s="27"/>
      <c r="F470" s="27"/>
      <c r="G470" s="215"/>
      <c r="H470" s="27"/>
      <c r="I470" s="27"/>
      <c r="J470" s="27"/>
      <c r="K470" s="27"/>
      <c r="L470" s="27"/>
      <c r="M470" s="2"/>
    </row>
    <row r="471" spans="2:13" ht="15.75" customHeight="1" x14ac:dyDescent="0.2">
      <c r="B471" s="2"/>
      <c r="C471" s="26"/>
      <c r="D471" s="27"/>
      <c r="E471" s="27"/>
      <c r="F471" s="27"/>
      <c r="G471" s="215"/>
      <c r="H471" s="27"/>
      <c r="I471" s="27"/>
      <c r="J471" s="27"/>
      <c r="K471" s="27"/>
      <c r="L471" s="27"/>
      <c r="M471" s="2"/>
    </row>
    <row r="472" spans="2:13" ht="15.75" customHeight="1" x14ac:dyDescent="0.2">
      <c r="B472" s="2"/>
      <c r="C472" s="26"/>
      <c r="D472" s="27"/>
      <c r="E472" s="27"/>
      <c r="F472" s="27"/>
      <c r="G472" s="215"/>
      <c r="H472" s="27"/>
      <c r="I472" s="27"/>
      <c r="J472" s="27"/>
      <c r="K472" s="27"/>
      <c r="L472" s="27"/>
      <c r="M472" s="2"/>
    </row>
    <row r="473" spans="2:13" ht="15.75" customHeight="1" x14ac:dyDescent="0.2">
      <c r="B473" s="2"/>
      <c r="C473" s="26"/>
      <c r="D473" s="27"/>
      <c r="E473" s="27"/>
      <c r="F473" s="27"/>
      <c r="G473" s="215"/>
      <c r="H473" s="27"/>
      <c r="I473" s="27"/>
      <c r="J473" s="27"/>
      <c r="K473" s="27"/>
      <c r="L473" s="27"/>
      <c r="M473" s="2"/>
    </row>
    <row r="474" spans="2:13" ht="15.75" customHeight="1" x14ac:dyDescent="0.2">
      <c r="B474" s="2"/>
      <c r="C474" s="26"/>
      <c r="D474" s="27"/>
      <c r="E474" s="27"/>
      <c r="F474" s="27"/>
      <c r="G474" s="215"/>
      <c r="H474" s="27"/>
      <c r="I474" s="27"/>
      <c r="J474" s="27"/>
      <c r="K474" s="27"/>
      <c r="L474" s="27"/>
      <c r="M474" s="2"/>
    </row>
    <row r="475" spans="2:13" ht="15.75" customHeight="1" x14ac:dyDescent="0.2">
      <c r="B475" s="2"/>
      <c r="C475" s="26"/>
      <c r="D475" s="27"/>
      <c r="E475" s="27"/>
      <c r="F475" s="27"/>
      <c r="G475" s="215"/>
      <c r="H475" s="27"/>
      <c r="I475" s="27"/>
      <c r="J475" s="27"/>
      <c r="K475" s="27"/>
      <c r="L475" s="27"/>
      <c r="M475" s="2"/>
    </row>
    <row r="476" spans="2:13" ht="15.75" customHeight="1" x14ac:dyDescent="0.2">
      <c r="B476" s="2"/>
      <c r="C476" s="26"/>
      <c r="D476" s="27"/>
      <c r="E476" s="27"/>
      <c r="F476" s="27"/>
      <c r="G476" s="215"/>
      <c r="H476" s="27"/>
      <c r="I476" s="27"/>
      <c r="J476" s="27"/>
      <c r="K476" s="27"/>
      <c r="L476" s="27"/>
      <c r="M476" s="2"/>
    </row>
    <row r="477" spans="2:13" ht="15.75" customHeight="1" x14ac:dyDescent="0.2">
      <c r="B477" s="2"/>
      <c r="C477" s="26"/>
      <c r="D477" s="27"/>
      <c r="E477" s="27"/>
      <c r="F477" s="27"/>
      <c r="G477" s="215"/>
      <c r="H477" s="27"/>
      <c r="I477" s="27"/>
      <c r="J477" s="27"/>
      <c r="K477" s="27"/>
      <c r="L477" s="27"/>
      <c r="M477" s="2"/>
    </row>
    <row r="478" spans="2:13" ht="15.75" customHeight="1" x14ac:dyDescent="0.2">
      <c r="B478" s="2"/>
      <c r="C478" s="26"/>
      <c r="D478" s="27"/>
      <c r="E478" s="27"/>
      <c r="F478" s="27"/>
      <c r="G478" s="215"/>
      <c r="H478" s="27"/>
      <c r="I478" s="27"/>
      <c r="J478" s="27"/>
      <c r="K478" s="27"/>
      <c r="L478" s="27"/>
      <c r="M478" s="2"/>
    </row>
    <row r="479" spans="2:13" ht="15.75" customHeight="1" x14ac:dyDescent="0.2">
      <c r="B479" s="2"/>
      <c r="C479" s="26"/>
      <c r="D479" s="27"/>
      <c r="E479" s="27"/>
      <c r="F479" s="27"/>
      <c r="G479" s="215"/>
      <c r="H479" s="27"/>
      <c r="I479" s="27"/>
      <c r="J479" s="27"/>
      <c r="K479" s="27"/>
      <c r="L479" s="27"/>
      <c r="M479" s="2"/>
    </row>
    <row r="480" spans="2:13" ht="15.75" customHeight="1" x14ac:dyDescent="0.2">
      <c r="B480" s="2"/>
      <c r="C480" s="26"/>
      <c r="D480" s="27"/>
      <c r="E480" s="27"/>
      <c r="F480" s="27"/>
      <c r="G480" s="215"/>
      <c r="H480" s="27"/>
      <c r="I480" s="27"/>
      <c r="J480" s="27"/>
      <c r="K480" s="27"/>
      <c r="L480" s="27"/>
      <c r="M480" s="2"/>
    </row>
    <row r="481" spans="2:13" ht="15.75" customHeight="1" x14ac:dyDescent="0.2">
      <c r="B481" s="2"/>
      <c r="C481" s="26"/>
      <c r="D481" s="27"/>
      <c r="E481" s="27"/>
      <c r="F481" s="27"/>
      <c r="G481" s="215"/>
      <c r="H481" s="27"/>
      <c r="I481" s="27"/>
      <c r="J481" s="27"/>
      <c r="K481" s="27"/>
      <c r="L481" s="27"/>
      <c r="M481" s="2"/>
    </row>
    <row r="482" spans="2:13" ht="15.75" customHeight="1" x14ac:dyDescent="0.2">
      <c r="B482" s="2"/>
      <c r="C482" s="26"/>
      <c r="D482" s="27"/>
      <c r="E482" s="27"/>
      <c r="F482" s="27"/>
      <c r="G482" s="215"/>
      <c r="H482" s="27"/>
      <c r="I482" s="27"/>
      <c r="J482" s="27"/>
      <c r="K482" s="27"/>
      <c r="L482" s="27"/>
      <c r="M482" s="2"/>
    </row>
    <row r="483" spans="2:13" ht="15.75" customHeight="1" x14ac:dyDescent="0.2">
      <c r="B483" s="2"/>
      <c r="C483" s="26"/>
      <c r="D483" s="27"/>
      <c r="E483" s="27"/>
      <c r="F483" s="27"/>
      <c r="G483" s="215"/>
      <c r="H483" s="27"/>
      <c r="I483" s="27"/>
      <c r="J483" s="27"/>
      <c r="K483" s="27"/>
      <c r="L483" s="27"/>
      <c r="M483" s="2"/>
    </row>
    <row r="484" spans="2:13" ht="15.75" customHeight="1" x14ac:dyDescent="0.2">
      <c r="B484" s="2"/>
      <c r="C484" s="26"/>
      <c r="D484" s="27"/>
      <c r="E484" s="27"/>
      <c r="F484" s="27"/>
      <c r="G484" s="215"/>
      <c r="H484" s="27"/>
      <c r="I484" s="27"/>
      <c r="J484" s="27"/>
      <c r="K484" s="27"/>
      <c r="L484" s="27"/>
      <c r="M484" s="2"/>
    </row>
    <row r="485" spans="2:13" ht="15.75" customHeight="1" x14ac:dyDescent="0.2">
      <c r="B485" s="2"/>
      <c r="C485" s="26"/>
      <c r="D485" s="27"/>
      <c r="E485" s="27"/>
      <c r="F485" s="27"/>
      <c r="G485" s="215"/>
      <c r="H485" s="27"/>
      <c r="I485" s="27"/>
      <c r="J485" s="27"/>
      <c r="K485" s="27"/>
      <c r="L485" s="27"/>
      <c r="M485" s="2"/>
    </row>
    <row r="486" spans="2:13" ht="15.75" customHeight="1" x14ac:dyDescent="0.2">
      <c r="B486" s="2"/>
      <c r="C486" s="26"/>
      <c r="D486" s="27"/>
      <c r="E486" s="27"/>
      <c r="F486" s="27"/>
      <c r="G486" s="215"/>
      <c r="H486" s="27"/>
      <c r="I486" s="27"/>
      <c r="J486" s="27"/>
      <c r="K486" s="27"/>
      <c r="L486" s="27"/>
      <c r="M486" s="2"/>
    </row>
    <row r="487" spans="2:13" ht="15.75" customHeight="1" x14ac:dyDescent="0.2">
      <c r="B487" s="2"/>
      <c r="C487" s="26"/>
      <c r="D487" s="27"/>
      <c r="E487" s="27"/>
      <c r="F487" s="27"/>
      <c r="G487" s="215"/>
      <c r="H487" s="27"/>
      <c r="I487" s="27"/>
      <c r="J487" s="27"/>
      <c r="K487" s="27"/>
      <c r="L487" s="27"/>
      <c r="M487" s="2"/>
    </row>
    <row r="488" spans="2:13" ht="15.75" customHeight="1" x14ac:dyDescent="0.2">
      <c r="B488" s="2"/>
      <c r="C488" s="26"/>
      <c r="D488" s="27"/>
      <c r="E488" s="27"/>
      <c r="F488" s="27"/>
      <c r="G488" s="215"/>
      <c r="H488" s="27"/>
      <c r="I488" s="27"/>
      <c r="J488" s="27"/>
      <c r="K488" s="27"/>
      <c r="L488" s="27"/>
      <c r="M488" s="2"/>
    </row>
    <row r="489" spans="2:13" ht="15.75" customHeight="1" x14ac:dyDescent="0.2">
      <c r="B489" s="2"/>
      <c r="C489" s="26"/>
      <c r="D489" s="27"/>
      <c r="E489" s="27"/>
      <c r="F489" s="27"/>
      <c r="G489" s="215"/>
      <c r="H489" s="27"/>
      <c r="I489" s="27"/>
      <c r="J489" s="27"/>
      <c r="K489" s="27"/>
      <c r="L489" s="27"/>
      <c r="M489" s="2"/>
    </row>
    <row r="490" spans="2:13" ht="15.75" customHeight="1" x14ac:dyDescent="0.2">
      <c r="B490" s="2"/>
      <c r="C490" s="26"/>
      <c r="D490" s="27"/>
      <c r="E490" s="27"/>
      <c r="F490" s="27"/>
      <c r="G490" s="215"/>
      <c r="H490" s="27"/>
      <c r="I490" s="27"/>
      <c r="J490" s="27"/>
      <c r="K490" s="27"/>
      <c r="L490" s="27"/>
      <c r="M490" s="2"/>
    </row>
    <row r="491" spans="2:13" ht="15.75" customHeight="1" x14ac:dyDescent="0.2">
      <c r="B491" s="2"/>
      <c r="C491" s="26"/>
      <c r="D491" s="27"/>
      <c r="E491" s="27"/>
      <c r="F491" s="27"/>
      <c r="G491" s="215"/>
      <c r="H491" s="27"/>
      <c r="I491" s="27"/>
      <c r="J491" s="27"/>
      <c r="K491" s="27"/>
      <c r="L491" s="27"/>
      <c r="M491" s="2"/>
    </row>
    <row r="492" spans="2:13" ht="15.75" customHeight="1" x14ac:dyDescent="0.2">
      <c r="B492" s="2"/>
      <c r="C492" s="26"/>
      <c r="D492" s="27"/>
      <c r="E492" s="27"/>
      <c r="F492" s="27"/>
      <c r="G492" s="215"/>
      <c r="H492" s="27"/>
      <c r="I492" s="27"/>
      <c r="J492" s="27"/>
      <c r="K492" s="27"/>
      <c r="L492" s="27"/>
      <c r="M492" s="2"/>
    </row>
    <row r="493" spans="2:13" ht="15.75" customHeight="1" x14ac:dyDescent="0.2">
      <c r="B493" s="2"/>
      <c r="C493" s="26"/>
      <c r="D493" s="27"/>
      <c r="E493" s="27"/>
      <c r="F493" s="27"/>
      <c r="G493" s="215"/>
      <c r="H493" s="27"/>
      <c r="I493" s="27"/>
      <c r="J493" s="27"/>
      <c r="K493" s="27"/>
      <c r="L493" s="27"/>
      <c r="M493" s="2"/>
    </row>
    <row r="494" spans="2:13" ht="15.75" customHeight="1" x14ac:dyDescent="0.2">
      <c r="B494" s="2"/>
      <c r="C494" s="26"/>
      <c r="D494" s="27"/>
      <c r="E494" s="27"/>
      <c r="F494" s="27"/>
      <c r="G494" s="215"/>
      <c r="H494" s="27"/>
      <c r="I494" s="27"/>
      <c r="J494" s="27"/>
      <c r="K494" s="27"/>
      <c r="L494" s="27"/>
      <c r="M494" s="2"/>
    </row>
    <row r="495" spans="2:13" ht="15.75" customHeight="1" x14ac:dyDescent="0.2">
      <c r="B495" s="2"/>
      <c r="C495" s="26"/>
      <c r="D495" s="27"/>
      <c r="E495" s="27"/>
      <c r="F495" s="27"/>
      <c r="G495" s="215"/>
      <c r="H495" s="27"/>
      <c r="I495" s="27"/>
      <c r="J495" s="27"/>
      <c r="K495" s="27"/>
      <c r="L495" s="27"/>
      <c r="M495" s="2"/>
    </row>
    <row r="496" spans="2:13" ht="15.75" customHeight="1" x14ac:dyDescent="0.2">
      <c r="B496" s="2"/>
      <c r="C496" s="26"/>
      <c r="D496" s="27"/>
      <c r="E496" s="27"/>
      <c r="F496" s="27"/>
      <c r="G496" s="215"/>
      <c r="H496" s="27"/>
      <c r="I496" s="27"/>
      <c r="J496" s="27"/>
      <c r="K496" s="27"/>
      <c r="L496" s="27"/>
      <c r="M496" s="2"/>
    </row>
    <row r="497" spans="2:13" ht="15.75" customHeight="1" x14ac:dyDescent="0.2">
      <c r="B497" s="2"/>
      <c r="C497" s="26"/>
      <c r="D497" s="27"/>
      <c r="E497" s="27"/>
      <c r="F497" s="27"/>
      <c r="G497" s="215"/>
      <c r="H497" s="27"/>
      <c r="I497" s="27"/>
      <c r="J497" s="27"/>
      <c r="K497" s="27"/>
      <c r="L497" s="27"/>
      <c r="M497" s="2"/>
    </row>
    <row r="498" spans="2:13" ht="15.75" customHeight="1" x14ac:dyDescent="0.2">
      <c r="B498" s="2"/>
      <c r="C498" s="26"/>
      <c r="D498" s="27"/>
      <c r="E498" s="27"/>
      <c r="F498" s="27"/>
      <c r="G498" s="215"/>
      <c r="H498" s="27"/>
      <c r="I498" s="27"/>
      <c r="J498" s="27"/>
      <c r="K498" s="27"/>
      <c r="L498" s="27"/>
      <c r="M498" s="2"/>
    </row>
    <row r="499" spans="2:13" ht="15.75" customHeight="1" x14ac:dyDescent="0.2">
      <c r="B499" s="2"/>
      <c r="C499" s="26"/>
      <c r="D499" s="27"/>
      <c r="E499" s="27"/>
      <c r="F499" s="27"/>
      <c r="G499" s="215"/>
      <c r="H499" s="27"/>
      <c r="I499" s="27"/>
      <c r="J499" s="27"/>
      <c r="K499" s="27"/>
      <c r="L499" s="27"/>
      <c r="M499" s="2"/>
    </row>
    <row r="500" spans="2:13" ht="15.75" customHeight="1" x14ac:dyDescent="0.2">
      <c r="B500" s="2"/>
      <c r="C500" s="26"/>
      <c r="D500" s="27"/>
      <c r="E500" s="27"/>
      <c r="F500" s="27"/>
      <c r="G500" s="215"/>
      <c r="H500" s="27"/>
      <c r="I500" s="27"/>
      <c r="J500" s="27"/>
      <c r="K500" s="27"/>
      <c r="L500" s="27"/>
      <c r="M500" s="2"/>
    </row>
    <row r="501" spans="2:13" ht="15.75" customHeight="1" x14ac:dyDescent="0.2">
      <c r="B501" s="2"/>
      <c r="C501" s="26"/>
      <c r="D501" s="27"/>
      <c r="E501" s="27"/>
      <c r="F501" s="27"/>
      <c r="G501" s="215"/>
      <c r="H501" s="27"/>
      <c r="I501" s="27"/>
      <c r="J501" s="27"/>
      <c r="K501" s="27"/>
      <c r="L501" s="27"/>
      <c r="M501" s="2"/>
    </row>
    <row r="502" spans="2:13" ht="15.75" customHeight="1" x14ac:dyDescent="0.2">
      <c r="B502" s="2"/>
      <c r="C502" s="26"/>
      <c r="D502" s="27"/>
      <c r="E502" s="27"/>
      <c r="F502" s="27"/>
      <c r="G502" s="215"/>
      <c r="H502" s="27"/>
      <c r="I502" s="27"/>
      <c r="J502" s="27"/>
      <c r="K502" s="27"/>
      <c r="L502" s="27"/>
      <c r="M502" s="2"/>
    </row>
    <row r="503" spans="2:13" ht="15.75" customHeight="1" x14ac:dyDescent="0.2">
      <c r="B503" s="2"/>
      <c r="C503" s="26"/>
      <c r="D503" s="27"/>
      <c r="E503" s="27"/>
      <c r="F503" s="27"/>
      <c r="G503" s="215"/>
      <c r="H503" s="27"/>
      <c r="I503" s="27"/>
      <c r="J503" s="27"/>
      <c r="K503" s="27"/>
      <c r="L503" s="27"/>
      <c r="M503" s="2"/>
    </row>
    <row r="504" spans="2:13" ht="15.75" customHeight="1" x14ac:dyDescent="0.2">
      <c r="B504" s="2"/>
      <c r="C504" s="26"/>
      <c r="D504" s="27"/>
      <c r="E504" s="27"/>
      <c r="F504" s="27"/>
      <c r="G504" s="215"/>
      <c r="H504" s="27"/>
      <c r="I504" s="27"/>
      <c r="J504" s="27"/>
      <c r="K504" s="27"/>
      <c r="L504" s="27"/>
      <c r="M504" s="2"/>
    </row>
    <row r="505" spans="2:13" ht="15.75" customHeight="1" x14ac:dyDescent="0.2">
      <c r="B505" s="2"/>
      <c r="C505" s="26"/>
      <c r="D505" s="27"/>
      <c r="E505" s="27"/>
      <c r="F505" s="27"/>
      <c r="G505" s="215"/>
      <c r="H505" s="27"/>
      <c r="I505" s="27"/>
      <c r="J505" s="27"/>
      <c r="K505" s="27"/>
      <c r="L505" s="27"/>
      <c r="M505" s="2"/>
    </row>
    <row r="506" spans="2:13" ht="15.75" customHeight="1" x14ac:dyDescent="0.2">
      <c r="B506" s="2"/>
      <c r="C506" s="26"/>
      <c r="D506" s="27"/>
      <c r="E506" s="27"/>
      <c r="F506" s="27"/>
      <c r="G506" s="215"/>
      <c r="H506" s="27"/>
      <c r="I506" s="27"/>
      <c r="J506" s="27"/>
      <c r="K506" s="27"/>
      <c r="L506" s="27"/>
      <c r="M506" s="2"/>
    </row>
    <row r="507" spans="2:13" ht="15.75" customHeight="1" x14ac:dyDescent="0.2">
      <c r="B507" s="2"/>
      <c r="C507" s="26"/>
      <c r="D507" s="27"/>
      <c r="E507" s="27"/>
      <c r="F507" s="27"/>
      <c r="G507" s="215"/>
      <c r="H507" s="27"/>
      <c r="I507" s="27"/>
      <c r="J507" s="27"/>
      <c r="K507" s="27"/>
      <c r="L507" s="27"/>
      <c r="M507" s="2"/>
    </row>
    <row r="508" spans="2:13" ht="15.75" customHeight="1" x14ac:dyDescent="0.2">
      <c r="B508" s="2"/>
      <c r="C508" s="26"/>
      <c r="D508" s="27"/>
      <c r="E508" s="27"/>
      <c r="F508" s="27"/>
      <c r="G508" s="215"/>
      <c r="H508" s="27"/>
      <c r="I508" s="27"/>
      <c r="J508" s="27"/>
      <c r="K508" s="27"/>
      <c r="L508" s="27"/>
      <c r="M508" s="2"/>
    </row>
    <row r="509" spans="2:13" ht="15.75" customHeight="1" x14ac:dyDescent="0.2">
      <c r="B509" s="2"/>
      <c r="C509" s="26"/>
      <c r="D509" s="27"/>
      <c r="E509" s="27"/>
      <c r="F509" s="27"/>
      <c r="G509" s="215"/>
      <c r="H509" s="27"/>
      <c r="I509" s="27"/>
      <c r="J509" s="27"/>
      <c r="K509" s="27"/>
      <c r="L509" s="27"/>
      <c r="M509" s="2"/>
    </row>
    <row r="510" spans="2:13" ht="15.75" customHeight="1" x14ac:dyDescent="0.2">
      <c r="B510" s="2"/>
      <c r="C510" s="26"/>
      <c r="D510" s="27"/>
      <c r="E510" s="27"/>
      <c r="F510" s="27"/>
      <c r="G510" s="215"/>
      <c r="H510" s="27"/>
      <c r="I510" s="27"/>
      <c r="J510" s="27"/>
      <c r="K510" s="27"/>
      <c r="L510" s="27"/>
      <c r="M510" s="2"/>
    </row>
    <row r="511" spans="2:13" ht="15.75" customHeight="1" x14ac:dyDescent="0.2">
      <c r="B511" s="2"/>
      <c r="C511" s="26"/>
      <c r="D511" s="27"/>
      <c r="E511" s="27"/>
      <c r="F511" s="27"/>
      <c r="G511" s="215"/>
      <c r="H511" s="27"/>
      <c r="I511" s="27"/>
      <c r="J511" s="27"/>
      <c r="K511" s="27"/>
      <c r="L511" s="27"/>
      <c r="M511" s="2"/>
    </row>
    <row r="512" spans="2:13" ht="15.75" customHeight="1" x14ac:dyDescent="0.2">
      <c r="B512" s="2"/>
      <c r="C512" s="26"/>
      <c r="D512" s="27"/>
      <c r="E512" s="27"/>
      <c r="F512" s="27"/>
      <c r="G512" s="215"/>
      <c r="H512" s="27"/>
      <c r="I512" s="27"/>
      <c r="J512" s="27"/>
      <c r="K512" s="27"/>
      <c r="L512" s="27"/>
      <c r="M512" s="2"/>
    </row>
    <row r="513" spans="2:13" ht="15.75" customHeight="1" x14ac:dyDescent="0.2">
      <c r="B513" s="2"/>
      <c r="C513" s="26"/>
      <c r="D513" s="27"/>
      <c r="E513" s="27"/>
      <c r="F513" s="27"/>
      <c r="G513" s="215"/>
      <c r="H513" s="27"/>
      <c r="I513" s="27"/>
      <c r="J513" s="27"/>
      <c r="K513" s="27"/>
      <c r="L513" s="27"/>
      <c r="M513" s="2"/>
    </row>
    <row r="514" spans="2:13" ht="15.75" customHeight="1" x14ac:dyDescent="0.2">
      <c r="B514" s="2"/>
      <c r="C514" s="26"/>
      <c r="D514" s="27"/>
      <c r="E514" s="27"/>
      <c r="F514" s="27"/>
      <c r="G514" s="215"/>
      <c r="H514" s="27"/>
      <c r="I514" s="27"/>
      <c r="J514" s="27"/>
      <c r="K514" s="27"/>
      <c r="L514" s="27"/>
      <c r="M514" s="2"/>
    </row>
    <row r="515" spans="2:13" ht="15.75" customHeight="1" x14ac:dyDescent="0.2">
      <c r="B515" s="2"/>
      <c r="C515" s="26"/>
      <c r="D515" s="27"/>
      <c r="E515" s="27"/>
      <c r="F515" s="27"/>
      <c r="G515" s="215"/>
      <c r="H515" s="27"/>
      <c r="I515" s="27"/>
      <c r="J515" s="27"/>
      <c r="K515" s="27"/>
      <c r="L515" s="27"/>
      <c r="M515" s="2"/>
    </row>
    <row r="516" spans="2:13" ht="15.75" customHeight="1" x14ac:dyDescent="0.2">
      <c r="B516" s="2"/>
      <c r="C516" s="26"/>
      <c r="D516" s="27"/>
      <c r="E516" s="27"/>
      <c r="F516" s="27"/>
      <c r="G516" s="215"/>
      <c r="H516" s="27"/>
      <c r="I516" s="27"/>
      <c r="J516" s="27"/>
      <c r="K516" s="27"/>
      <c r="L516" s="27"/>
      <c r="M516" s="2"/>
    </row>
    <row r="517" spans="2:13" ht="15.75" customHeight="1" x14ac:dyDescent="0.2">
      <c r="B517" s="2"/>
      <c r="C517" s="26"/>
      <c r="D517" s="27"/>
      <c r="E517" s="27"/>
      <c r="F517" s="27"/>
      <c r="G517" s="215"/>
      <c r="H517" s="27"/>
      <c r="I517" s="27"/>
      <c r="J517" s="27"/>
      <c r="K517" s="27"/>
      <c r="L517" s="27"/>
      <c r="M517" s="2"/>
    </row>
    <row r="518" spans="2:13" ht="15.75" customHeight="1" x14ac:dyDescent="0.2">
      <c r="B518" s="2"/>
      <c r="C518" s="26"/>
      <c r="D518" s="27"/>
      <c r="E518" s="27"/>
      <c r="F518" s="27"/>
      <c r="G518" s="215"/>
      <c r="H518" s="27"/>
      <c r="I518" s="27"/>
      <c r="J518" s="27"/>
      <c r="K518" s="27"/>
      <c r="L518" s="27"/>
      <c r="M518" s="2"/>
    </row>
    <row r="519" spans="2:13" ht="15.75" customHeight="1" x14ac:dyDescent="0.2">
      <c r="B519" s="2"/>
      <c r="C519" s="26"/>
      <c r="D519" s="27"/>
      <c r="E519" s="27"/>
      <c r="F519" s="27"/>
      <c r="G519" s="215"/>
      <c r="H519" s="27"/>
      <c r="I519" s="27"/>
      <c r="J519" s="27"/>
      <c r="K519" s="27"/>
      <c r="L519" s="27"/>
      <c r="M519" s="2"/>
    </row>
    <row r="520" spans="2:13" ht="15.75" customHeight="1" x14ac:dyDescent="0.2">
      <c r="B520" s="2"/>
      <c r="C520" s="26"/>
      <c r="D520" s="27"/>
      <c r="E520" s="27"/>
      <c r="F520" s="27"/>
      <c r="G520" s="215"/>
      <c r="H520" s="27"/>
      <c r="I520" s="27"/>
      <c r="J520" s="27"/>
      <c r="K520" s="27"/>
      <c r="L520" s="27"/>
      <c r="M520" s="2"/>
    </row>
    <row r="521" spans="2:13" ht="15.75" customHeight="1" x14ac:dyDescent="0.2">
      <c r="B521" s="2"/>
      <c r="C521" s="26"/>
      <c r="D521" s="27"/>
      <c r="E521" s="27"/>
      <c r="F521" s="27"/>
      <c r="G521" s="215"/>
      <c r="H521" s="27"/>
      <c r="I521" s="27"/>
      <c r="J521" s="27"/>
      <c r="K521" s="27"/>
      <c r="L521" s="27"/>
      <c r="M521" s="2"/>
    </row>
    <row r="522" spans="2:13" ht="15.75" customHeight="1" x14ac:dyDescent="0.2">
      <c r="B522" s="2"/>
      <c r="C522" s="26"/>
      <c r="D522" s="27"/>
      <c r="E522" s="27"/>
      <c r="F522" s="27"/>
      <c r="G522" s="215"/>
      <c r="H522" s="27"/>
      <c r="I522" s="27"/>
      <c r="J522" s="27"/>
      <c r="K522" s="27"/>
      <c r="L522" s="27"/>
      <c r="M522" s="2"/>
    </row>
    <row r="523" spans="2:13" ht="15.75" customHeight="1" x14ac:dyDescent="0.2">
      <c r="B523" s="2"/>
      <c r="C523" s="26"/>
      <c r="D523" s="27"/>
      <c r="E523" s="27"/>
      <c r="F523" s="27"/>
      <c r="G523" s="215"/>
      <c r="H523" s="27"/>
      <c r="I523" s="27"/>
      <c r="J523" s="27"/>
      <c r="K523" s="27"/>
      <c r="L523" s="27"/>
      <c r="M523" s="2"/>
    </row>
    <row r="524" spans="2:13" ht="15.75" customHeight="1" x14ac:dyDescent="0.2">
      <c r="B524" s="2"/>
      <c r="C524" s="26"/>
      <c r="D524" s="27"/>
      <c r="E524" s="27"/>
      <c r="F524" s="27"/>
      <c r="G524" s="215"/>
      <c r="H524" s="27"/>
      <c r="I524" s="27"/>
      <c r="J524" s="27"/>
      <c r="K524" s="27"/>
      <c r="L524" s="27"/>
      <c r="M524" s="2"/>
    </row>
    <row r="525" spans="2:13" ht="15.75" customHeight="1" x14ac:dyDescent="0.2">
      <c r="B525" s="2"/>
      <c r="C525" s="26"/>
      <c r="D525" s="27"/>
      <c r="E525" s="27"/>
      <c r="F525" s="27"/>
      <c r="G525" s="215"/>
      <c r="H525" s="27"/>
      <c r="I525" s="27"/>
      <c r="J525" s="27"/>
      <c r="K525" s="27"/>
      <c r="L525" s="27"/>
      <c r="M525" s="2"/>
    </row>
    <row r="526" spans="2:13" ht="15.75" customHeight="1" x14ac:dyDescent="0.2">
      <c r="B526" s="2"/>
      <c r="C526" s="26"/>
      <c r="D526" s="27"/>
      <c r="E526" s="27"/>
      <c r="F526" s="27"/>
      <c r="G526" s="215"/>
      <c r="H526" s="27"/>
      <c r="I526" s="27"/>
      <c r="J526" s="27"/>
      <c r="K526" s="27"/>
      <c r="L526" s="27"/>
      <c r="M526" s="2"/>
    </row>
    <row r="527" spans="2:13" ht="15.75" customHeight="1" x14ac:dyDescent="0.2">
      <c r="B527" s="2"/>
      <c r="C527" s="26"/>
      <c r="D527" s="27"/>
      <c r="E527" s="27"/>
      <c r="F527" s="27"/>
      <c r="G527" s="215"/>
      <c r="H527" s="27"/>
      <c r="I527" s="27"/>
      <c r="J527" s="27"/>
      <c r="K527" s="27"/>
      <c r="L527" s="27"/>
      <c r="M527" s="2"/>
    </row>
    <row r="528" spans="2:13" ht="15.75" customHeight="1" x14ac:dyDescent="0.2">
      <c r="B528" s="2"/>
      <c r="C528" s="26"/>
      <c r="D528" s="27"/>
      <c r="E528" s="27"/>
      <c r="F528" s="27"/>
      <c r="G528" s="215"/>
      <c r="H528" s="27"/>
      <c r="I528" s="27"/>
      <c r="J528" s="27"/>
      <c r="K528" s="27"/>
      <c r="L528" s="27"/>
      <c r="M528" s="2"/>
    </row>
    <row r="529" spans="2:13" ht="15.75" customHeight="1" x14ac:dyDescent="0.2">
      <c r="B529" s="2"/>
      <c r="C529" s="26"/>
      <c r="D529" s="27"/>
      <c r="E529" s="27"/>
      <c r="F529" s="27"/>
      <c r="G529" s="215"/>
      <c r="H529" s="27"/>
      <c r="I529" s="27"/>
      <c r="J529" s="27"/>
      <c r="K529" s="27"/>
      <c r="L529" s="27"/>
      <c r="M529" s="2"/>
    </row>
    <row r="530" spans="2:13" ht="15.75" customHeight="1" x14ac:dyDescent="0.2">
      <c r="B530" s="2"/>
      <c r="C530" s="26"/>
      <c r="D530" s="27"/>
      <c r="E530" s="27"/>
      <c r="F530" s="27"/>
      <c r="G530" s="215"/>
      <c r="H530" s="27"/>
      <c r="I530" s="27"/>
      <c r="J530" s="27"/>
      <c r="K530" s="27"/>
      <c r="L530" s="27"/>
      <c r="M530" s="2"/>
    </row>
    <row r="531" spans="2:13" ht="15.75" customHeight="1" x14ac:dyDescent="0.2">
      <c r="B531" s="2"/>
      <c r="C531" s="26"/>
      <c r="D531" s="27"/>
      <c r="E531" s="27"/>
      <c r="F531" s="27"/>
      <c r="G531" s="215"/>
      <c r="H531" s="27"/>
      <c r="I531" s="27"/>
      <c r="J531" s="27"/>
      <c r="K531" s="27"/>
      <c r="L531" s="27"/>
      <c r="M531" s="2"/>
    </row>
    <row r="532" spans="2:13" ht="15.75" customHeight="1" x14ac:dyDescent="0.2">
      <c r="B532" s="2"/>
      <c r="C532" s="26"/>
      <c r="D532" s="27"/>
      <c r="E532" s="27"/>
      <c r="F532" s="27"/>
      <c r="G532" s="215"/>
      <c r="H532" s="27"/>
      <c r="I532" s="27"/>
      <c r="J532" s="27"/>
      <c r="K532" s="27"/>
      <c r="L532" s="27"/>
      <c r="M532" s="2"/>
    </row>
    <row r="533" spans="2:13" ht="15.75" customHeight="1" x14ac:dyDescent="0.2">
      <c r="B533" s="2"/>
      <c r="C533" s="26"/>
      <c r="D533" s="27"/>
      <c r="E533" s="27"/>
      <c r="F533" s="27"/>
      <c r="G533" s="215"/>
      <c r="H533" s="27"/>
      <c r="I533" s="27"/>
      <c r="J533" s="27"/>
      <c r="K533" s="27"/>
      <c r="L533" s="27"/>
      <c r="M533" s="2"/>
    </row>
    <row r="534" spans="2:13" ht="15.75" customHeight="1" x14ac:dyDescent="0.2">
      <c r="B534" s="2"/>
      <c r="C534" s="26"/>
      <c r="D534" s="27"/>
      <c r="E534" s="27"/>
      <c r="F534" s="27"/>
      <c r="G534" s="215"/>
      <c r="H534" s="27"/>
      <c r="I534" s="27"/>
      <c r="J534" s="27"/>
      <c r="K534" s="27"/>
      <c r="L534" s="27"/>
      <c r="M534" s="2"/>
    </row>
    <row r="535" spans="2:13" ht="15.75" customHeight="1" x14ac:dyDescent="0.2">
      <c r="B535" s="2"/>
      <c r="C535" s="26"/>
      <c r="D535" s="27"/>
      <c r="E535" s="27"/>
      <c r="F535" s="27"/>
      <c r="G535" s="215"/>
      <c r="H535" s="27"/>
      <c r="I535" s="27"/>
      <c r="J535" s="27"/>
      <c r="K535" s="27"/>
      <c r="L535" s="27"/>
      <c r="M535" s="2"/>
    </row>
    <row r="536" spans="2:13" ht="15.75" customHeight="1" x14ac:dyDescent="0.2">
      <c r="B536" s="2"/>
      <c r="C536" s="26"/>
      <c r="D536" s="27"/>
      <c r="E536" s="27"/>
      <c r="F536" s="27"/>
      <c r="G536" s="215"/>
      <c r="H536" s="27"/>
      <c r="I536" s="27"/>
      <c r="J536" s="27"/>
      <c r="K536" s="27"/>
      <c r="L536" s="27"/>
      <c r="M536" s="2"/>
    </row>
    <row r="537" spans="2:13" ht="15.75" customHeight="1" x14ac:dyDescent="0.2">
      <c r="B537" s="2"/>
      <c r="C537" s="26"/>
      <c r="D537" s="27"/>
      <c r="E537" s="27"/>
      <c r="F537" s="27"/>
      <c r="G537" s="215"/>
      <c r="H537" s="27"/>
      <c r="I537" s="27"/>
      <c r="J537" s="27"/>
      <c r="K537" s="27"/>
      <c r="L537" s="27"/>
      <c r="M537" s="2"/>
    </row>
    <row r="538" spans="2:13" ht="15.75" customHeight="1" x14ac:dyDescent="0.2">
      <c r="B538" s="2"/>
      <c r="C538" s="26"/>
      <c r="D538" s="27"/>
      <c r="E538" s="27"/>
      <c r="F538" s="27"/>
      <c r="G538" s="215"/>
      <c r="H538" s="27"/>
      <c r="I538" s="27"/>
      <c r="J538" s="27"/>
      <c r="K538" s="27"/>
      <c r="L538" s="27"/>
      <c r="M538" s="2"/>
    </row>
    <row r="539" spans="2:13" ht="15.75" customHeight="1" x14ac:dyDescent="0.2">
      <c r="B539" s="2"/>
      <c r="C539" s="26"/>
      <c r="D539" s="27"/>
      <c r="E539" s="27"/>
      <c r="F539" s="27"/>
      <c r="G539" s="215"/>
      <c r="H539" s="27"/>
      <c r="I539" s="27"/>
      <c r="J539" s="27"/>
      <c r="K539" s="27"/>
      <c r="L539" s="27"/>
      <c r="M539" s="2"/>
    </row>
    <row r="540" spans="2:13" ht="15.75" customHeight="1" x14ac:dyDescent="0.2">
      <c r="B540" s="2"/>
      <c r="C540" s="26"/>
      <c r="D540" s="27"/>
      <c r="E540" s="27"/>
      <c r="F540" s="27"/>
      <c r="G540" s="215"/>
      <c r="H540" s="27"/>
      <c r="I540" s="27"/>
      <c r="J540" s="27"/>
      <c r="K540" s="27"/>
      <c r="L540" s="27"/>
      <c r="M540" s="2"/>
    </row>
    <row r="541" spans="2:13" ht="15.75" customHeight="1" x14ac:dyDescent="0.2">
      <c r="B541" s="2"/>
      <c r="C541" s="26"/>
      <c r="D541" s="27"/>
      <c r="E541" s="27"/>
      <c r="F541" s="27"/>
      <c r="G541" s="215"/>
      <c r="H541" s="27"/>
      <c r="I541" s="27"/>
      <c r="J541" s="27"/>
      <c r="K541" s="27"/>
      <c r="L541" s="27"/>
      <c r="M541" s="2"/>
    </row>
    <row r="542" spans="2:13" ht="15.75" customHeight="1" x14ac:dyDescent="0.2">
      <c r="B542" s="2"/>
      <c r="C542" s="26"/>
      <c r="D542" s="27"/>
      <c r="E542" s="27"/>
      <c r="F542" s="27"/>
      <c r="G542" s="215"/>
      <c r="H542" s="27"/>
      <c r="I542" s="27"/>
      <c r="J542" s="27"/>
      <c r="K542" s="27"/>
      <c r="L542" s="27"/>
      <c r="M542" s="2"/>
    </row>
    <row r="543" spans="2:13" ht="15.75" customHeight="1" x14ac:dyDescent="0.2">
      <c r="B543" s="2"/>
      <c r="C543" s="26"/>
      <c r="D543" s="27"/>
      <c r="E543" s="27"/>
      <c r="F543" s="27"/>
      <c r="G543" s="215"/>
      <c r="H543" s="27"/>
      <c r="I543" s="27"/>
      <c r="J543" s="27"/>
      <c r="K543" s="27"/>
      <c r="L543" s="27"/>
      <c r="M543" s="2"/>
    </row>
    <row r="544" spans="2:13" ht="15.75" customHeight="1" x14ac:dyDescent="0.2">
      <c r="B544" s="2"/>
      <c r="C544" s="26"/>
      <c r="D544" s="27"/>
      <c r="E544" s="27"/>
      <c r="F544" s="27"/>
      <c r="G544" s="215"/>
      <c r="H544" s="27"/>
      <c r="I544" s="27"/>
      <c r="J544" s="27"/>
      <c r="K544" s="27"/>
      <c r="L544" s="27"/>
      <c r="M544" s="2"/>
    </row>
    <row r="545" spans="2:13" ht="15.75" customHeight="1" x14ac:dyDescent="0.2">
      <c r="B545" s="2"/>
      <c r="C545" s="26"/>
      <c r="D545" s="27"/>
      <c r="E545" s="27"/>
      <c r="F545" s="27"/>
      <c r="G545" s="215"/>
      <c r="H545" s="27"/>
      <c r="I545" s="27"/>
      <c r="J545" s="27"/>
      <c r="K545" s="27"/>
      <c r="L545" s="27"/>
      <c r="M545" s="2"/>
    </row>
    <row r="546" spans="2:13" ht="15.75" customHeight="1" x14ac:dyDescent="0.2">
      <c r="B546" s="2"/>
      <c r="C546" s="26"/>
      <c r="D546" s="27"/>
      <c r="E546" s="27"/>
      <c r="F546" s="27"/>
      <c r="G546" s="215"/>
      <c r="H546" s="27"/>
      <c r="I546" s="27"/>
      <c r="J546" s="27"/>
      <c r="K546" s="27"/>
      <c r="L546" s="27"/>
      <c r="M546" s="2"/>
    </row>
    <row r="547" spans="2:13" ht="15.75" customHeight="1" x14ac:dyDescent="0.2">
      <c r="B547" s="2"/>
      <c r="C547" s="26"/>
      <c r="D547" s="27"/>
      <c r="E547" s="27"/>
      <c r="F547" s="27"/>
      <c r="G547" s="215"/>
      <c r="H547" s="27"/>
      <c r="I547" s="27"/>
      <c r="J547" s="27"/>
      <c r="K547" s="27"/>
      <c r="L547" s="27"/>
      <c r="M547" s="2"/>
    </row>
    <row r="548" spans="2:13" ht="15.75" customHeight="1" x14ac:dyDescent="0.2">
      <c r="B548" s="2"/>
      <c r="C548" s="26"/>
      <c r="D548" s="27"/>
      <c r="E548" s="27"/>
      <c r="F548" s="27"/>
      <c r="G548" s="215"/>
      <c r="H548" s="27"/>
      <c r="I548" s="27"/>
      <c r="J548" s="27"/>
      <c r="K548" s="27"/>
      <c r="L548" s="27"/>
      <c r="M548" s="2"/>
    </row>
    <row r="549" spans="2:13" ht="15.75" customHeight="1" x14ac:dyDescent="0.2">
      <c r="B549" s="2"/>
      <c r="C549" s="26"/>
      <c r="D549" s="27"/>
      <c r="E549" s="27"/>
      <c r="F549" s="27"/>
      <c r="G549" s="215"/>
      <c r="H549" s="27"/>
      <c r="I549" s="27"/>
      <c r="J549" s="27"/>
      <c r="K549" s="27"/>
      <c r="L549" s="27"/>
      <c r="M549" s="2"/>
    </row>
    <row r="550" spans="2:13" ht="15.75" customHeight="1" x14ac:dyDescent="0.2">
      <c r="B550" s="2"/>
      <c r="C550" s="26"/>
      <c r="D550" s="27"/>
      <c r="E550" s="27"/>
      <c r="F550" s="27"/>
      <c r="G550" s="215"/>
      <c r="H550" s="27"/>
      <c r="I550" s="27"/>
      <c r="J550" s="27"/>
      <c r="K550" s="27"/>
      <c r="L550" s="27"/>
      <c r="M550" s="2"/>
    </row>
    <row r="551" spans="2:13" ht="15.75" customHeight="1" x14ac:dyDescent="0.2">
      <c r="B551" s="2"/>
      <c r="C551" s="26"/>
      <c r="D551" s="27"/>
      <c r="E551" s="27"/>
      <c r="F551" s="27"/>
      <c r="G551" s="215"/>
      <c r="H551" s="27"/>
      <c r="I551" s="27"/>
      <c r="J551" s="27"/>
      <c r="K551" s="27"/>
      <c r="L551" s="27"/>
      <c r="M551" s="2"/>
    </row>
    <row r="552" spans="2:13" ht="15.75" customHeight="1" x14ac:dyDescent="0.2">
      <c r="B552" s="2"/>
      <c r="C552" s="26"/>
      <c r="D552" s="27"/>
      <c r="E552" s="27"/>
      <c r="F552" s="27"/>
      <c r="G552" s="215"/>
      <c r="H552" s="27"/>
      <c r="I552" s="27"/>
      <c r="J552" s="27"/>
      <c r="K552" s="27"/>
      <c r="L552" s="27"/>
      <c r="M552" s="2"/>
    </row>
    <row r="553" spans="2:13" ht="15.75" customHeight="1" x14ac:dyDescent="0.2">
      <c r="B553" s="2"/>
      <c r="C553" s="26"/>
      <c r="D553" s="27"/>
      <c r="E553" s="27"/>
      <c r="F553" s="27"/>
      <c r="G553" s="215"/>
      <c r="H553" s="27"/>
      <c r="I553" s="27"/>
      <c r="J553" s="27"/>
      <c r="K553" s="27"/>
      <c r="L553" s="27"/>
      <c r="M553" s="2"/>
    </row>
    <row r="554" spans="2:13" ht="15.75" customHeight="1" x14ac:dyDescent="0.2">
      <c r="B554" s="2"/>
      <c r="C554" s="26"/>
      <c r="D554" s="27"/>
      <c r="E554" s="27"/>
      <c r="F554" s="27"/>
      <c r="G554" s="215"/>
      <c r="H554" s="27"/>
      <c r="I554" s="27"/>
      <c r="J554" s="27"/>
      <c r="K554" s="27"/>
      <c r="L554" s="27"/>
      <c r="M554" s="2"/>
    </row>
    <row r="555" spans="2:13" ht="15.75" customHeight="1" x14ac:dyDescent="0.2">
      <c r="B555" s="2"/>
      <c r="C555" s="26"/>
      <c r="D555" s="27"/>
      <c r="E555" s="27"/>
      <c r="F555" s="27"/>
      <c r="G555" s="215"/>
      <c r="H555" s="27"/>
      <c r="I555" s="27"/>
      <c r="J555" s="27"/>
      <c r="K555" s="27"/>
      <c r="L555" s="27"/>
      <c r="M555" s="2"/>
    </row>
    <row r="556" spans="2:13" ht="15.75" customHeight="1" x14ac:dyDescent="0.2">
      <c r="B556" s="2"/>
      <c r="C556" s="26"/>
      <c r="D556" s="27"/>
      <c r="E556" s="27"/>
      <c r="F556" s="27"/>
      <c r="G556" s="215"/>
      <c r="H556" s="27"/>
      <c r="I556" s="27"/>
      <c r="J556" s="27"/>
      <c r="K556" s="27"/>
      <c r="L556" s="27"/>
      <c r="M556" s="2"/>
    </row>
    <row r="557" spans="2:13" ht="15.75" customHeight="1" x14ac:dyDescent="0.2">
      <c r="B557" s="2"/>
      <c r="C557" s="26"/>
      <c r="D557" s="27"/>
      <c r="E557" s="27"/>
      <c r="F557" s="27"/>
      <c r="G557" s="215"/>
      <c r="H557" s="27"/>
      <c r="I557" s="27"/>
      <c r="J557" s="27"/>
      <c r="K557" s="27"/>
      <c r="L557" s="27"/>
      <c r="M557" s="2"/>
    </row>
    <row r="558" spans="2:13" ht="15.75" customHeight="1" x14ac:dyDescent="0.2">
      <c r="B558" s="2"/>
      <c r="C558" s="26"/>
      <c r="D558" s="27"/>
      <c r="E558" s="27"/>
      <c r="F558" s="27"/>
      <c r="G558" s="215"/>
      <c r="H558" s="27"/>
      <c r="I558" s="27"/>
      <c r="J558" s="27"/>
      <c r="K558" s="27"/>
      <c r="L558" s="27"/>
      <c r="M558" s="2"/>
    </row>
    <row r="559" spans="2:13" ht="15.75" customHeight="1" x14ac:dyDescent="0.2">
      <c r="B559" s="2"/>
      <c r="C559" s="26"/>
      <c r="D559" s="27"/>
      <c r="E559" s="27"/>
      <c r="F559" s="27"/>
      <c r="G559" s="215"/>
      <c r="H559" s="27"/>
      <c r="I559" s="27"/>
      <c r="J559" s="27"/>
      <c r="K559" s="27"/>
      <c r="L559" s="27"/>
      <c r="M559" s="2"/>
    </row>
    <row r="560" spans="2:13" ht="15.75" customHeight="1" x14ac:dyDescent="0.2">
      <c r="B560" s="2"/>
      <c r="C560" s="26"/>
      <c r="D560" s="27"/>
      <c r="E560" s="27"/>
      <c r="F560" s="27"/>
      <c r="G560" s="215"/>
      <c r="H560" s="27"/>
      <c r="I560" s="27"/>
      <c r="J560" s="27"/>
      <c r="K560" s="27"/>
      <c r="L560" s="27"/>
      <c r="M560" s="2"/>
    </row>
    <row r="561" spans="2:13" ht="15.75" customHeight="1" x14ac:dyDescent="0.2">
      <c r="B561" s="2"/>
      <c r="C561" s="26"/>
      <c r="D561" s="27"/>
      <c r="E561" s="27"/>
      <c r="F561" s="27"/>
      <c r="G561" s="215"/>
      <c r="H561" s="27"/>
      <c r="I561" s="27"/>
      <c r="J561" s="27"/>
      <c r="K561" s="27"/>
      <c r="L561" s="27"/>
      <c r="M561" s="2"/>
    </row>
    <row r="562" spans="2:13" ht="15.75" customHeight="1" x14ac:dyDescent="0.2">
      <c r="B562" s="2"/>
      <c r="C562" s="26"/>
      <c r="D562" s="27"/>
      <c r="E562" s="27"/>
      <c r="F562" s="27"/>
      <c r="G562" s="215"/>
      <c r="H562" s="27"/>
      <c r="I562" s="27"/>
      <c r="J562" s="27"/>
      <c r="K562" s="27"/>
      <c r="L562" s="27"/>
      <c r="M562" s="2"/>
    </row>
    <row r="563" spans="2:13" ht="15.75" customHeight="1" x14ac:dyDescent="0.2">
      <c r="B563" s="2"/>
      <c r="C563" s="26"/>
      <c r="D563" s="27"/>
      <c r="E563" s="27"/>
      <c r="F563" s="27"/>
      <c r="G563" s="215"/>
      <c r="H563" s="27"/>
      <c r="I563" s="27"/>
      <c r="J563" s="27"/>
      <c r="K563" s="27"/>
      <c r="L563" s="27"/>
      <c r="M563" s="2"/>
    </row>
    <row r="564" spans="2:13" ht="15.75" customHeight="1" x14ac:dyDescent="0.2">
      <c r="B564" s="2"/>
      <c r="C564" s="26"/>
      <c r="D564" s="27"/>
      <c r="E564" s="27"/>
      <c r="F564" s="27"/>
      <c r="G564" s="215"/>
      <c r="H564" s="27"/>
      <c r="I564" s="27"/>
      <c r="J564" s="27"/>
      <c r="K564" s="27"/>
      <c r="L564" s="27"/>
      <c r="M564" s="2"/>
    </row>
    <row r="565" spans="2:13" ht="15.75" customHeight="1" x14ac:dyDescent="0.2">
      <c r="B565" s="2"/>
      <c r="C565" s="26"/>
      <c r="D565" s="27"/>
      <c r="E565" s="27"/>
      <c r="F565" s="27"/>
      <c r="G565" s="215"/>
      <c r="H565" s="27"/>
      <c r="I565" s="27"/>
      <c r="J565" s="27"/>
      <c r="K565" s="27"/>
      <c r="L565" s="27"/>
      <c r="M565" s="2"/>
    </row>
    <row r="566" spans="2:13" ht="15.75" customHeight="1" x14ac:dyDescent="0.2">
      <c r="B566" s="2"/>
      <c r="C566" s="26"/>
      <c r="D566" s="27"/>
      <c r="E566" s="27"/>
      <c r="F566" s="27"/>
      <c r="G566" s="215"/>
      <c r="H566" s="27"/>
      <c r="I566" s="27"/>
      <c r="J566" s="27"/>
      <c r="K566" s="27"/>
      <c r="L566" s="27"/>
      <c r="M566" s="2"/>
    </row>
    <row r="567" spans="2:13" ht="15.75" customHeight="1" x14ac:dyDescent="0.2">
      <c r="B567" s="2"/>
      <c r="C567" s="26"/>
      <c r="D567" s="27"/>
      <c r="E567" s="27"/>
      <c r="F567" s="27"/>
      <c r="G567" s="215"/>
      <c r="H567" s="27"/>
      <c r="I567" s="27"/>
      <c r="J567" s="27"/>
      <c r="K567" s="27"/>
      <c r="L567" s="27"/>
      <c r="M567" s="2"/>
    </row>
    <row r="568" spans="2:13" ht="15.75" customHeight="1" x14ac:dyDescent="0.2">
      <c r="B568" s="2"/>
      <c r="C568" s="26"/>
      <c r="D568" s="27"/>
      <c r="E568" s="27"/>
      <c r="F568" s="27"/>
      <c r="G568" s="215"/>
      <c r="H568" s="27"/>
      <c r="I568" s="27"/>
      <c r="J568" s="27"/>
      <c r="K568" s="27"/>
      <c r="L568" s="27"/>
      <c r="M568" s="2"/>
    </row>
    <row r="569" spans="2:13" ht="15.75" customHeight="1" x14ac:dyDescent="0.2">
      <c r="B569" s="2"/>
      <c r="C569" s="26"/>
      <c r="D569" s="27"/>
      <c r="E569" s="27"/>
      <c r="F569" s="27"/>
      <c r="G569" s="215"/>
      <c r="H569" s="27"/>
      <c r="I569" s="27"/>
      <c r="J569" s="27"/>
      <c r="K569" s="27"/>
      <c r="L569" s="27"/>
      <c r="M569" s="2"/>
    </row>
    <row r="570" spans="2:13" ht="15.75" customHeight="1" x14ac:dyDescent="0.2">
      <c r="B570" s="2"/>
      <c r="C570" s="26"/>
      <c r="D570" s="27"/>
      <c r="E570" s="27"/>
      <c r="F570" s="27"/>
      <c r="G570" s="215"/>
      <c r="H570" s="27"/>
      <c r="I570" s="27"/>
      <c r="J570" s="27"/>
      <c r="K570" s="27"/>
      <c r="L570" s="27"/>
      <c r="M570" s="2"/>
    </row>
    <row r="571" spans="2:13" ht="15.75" customHeight="1" x14ac:dyDescent="0.2">
      <c r="B571" s="2"/>
      <c r="C571" s="26"/>
      <c r="D571" s="27"/>
      <c r="E571" s="27"/>
      <c r="F571" s="27"/>
      <c r="G571" s="215"/>
      <c r="H571" s="27"/>
      <c r="I571" s="27"/>
      <c r="J571" s="27"/>
      <c r="K571" s="27"/>
      <c r="L571" s="27"/>
      <c r="M571" s="2"/>
    </row>
    <row r="572" spans="2:13" ht="15.75" customHeight="1" x14ac:dyDescent="0.2">
      <c r="B572" s="2"/>
      <c r="C572" s="26"/>
      <c r="D572" s="27"/>
      <c r="E572" s="27"/>
      <c r="F572" s="27"/>
      <c r="G572" s="215"/>
      <c r="H572" s="27"/>
      <c r="I572" s="27"/>
      <c r="J572" s="27"/>
      <c r="K572" s="27"/>
      <c r="L572" s="27"/>
      <c r="M572" s="2"/>
    </row>
    <row r="573" spans="2:13" ht="15.75" customHeight="1" x14ac:dyDescent="0.2">
      <c r="B573" s="2"/>
      <c r="C573" s="26"/>
      <c r="D573" s="27"/>
      <c r="E573" s="27"/>
      <c r="F573" s="27"/>
      <c r="G573" s="215"/>
      <c r="H573" s="27"/>
      <c r="I573" s="27"/>
      <c r="J573" s="27"/>
      <c r="K573" s="27"/>
      <c r="L573" s="27"/>
      <c r="M573" s="2"/>
    </row>
    <row r="574" spans="2:13" ht="15.75" customHeight="1" x14ac:dyDescent="0.2">
      <c r="B574" s="2"/>
      <c r="C574" s="26"/>
      <c r="D574" s="27"/>
      <c r="E574" s="27"/>
      <c r="F574" s="27"/>
      <c r="G574" s="215"/>
      <c r="H574" s="27"/>
      <c r="I574" s="27"/>
      <c r="J574" s="27"/>
      <c r="K574" s="27"/>
      <c r="L574" s="27"/>
      <c r="M574" s="2"/>
    </row>
    <row r="575" spans="2:13" ht="15.75" customHeight="1" x14ac:dyDescent="0.2">
      <c r="B575" s="2"/>
      <c r="C575" s="26"/>
      <c r="D575" s="27"/>
      <c r="E575" s="27"/>
      <c r="F575" s="27"/>
      <c r="G575" s="215"/>
      <c r="H575" s="27"/>
      <c r="I575" s="27"/>
      <c r="J575" s="27"/>
      <c r="K575" s="27"/>
      <c r="L575" s="27"/>
      <c r="M575" s="2"/>
    </row>
    <row r="576" spans="2:13" ht="15.75" customHeight="1" x14ac:dyDescent="0.2">
      <c r="B576" s="2"/>
      <c r="C576" s="26"/>
      <c r="D576" s="27"/>
      <c r="E576" s="27"/>
      <c r="F576" s="27"/>
      <c r="G576" s="215"/>
      <c r="H576" s="27"/>
      <c r="I576" s="27"/>
      <c r="J576" s="27"/>
      <c r="K576" s="27"/>
      <c r="L576" s="27"/>
      <c r="M576" s="2"/>
    </row>
    <row r="577" spans="2:13" ht="15.75" customHeight="1" x14ac:dyDescent="0.2">
      <c r="B577" s="2"/>
      <c r="C577" s="26"/>
      <c r="D577" s="27"/>
      <c r="E577" s="27"/>
      <c r="F577" s="27"/>
      <c r="G577" s="215"/>
      <c r="H577" s="27"/>
      <c r="I577" s="27"/>
      <c r="J577" s="27"/>
      <c r="K577" s="27"/>
      <c r="L577" s="27"/>
      <c r="M577" s="2"/>
    </row>
    <row r="578" spans="2:13" ht="15.75" customHeight="1" x14ac:dyDescent="0.2">
      <c r="B578" s="2"/>
      <c r="C578" s="26"/>
      <c r="D578" s="27"/>
      <c r="E578" s="27"/>
      <c r="F578" s="27"/>
      <c r="G578" s="215"/>
      <c r="H578" s="27"/>
      <c r="I578" s="27"/>
      <c r="J578" s="27"/>
      <c r="K578" s="27"/>
      <c r="L578" s="27"/>
      <c r="M578" s="2"/>
    </row>
    <row r="579" spans="2:13" ht="15.75" customHeight="1" x14ac:dyDescent="0.2">
      <c r="B579" s="2"/>
      <c r="C579" s="26"/>
      <c r="D579" s="27"/>
      <c r="E579" s="27"/>
      <c r="F579" s="27"/>
      <c r="G579" s="215"/>
      <c r="H579" s="27"/>
      <c r="I579" s="27"/>
      <c r="J579" s="27"/>
      <c r="K579" s="27"/>
      <c r="L579" s="27"/>
      <c r="M579" s="2"/>
    </row>
    <row r="580" spans="2:13" ht="15.75" customHeight="1" x14ac:dyDescent="0.2">
      <c r="B580" s="2"/>
      <c r="C580" s="26"/>
      <c r="D580" s="27"/>
      <c r="E580" s="27"/>
      <c r="F580" s="27"/>
      <c r="G580" s="215"/>
      <c r="H580" s="27"/>
      <c r="I580" s="27"/>
      <c r="J580" s="27"/>
      <c r="K580" s="27"/>
      <c r="L580" s="27"/>
      <c r="M580" s="2"/>
    </row>
    <row r="581" spans="2:13" ht="15.75" customHeight="1" x14ac:dyDescent="0.2">
      <c r="B581" s="2"/>
      <c r="C581" s="26"/>
      <c r="D581" s="27"/>
      <c r="E581" s="27"/>
      <c r="F581" s="27"/>
      <c r="G581" s="215"/>
      <c r="H581" s="27"/>
      <c r="I581" s="27"/>
      <c r="J581" s="27"/>
      <c r="K581" s="27"/>
      <c r="L581" s="27"/>
      <c r="M581" s="2"/>
    </row>
    <row r="582" spans="2:13" ht="15.75" customHeight="1" x14ac:dyDescent="0.2">
      <c r="B582" s="2"/>
      <c r="C582" s="26"/>
      <c r="D582" s="27"/>
      <c r="E582" s="27"/>
      <c r="F582" s="27"/>
      <c r="G582" s="215"/>
      <c r="H582" s="27"/>
      <c r="I582" s="27"/>
      <c r="J582" s="27"/>
      <c r="K582" s="27"/>
      <c r="L582" s="27"/>
      <c r="M582" s="2"/>
    </row>
    <row r="583" spans="2:13" ht="15.75" customHeight="1" x14ac:dyDescent="0.2">
      <c r="B583" s="2"/>
      <c r="C583" s="26"/>
      <c r="D583" s="27"/>
      <c r="E583" s="27"/>
      <c r="F583" s="27"/>
      <c r="G583" s="215"/>
      <c r="H583" s="27"/>
      <c r="I583" s="27"/>
      <c r="J583" s="27"/>
      <c r="K583" s="27"/>
      <c r="L583" s="27"/>
      <c r="M583" s="2"/>
    </row>
    <row r="584" spans="2:13" ht="15.75" customHeight="1" x14ac:dyDescent="0.2">
      <c r="B584" s="2"/>
      <c r="C584" s="26"/>
      <c r="D584" s="27"/>
      <c r="E584" s="27"/>
      <c r="F584" s="27"/>
      <c r="G584" s="215"/>
      <c r="H584" s="27"/>
      <c r="I584" s="27"/>
      <c r="J584" s="27"/>
      <c r="K584" s="27"/>
      <c r="L584" s="27"/>
      <c r="M584" s="2"/>
    </row>
    <row r="585" spans="2:13" ht="15.75" customHeight="1" x14ac:dyDescent="0.2">
      <c r="B585" s="2"/>
      <c r="C585" s="26"/>
      <c r="D585" s="27"/>
      <c r="E585" s="27"/>
      <c r="F585" s="27"/>
      <c r="G585" s="215"/>
      <c r="H585" s="27"/>
      <c r="I585" s="27"/>
      <c r="J585" s="27"/>
      <c r="K585" s="27"/>
      <c r="L585" s="27"/>
      <c r="M585" s="2"/>
    </row>
    <row r="586" spans="2:13" ht="15.75" customHeight="1" x14ac:dyDescent="0.2">
      <c r="B586" s="2"/>
      <c r="C586" s="26"/>
      <c r="D586" s="27"/>
      <c r="E586" s="27"/>
      <c r="F586" s="27"/>
      <c r="G586" s="215"/>
      <c r="H586" s="27"/>
      <c r="I586" s="27"/>
      <c r="J586" s="27"/>
      <c r="K586" s="27"/>
      <c r="L586" s="27"/>
      <c r="M586" s="2"/>
    </row>
    <row r="587" spans="2:13" ht="15.75" customHeight="1" x14ac:dyDescent="0.2">
      <c r="B587" s="2"/>
      <c r="C587" s="26"/>
      <c r="D587" s="27"/>
      <c r="E587" s="27"/>
      <c r="F587" s="27"/>
      <c r="G587" s="215"/>
      <c r="H587" s="27"/>
      <c r="I587" s="27"/>
      <c r="J587" s="27"/>
      <c r="K587" s="27"/>
      <c r="L587" s="27"/>
      <c r="M587" s="2"/>
    </row>
    <row r="588" spans="2:13" ht="15.75" customHeight="1" x14ac:dyDescent="0.2">
      <c r="B588" s="2"/>
      <c r="C588" s="26"/>
      <c r="D588" s="27"/>
      <c r="E588" s="27"/>
      <c r="F588" s="27"/>
      <c r="G588" s="215"/>
      <c r="H588" s="27"/>
      <c r="I588" s="27"/>
      <c r="J588" s="27"/>
      <c r="K588" s="27"/>
      <c r="L588" s="27"/>
      <c r="M588" s="2"/>
    </row>
    <row r="589" spans="2:13" ht="15.75" customHeight="1" x14ac:dyDescent="0.2">
      <c r="B589" s="2"/>
      <c r="C589" s="26"/>
      <c r="D589" s="27"/>
      <c r="E589" s="27"/>
      <c r="F589" s="27"/>
      <c r="G589" s="215"/>
      <c r="H589" s="27"/>
      <c r="I589" s="27"/>
      <c r="J589" s="27"/>
      <c r="K589" s="27"/>
      <c r="L589" s="27"/>
      <c r="M589" s="2"/>
    </row>
    <row r="590" spans="2:13" ht="15.75" customHeight="1" x14ac:dyDescent="0.2">
      <c r="B590" s="2"/>
      <c r="C590" s="26"/>
      <c r="D590" s="27"/>
      <c r="E590" s="27"/>
      <c r="F590" s="27"/>
      <c r="G590" s="215"/>
      <c r="H590" s="27"/>
      <c r="I590" s="27"/>
      <c r="J590" s="27"/>
      <c r="K590" s="27"/>
      <c r="L590" s="27"/>
      <c r="M590" s="2"/>
    </row>
    <row r="591" spans="2:13" ht="15.75" customHeight="1" x14ac:dyDescent="0.2">
      <c r="B591" s="2"/>
      <c r="C591" s="26"/>
      <c r="D591" s="27"/>
      <c r="E591" s="27"/>
      <c r="F591" s="27"/>
      <c r="G591" s="215"/>
      <c r="H591" s="27"/>
      <c r="I591" s="27"/>
      <c r="J591" s="27"/>
      <c r="K591" s="27"/>
      <c r="L591" s="27"/>
      <c r="M591" s="2"/>
    </row>
    <row r="592" spans="2:13" ht="15.75" customHeight="1" x14ac:dyDescent="0.2">
      <c r="B592" s="2"/>
      <c r="C592" s="26"/>
      <c r="D592" s="27"/>
      <c r="E592" s="27"/>
      <c r="F592" s="27"/>
      <c r="G592" s="215"/>
      <c r="H592" s="27"/>
      <c r="I592" s="27"/>
      <c r="J592" s="27"/>
      <c r="K592" s="27"/>
      <c r="L592" s="27"/>
      <c r="M592" s="2"/>
    </row>
    <row r="593" spans="2:13" ht="15.75" customHeight="1" x14ac:dyDescent="0.2">
      <c r="B593" s="2"/>
      <c r="C593" s="26"/>
      <c r="D593" s="27"/>
      <c r="E593" s="27"/>
      <c r="F593" s="27"/>
      <c r="G593" s="215"/>
      <c r="H593" s="27"/>
      <c r="I593" s="27"/>
      <c r="J593" s="27"/>
      <c r="K593" s="27"/>
      <c r="L593" s="27"/>
      <c r="M593" s="2"/>
    </row>
    <row r="594" spans="2:13" ht="15.75" customHeight="1" x14ac:dyDescent="0.2">
      <c r="B594" s="2"/>
      <c r="C594" s="26"/>
      <c r="D594" s="27"/>
      <c r="E594" s="27"/>
      <c r="F594" s="27"/>
      <c r="G594" s="215"/>
      <c r="H594" s="27"/>
      <c r="I594" s="27"/>
      <c r="J594" s="27"/>
      <c r="K594" s="27"/>
      <c r="L594" s="27"/>
      <c r="M594" s="2"/>
    </row>
    <row r="595" spans="2:13" ht="15.75" customHeight="1" x14ac:dyDescent="0.2">
      <c r="B595" s="2"/>
      <c r="C595" s="26"/>
      <c r="D595" s="27"/>
      <c r="E595" s="27"/>
      <c r="F595" s="27"/>
      <c r="G595" s="215"/>
      <c r="H595" s="27"/>
      <c r="I595" s="27"/>
      <c r="J595" s="27"/>
      <c r="K595" s="27"/>
      <c r="L595" s="27"/>
      <c r="M595" s="2"/>
    </row>
    <row r="596" spans="2:13" ht="15.75" customHeight="1" x14ac:dyDescent="0.2">
      <c r="B596" s="2"/>
      <c r="C596" s="26"/>
      <c r="D596" s="27"/>
      <c r="E596" s="27"/>
      <c r="F596" s="27"/>
      <c r="G596" s="215"/>
      <c r="H596" s="27"/>
      <c r="I596" s="27"/>
      <c r="J596" s="27"/>
      <c r="K596" s="27"/>
      <c r="L596" s="27"/>
      <c r="M596" s="2"/>
    </row>
    <row r="597" spans="2:13" ht="15.75" customHeight="1" x14ac:dyDescent="0.2">
      <c r="B597" s="2"/>
      <c r="C597" s="26"/>
      <c r="D597" s="27"/>
      <c r="E597" s="27"/>
      <c r="F597" s="27"/>
      <c r="G597" s="215"/>
      <c r="H597" s="27"/>
      <c r="I597" s="27"/>
      <c r="J597" s="27"/>
      <c r="K597" s="27"/>
      <c r="L597" s="27"/>
      <c r="M597" s="2"/>
    </row>
    <row r="598" spans="2:13" ht="15.75" customHeight="1" x14ac:dyDescent="0.2">
      <c r="B598" s="2"/>
      <c r="C598" s="26"/>
      <c r="D598" s="27"/>
      <c r="E598" s="27"/>
      <c r="F598" s="27"/>
      <c r="G598" s="215"/>
      <c r="H598" s="27"/>
      <c r="I598" s="27"/>
      <c r="J598" s="27"/>
      <c r="K598" s="27"/>
      <c r="L598" s="27"/>
      <c r="M598" s="2"/>
    </row>
    <row r="599" spans="2:13" ht="15.75" customHeight="1" x14ac:dyDescent="0.2">
      <c r="B599" s="2"/>
      <c r="C599" s="26"/>
      <c r="D599" s="27"/>
      <c r="E599" s="27"/>
      <c r="F599" s="27"/>
      <c r="G599" s="215"/>
      <c r="H599" s="27"/>
      <c r="I599" s="27"/>
      <c r="J599" s="27"/>
      <c r="K599" s="27"/>
      <c r="L599" s="27"/>
      <c r="M599" s="2"/>
    </row>
    <row r="600" spans="2:13" ht="15.75" customHeight="1" x14ac:dyDescent="0.2">
      <c r="B600" s="2"/>
      <c r="C600" s="26"/>
      <c r="D600" s="27"/>
      <c r="E600" s="27"/>
      <c r="F600" s="27"/>
      <c r="G600" s="215"/>
      <c r="H600" s="27"/>
      <c r="I600" s="27"/>
      <c r="J600" s="27"/>
      <c r="K600" s="27"/>
      <c r="L600" s="27"/>
      <c r="M600" s="2"/>
    </row>
    <row r="601" spans="2:13" ht="15.75" customHeight="1" x14ac:dyDescent="0.2">
      <c r="B601" s="2"/>
      <c r="C601" s="26"/>
      <c r="D601" s="27"/>
      <c r="E601" s="27"/>
      <c r="F601" s="27"/>
      <c r="G601" s="215"/>
      <c r="H601" s="27"/>
      <c r="I601" s="27"/>
      <c r="J601" s="27"/>
      <c r="K601" s="27"/>
      <c r="L601" s="27"/>
      <c r="M601" s="2"/>
    </row>
    <row r="602" spans="2:13" ht="15.75" customHeight="1" x14ac:dyDescent="0.2">
      <c r="B602" s="2"/>
      <c r="C602" s="26"/>
      <c r="D602" s="27"/>
      <c r="E602" s="27"/>
      <c r="F602" s="27"/>
      <c r="G602" s="215"/>
      <c r="H602" s="27"/>
      <c r="I602" s="27"/>
      <c r="J602" s="27"/>
      <c r="K602" s="27"/>
      <c r="L602" s="27"/>
      <c r="M602" s="2"/>
    </row>
    <row r="603" spans="2:13" ht="15.75" customHeight="1" x14ac:dyDescent="0.2">
      <c r="B603" s="2"/>
      <c r="C603" s="26"/>
      <c r="D603" s="27"/>
      <c r="E603" s="27"/>
      <c r="F603" s="27"/>
      <c r="G603" s="215"/>
      <c r="H603" s="27"/>
      <c r="I603" s="27"/>
      <c r="J603" s="27"/>
      <c r="K603" s="27"/>
      <c r="L603" s="27"/>
      <c r="M603" s="2"/>
    </row>
    <row r="604" spans="2:13" ht="15.75" customHeight="1" x14ac:dyDescent="0.2">
      <c r="B604" s="2"/>
      <c r="C604" s="26"/>
      <c r="D604" s="27"/>
      <c r="E604" s="27"/>
      <c r="F604" s="27"/>
      <c r="G604" s="215"/>
      <c r="H604" s="27"/>
      <c r="I604" s="27"/>
      <c r="J604" s="27"/>
      <c r="K604" s="27"/>
      <c r="L604" s="27"/>
      <c r="M604" s="2"/>
    </row>
    <row r="605" spans="2:13" ht="15.75" customHeight="1" x14ac:dyDescent="0.2">
      <c r="B605" s="2"/>
      <c r="C605" s="26"/>
      <c r="D605" s="27"/>
      <c r="E605" s="27"/>
      <c r="F605" s="27"/>
      <c r="G605" s="215"/>
      <c r="H605" s="27"/>
      <c r="I605" s="27"/>
      <c r="J605" s="27"/>
      <c r="K605" s="27"/>
      <c r="L605" s="27"/>
      <c r="M605" s="2"/>
    </row>
    <row r="606" spans="2:13" ht="15.75" customHeight="1" x14ac:dyDescent="0.2">
      <c r="B606" s="2"/>
      <c r="C606" s="26"/>
      <c r="D606" s="27"/>
      <c r="E606" s="27"/>
      <c r="F606" s="27"/>
      <c r="G606" s="215"/>
      <c r="H606" s="27"/>
      <c r="I606" s="27"/>
      <c r="J606" s="27"/>
      <c r="K606" s="27"/>
      <c r="L606" s="27"/>
      <c r="M606" s="2"/>
    </row>
    <row r="607" spans="2:13" ht="15.75" customHeight="1" x14ac:dyDescent="0.2">
      <c r="B607" s="2"/>
      <c r="C607" s="26"/>
      <c r="D607" s="27"/>
      <c r="E607" s="27"/>
      <c r="F607" s="27"/>
      <c r="G607" s="215"/>
      <c r="H607" s="27"/>
      <c r="I607" s="27"/>
      <c r="J607" s="27"/>
      <c r="K607" s="27"/>
      <c r="L607" s="27"/>
      <c r="M607" s="2"/>
    </row>
    <row r="608" spans="2:13" ht="15.75" customHeight="1" x14ac:dyDescent="0.2">
      <c r="B608" s="2"/>
      <c r="C608" s="26"/>
      <c r="D608" s="27"/>
      <c r="E608" s="27"/>
      <c r="F608" s="27"/>
      <c r="G608" s="215"/>
      <c r="H608" s="27"/>
      <c r="I608" s="27"/>
      <c r="J608" s="27"/>
      <c r="K608" s="27"/>
      <c r="L608" s="27"/>
      <c r="M608" s="2"/>
    </row>
    <row r="609" spans="2:13" ht="15.75" customHeight="1" x14ac:dyDescent="0.2">
      <c r="B609" s="2"/>
      <c r="C609" s="26"/>
      <c r="D609" s="27"/>
      <c r="E609" s="27"/>
      <c r="F609" s="27"/>
      <c r="G609" s="215"/>
      <c r="H609" s="27"/>
      <c r="I609" s="27"/>
      <c r="J609" s="27"/>
      <c r="K609" s="27"/>
      <c r="L609" s="27"/>
      <c r="M609" s="2"/>
    </row>
    <row r="610" spans="2:13" ht="15.75" customHeight="1" x14ac:dyDescent="0.2">
      <c r="B610" s="2"/>
      <c r="C610" s="26"/>
      <c r="D610" s="27"/>
      <c r="E610" s="27"/>
      <c r="F610" s="27"/>
      <c r="G610" s="215"/>
      <c r="H610" s="27"/>
      <c r="I610" s="27"/>
      <c r="J610" s="27"/>
      <c r="K610" s="27"/>
      <c r="L610" s="27"/>
      <c r="M610" s="2"/>
    </row>
    <row r="611" spans="2:13" ht="15.75" customHeight="1" x14ac:dyDescent="0.2">
      <c r="B611" s="2"/>
      <c r="C611" s="26"/>
      <c r="D611" s="27"/>
      <c r="E611" s="27"/>
      <c r="F611" s="27"/>
      <c r="G611" s="215"/>
      <c r="H611" s="27"/>
      <c r="I611" s="27"/>
      <c r="J611" s="27"/>
      <c r="K611" s="27"/>
      <c r="L611" s="27"/>
      <c r="M611" s="2"/>
    </row>
    <row r="612" spans="2:13" ht="15.75" customHeight="1" x14ac:dyDescent="0.2">
      <c r="B612" s="2"/>
      <c r="C612" s="26"/>
      <c r="D612" s="27"/>
      <c r="E612" s="27"/>
      <c r="F612" s="27"/>
      <c r="G612" s="215"/>
      <c r="H612" s="27"/>
      <c r="I612" s="27"/>
      <c r="J612" s="27"/>
      <c r="K612" s="27"/>
      <c r="L612" s="27"/>
      <c r="M612" s="2"/>
    </row>
    <row r="613" spans="2:13" ht="15.75" customHeight="1" x14ac:dyDescent="0.2">
      <c r="B613" s="2"/>
      <c r="C613" s="26"/>
      <c r="D613" s="27"/>
      <c r="E613" s="27"/>
      <c r="F613" s="27"/>
      <c r="G613" s="215"/>
      <c r="H613" s="27"/>
      <c r="I613" s="27"/>
      <c r="J613" s="27"/>
      <c r="K613" s="27"/>
      <c r="L613" s="27"/>
      <c r="M613" s="2"/>
    </row>
    <row r="614" spans="2:13" ht="15.75" customHeight="1" x14ac:dyDescent="0.2">
      <c r="B614" s="2"/>
      <c r="C614" s="26"/>
      <c r="D614" s="27"/>
      <c r="E614" s="27"/>
      <c r="F614" s="27"/>
      <c r="G614" s="215"/>
      <c r="H614" s="27"/>
      <c r="I614" s="27"/>
      <c r="J614" s="27"/>
      <c r="K614" s="27"/>
      <c r="L614" s="27"/>
      <c r="M614" s="2"/>
    </row>
    <row r="615" spans="2:13" ht="15.75" customHeight="1" x14ac:dyDescent="0.2">
      <c r="B615" s="2"/>
      <c r="C615" s="26"/>
      <c r="D615" s="27"/>
      <c r="E615" s="27"/>
      <c r="F615" s="27"/>
      <c r="G615" s="215"/>
      <c r="H615" s="27"/>
      <c r="I615" s="27"/>
      <c r="J615" s="27"/>
      <c r="K615" s="27"/>
      <c r="L615" s="27"/>
      <c r="M615" s="2"/>
    </row>
    <row r="616" spans="2:13" ht="15.75" customHeight="1" x14ac:dyDescent="0.2">
      <c r="B616" s="2"/>
      <c r="C616" s="26"/>
      <c r="D616" s="27"/>
      <c r="E616" s="27"/>
      <c r="F616" s="27"/>
      <c r="G616" s="215"/>
      <c r="H616" s="27"/>
      <c r="I616" s="27"/>
      <c r="J616" s="27"/>
      <c r="K616" s="27"/>
      <c r="L616" s="27"/>
      <c r="M616" s="2"/>
    </row>
    <row r="617" spans="2:13" ht="15.75" customHeight="1" x14ac:dyDescent="0.2">
      <c r="B617" s="2"/>
      <c r="C617" s="26"/>
      <c r="D617" s="27"/>
      <c r="E617" s="27"/>
      <c r="F617" s="27"/>
      <c r="G617" s="215"/>
      <c r="H617" s="27"/>
      <c r="I617" s="27"/>
      <c r="J617" s="27"/>
      <c r="K617" s="27"/>
      <c r="L617" s="27"/>
      <c r="M617" s="2"/>
    </row>
    <row r="618" spans="2:13" ht="15.75" customHeight="1" x14ac:dyDescent="0.2">
      <c r="B618" s="2"/>
      <c r="C618" s="26"/>
      <c r="D618" s="27"/>
      <c r="E618" s="27"/>
      <c r="F618" s="27"/>
      <c r="G618" s="215"/>
      <c r="H618" s="27"/>
      <c r="I618" s="27"/>
      <c r="J618" s="27"/>
      <c r="K618" s="27"/>
      <c r="L618" s="27"/>
      <c r="M618" s="2"/>
    </row>
    <row r="619" spans="2:13" ht="15.75" customHeight="1" x14ac:dyDescent="0.2">
      <c r="B619" s="2"/>
      <c r="C619" s="26"/>
      <c r="D619" s="27"/>
      <c r="E619" s="27"/>
      <c r="F619" s="27"/>
      <c r="G619" s="215"/>
      <c r="H619" s="27"/>
      <c r="I619" s="27"/>
      <c r="J619" s="27"/>
      <c r="K619" s="27"/>
      <c r="L619" s="27"/>
      <c r="M619" s="2"/>
    </row>
    <row r="620" spans="2:13" ht="15.75" customHeight="1" x14ac:dyDescent="0.2">
      <c r="B620" s="2"/>
      <c r="C620" s="26"/>
      <c r="D620" s="27"/>
      <c r="E620" s="27"/>
      <c r="F620" s="27"/>
      <c r="G620" s="215"/>
      <c r="H620" s="27"/>
      <c r="I620" s="27"/>
      <c r="J620" s="27"/>
      <c r="K620" s="27"/>
      <c r="L620" s="27"/>
      <c r="M620" s="2"/>
    </row>
    <row r="621" spans="2:13" ht="15.75" customHeight="1" x14ac:dyDescent="0.2">
      <c r="B621" s="2"/>
      <c r="C621" s="26"/>
      <c r="D621" s="27"/>
      <c r="E621" s="27"/>
      <c r="F621" s="27"/>
      <c r="G621" s="215"/>
      <c r="H621" s="27"/>
      <c r="I621" s="27"/>
      <c r="J621" s="27"/>
      <c r="K621" s="27"/>
      <c r="L621" s="27"/>
      <c r="M621" s="2"/>
    </row>
    <row r="622" spans="2:13" ht="15.75" customHeight="1" x14ac:dyDescent="0.2">
      <c r="B622" s="2"/>
      <c r="C622" s="26"/>
      <c r="D622" s="27"/>
      <c r="E622" s="27"/>
      <c r="F622" s="27"/>
      <c r="G622" s="215"/>
      <c r="H622" s="27"/>
      <c r="I622" s="27"/>
      <c r="J622" s="27"/>
      <c r="K622" s="27"/>
      <c r="L622" s="27"/>
      <c r="M622" s="2"/>
    </row>
    <row r="623" spans="2:13" ht="15.75" customHeight="1" x14ac:dyDescent="0.2">
      <c r="B623" s="2"/>
      <c r="C623" s="26"/>
      <c r="D623" s="27"/>
      <c r="E623" s="27"/>
      <c r="F623" s="27"/>
      <c r="G623" s="215"/>
      <c r="H623" s="27"/>
      <c r="I623" s="27"/>
      <c r="J623" s="27"/>
      <c r="K623" s="27"/>
      <c r="L623" s="27"/>
      <c r="M623" s="2"/>
    </row>
    <row r="624" spans="2:13" ht="15.75" customHeight="1" x14ac:dyDescent="0.2">
      <c r="B624" s="2"/>
      <c r="C624" s="26"/>
      <c r="D624" s="27"/>
      <c r="E624" s="27"/>
      <c r="F624" s="27"/>
      <c r="G624" s="215"/>
      <c r="H624" s="27"/>
      <c r="I624" s="27"/>
      <c r="J624" s="27"/>
      <c r="K624" s="27"/>
      <c r="L624" s="27"/>
      <c r="M624" s="2"/>
    </row>
    <row r="625" spans="2:13" ht="15.75" customHeight="1" x14ac:dyDescent="0.2">
      <c r="B625" s="2"/>
      <c r="C625" s="26"/>
      <c r="D625" s="27"/>
      <c r="E625" s="27"/>
      <c r="F625" s="27"/>
      <c r="G625" s="215"/>
      <c r="H625" s="27"/>
      <c r="I625" s="27"/>
      <c r="J625" s="27"/>
      <c r="K625" s="27"/>
      <c r="L625" s="27"/>
      <c r="M625" s="2"/>
    </row>
    <row r="626" spans="2:13" ht="15.75" customHeight="1" x14ac:dyDescent="0.2">
      <c r="B626" s="2"/>
      <c r="C626" s="26"/>
      <c r="D626" s="27"/>
      <c r="E626" s="27"/>
      <c r="F626" s="27"/>
      <c r="G626" s="215"/>
      <c r="H626" s="27"/>
      <c r="I626" s="27"/>
      <c r="J626" s="27"/>
      <c r="K626" s="27"/>
      <c r="L626" s="27"/>
      <c r="M626" s="2"/>
    </row>
    <row r="627" spans="2:13" ht="15.75" customHeight="1" x14ac:dyDescent="0.2">
      <c r="B627" s="2"/>
      <c r="C627" s="26"/>
      <c r="D627" s="27"/>
      <c r="E627" s="27"/>
      <c r="F627" s="27"/>
      <c r="G627" s="215"/>
      <c r="H627" s="27"/>
      <c r="I627" s="27"/>
      <c r="J627" s="27"/>
      <c r="K627" s="27"/>
      <c r="L627" s="27"/>
      <c r="M627" s="2"/>
    </row>
    <row r="628" spans="2:13" ht="15.75" customHeight="1" x14ac:dyDescent="0.2">
      <c r="B628" s="2"/>
      <c r="C628" s="26"/>
      <c r="D628" s="27"/>
      <c r="E628" s="27"/>
      <c r="F628" s="27"/>
      <c r="G628" s="215"/>
      <c r="H628" s="27"/>
      <c r="I628" s="27"/>
      <c r="J628" s="27"/>
      <c r="K628" s="27"/>
      <c r="L628" s="27"/>
      <c r="M628" s="2"/>
    </row>
    <row r="629" spans="2:13" ht="15.75" customHeight="1" x14ac:dyDescent="0.2">
      <c r="B629" s="2"/>
      <c r="C629" s="26"/>
      <c r="D629" s="27"/>
      <c r="E629" s="27"/>
      <c r="F629" s="27"/>
      <c r="G629" s="215"/>
      <c r="H629" s="27"/>
      <c r="I629" s="27"/>
      <c r="J629" s="27"/>
      <c r="K629" s="27"/>
      <c r="L629" s="27"/>
      <c r="M629" s="2"/>
    </row>
    <row r="630" spans="2:13" ht="15.75" customHeight="1" x14ac:dyDescent="0.2">
      <c r="B630" s="2"/>
      <c r="C630" s="26"/>
      <c r="D630" s="27"/>
      <c r="E630" s="27"/>
      <c r="F630" s="27"/>
      <c r="G630" s="215"/>
      <c r="H630" s="27"/>
      <c r="I630" s="27"/>
      <c r="J630" s="27"/>
      <c r="K630" s="27"/>
      <c r="L630" s="27"/>
      <c r="M630" s="2"/>
    </row>
    <row r="631" spans="2:13" ht="15.75" customHeight="1" x14ac:dyDescent="0.2">
      <c r="B631" s="2"/>
      <c r="C631" s="26"/>
      <c r="D631" s="27"/>
      <c r="E631" s="27"/>
      <c r="F631" s="27"/>
      <c r="G631" s="215"/>
      <c r="H631" s="27"/>
      <c r="I631" s="27"/>
      <c r="J631" s="27"/>
      <c r="K631" s="27"/>
      <c r="L631" s="27"/>
      <c r="M631" s="2"/>
    </row>
    <row r="632" spans="2:13" ht="15.75" customHeight="1" x14ac:dyDescent="0.2">
      <c r="B632" s="2"/>
      <c r="C632" s="26"/>
      <c r="D632" s="27"/>
      <c r="E632" s="27"/>
      <c r="F632" s="27"/>
      <c r="G632" s="215"/>
      <c r="H632" s="27"/>
      <c r="I632" s="27"/>
      <c r="J632" s="27"/>
      <c r="K632" s="27"/>
      <c r="L632" s="27"/>
      <c r="M632" s="2"/>
    </row>
    <row r="633" spans="2:13" ht="15.75" customHeight="1" x14ac:dyDescent="0.2">
      <c r="B633" s="2"/>
      <c r="C633" s="26"/>
      <c r="D633" s="27"/>
      <c r="E633" s="27"/>
      <c r="F633" s="27"/>
      <c r="G633" s="215"/>
      <c r="H633" s="27"/>
      <c r="I633" s="27"/>
      <c r="J633" s="27"/>
      <c r="K633" s="27"/>
      <c r="L633" s="27"/>
      <c r="M633" s="2"/>
    </row>
    <row r="634" spans="2:13" ht="15.75" customHeight="1" x14ac:dyDescent="0.2">
      <c r="B634" s="2"/>
      <c r="C634" s="26"/>
      <c r="D634" s="27"/>
      <c r="E634" s="27"/>
      <c r="F634" s="27"/>
      <c r="G634" s="215"/>
      <c r="H634" s="27"/>
      <c r="I634" s="27"/>
      <c r="J634" s="27"/>
      <c r="K634" s="27"/>
      <c r="L634" s="27"/>
      <c r="M634" s="2"/>
    </row>
    <row r="635" spans="2:13" ht="15.75" customHeight="1" x14ac:dyDescent="0.2">
      <c r="B635" s="2"/>
      <c r="C635" s="26"/>
      <c r="D635" s="27"/>
      <c r="E635" s="27"/>
      <c r="F635" s="27"/>
      <c r="G635" s="215"/>
      <c r="H635" s="27"/>
      <c r="I635" s="27"/>
      <c r="J635" s="27"/>
      <c r="K635" s="27"/>
      <c r="L635" s="27"/>
      <c r="M635" s="2"/>
    </row>
    <row r="636" spans="2:13" ht="15.75" customHeight="1" x14ac:dyDescent="0.2">
      <c r="B636" s="2"/>
      <c r="C636" s="26"/>
      <c r="D636" s="27"/>
      <c r="E636" s="27"/>
      <c r="F636" s="27"/>
      <c r="G636" s="215"/>
      <c r="H636" s="27"/>
      <c r="I636" s="27"/>
      <c r="J636" s="27"/>
      <c r="K636" s="27"/>
      <c r="L636" s="27"/>
      <c r="M636" s="2"/>
    </row>
    <row r="637" spans="2:13" ht="15.75" customHeight="1" x14ac:dyDescent="0.2">
      <c r="B637" s="2"/>
      <c r="C637" s="26"/>
      <c r="D637" s="27"/>
      <c r="E637" s="27"/>
      <c r="F637" s="27"/>
      <c r="G637" s="215"/>
      <c r="H637" s="27"/>
      <c r="I637" s="27"/>
      <c r="J637" s="27"/>
      <c r="K637" s="27"/>
      <c r="L637" s="27"/>
      <c r="M637" s="2"/>
    </row>
    <row r="638" spans="2:13" ht="15.75" customHeight="1" x14ac:dyDescent="0.2">
      <c r="B638" s="2"/>
      <c r="C638" s="26"/>
      <c r="D638" s="27"/>
      <c r="E638" s="27"/>
      <c r="F638" s="27"/>
      <c r="G638" s="215"/>
      <c r="H638" s="27"/>
      <c r="I638" s="27"/>
      <c r="J638" s="27"/>
      <c r="K638" s="27"/>
      <c r="L638" s="27"/>
      <c r="M638" s="2"/>
    </row>
    <row r="639" spans="2:13" ht="15.75" customHeight="1" x14ac:dyDescent="0.2">
      <c r="B639" s="2"/>
      <c r="C639" s="26"/>
      <c r="D639" s="27"/>
      <c r="E639" s="27"/>
      <c r="F639" s="27"/>
      <c r="G639" s="215"/>
      <c r="H639" s="27"/>
      <c r="I639" s="27"/>
      <c r="J639" s="27"/>
      <c r="K639" s="27"/>
      <c r="L639" s="27"/>
      <c r="M639" s="2"/>
    </row>
    <row r="640" spans="2:13" ht="15.75" customHeight="1" x14ac:dyDescent="0.2">
      <c r="B640" s="2"/>
      <c r="C640" s="26"/>
      <c r="D640" s="27"/>
      <c r="E640" s="27"/>
      <c r="F640" s="27"/>
      <c r="G640" s="215"/>
      <c r="H640" s="27"/>
      <c r="I640" s="27"/>
      <c r="J640" s="27"/>
      <c r="K640" s="27"/>
      <c r="L640" s="27"/>
      <c r="M640" s="2"/>
    </row>
    <row r="641" spans="2:13" ht="15.75" customHeight="1" x14ac:dyDescent="0.2">
      <c r="B641" s="2"/>
      <c r="C641" s="26"/>
      <c r="D641" s="27"/>
      <c r="E641" s="27"/>
      <c r="F641" s="27"/>
      <c r="G641" s="215"/>
      <c r="H641" s="27"/>
      <c r="I641" s="27"/>
      <c r="J641" s="27"/>
      <c r="K641" s="27"/>
      <c r="L641" s="27"/>
      <c r="M641" s="2"/>
    </row>
    <row r="642" spans="2:13" ht="15.75" customHeight="1" x14ac:dyDescent="0.2">
      <c r="B642" s="2"/>
      <c r="C642" s="26"/>
      <c r="D642" s="27"/>
      <c r="E642" s="27"/>
      <c r="F642" s="27"/>
      <c r="G642" s="215"/>
      <c r="H642" s="27"/>
      <c r="I642" s="27"/>
      <c r="J642" s="27"/>
      <c r="K642" s="27"/>
      <c r="L642" s="27"/>
      <c r="M642" s="2"/>
    </row>
    <row r="643" spans="2:13" ht="15.75" customHeight="1" x14ac:dyDescent="0.2">
      <c r="B643" s="2"/>
      <c r="C643" s="26"/>
      <c r="D643" s="27"/>
      <c r="E643" s="27"/>
      <c r="F643" s="27"/>
      <c r="G643" s="215"/>
      <c r="H643" s="27"/>
      <c r="I643" s="27"/>
      <c r="J643" s="27"/>
      <c r="K643" s="27"/>
      <c r="L643" s="27"/>
      <c r="M643" s="2"/>
    </row>
    <row r="644" spans="2:13" ht="15.75" customHeight="1" x14ac:dyDescent="0.2">
      <c r="B644" s="2"/>
      <c r="C644" s="26"/>
      <c r="D644" s="27"/>
      <c r="E644" s="27"/>
      <c r="F644" s="27"/>
      <c r="G644" s="215"/>
      <c r="H644" s="27"/>
      <c r="I644" s="27"/>
      <c r="J644" s="27"/>
      <c r="K644" s="27"/>
      <c r="L644" s="27"/>
      <c r="M644" s="2"/>
    </row>
    <row r="645" spans="2:13" ht="15.75" customHeight="1" x14ac:dyDescent="0.2">
      <c r="B645" s="2"/>
      <c r="C645" s="26"/>
      <c r="D645" s="27"/>
      <c r="E645" s="27"/>
      <c r="F645" s="27"/>
      <c r="G645" s="215"/>
      <c r="H645" s="27"/>
      <c r="I645" s="27"/>
      <c r="J645" s="27"/>
      <c r="K645" s="27"/>
      <c r="L645" s="27"/>
      <c r="M645" s="2"/>
    </row>
    <row r="646" spans="2:13" ht="15.75" customHeight="1" x14ac:dyDescent="0.2">
      <c r="B646" s="2"/>
      <c r="C646" s="26"/>
      <c r="D646" s="27"/>
      <c r="E646" s="27"/>
      <c r="F646" s="27"/>
      <c r="G646" s="215"/>
      <c r="H646" s="27"/>
      <c r="I646" s="27"/>
      <c r="J646" s="27"/>
      <c r="K646" s="27"/>
      <c r="L646" s="27"/>
      <c r="M646" s="2"/>
    </row>
    <row r="647" spans="2:13" ht="15.75" customHeight="1" x14ac:dyDescent="0.2">
      <c r="B647" s="2"/>
      <c r="C647" s="26"/>
      <c r="D647" s="27"/>
      <c r="E647" s="27"/>
      <c r="F647" s="27"/>
      <c r="G647" s="215"/>
      <c r="H647" s="27"/>
      <c r="I647" s="27"/>
      <c r="J647" s="27"/>
      <c r="K647" s="27"/>
      <c r="L647" s="27"/>
      <c r="M647" s="2"/>
    </row>
    <row r="648" spans="2:13" ht="15.75" customHeight="1" x14ac:dyDescent="0.2">
      <c r="B648" s="2"/>
      <c r="C648" s="26"/>
      <c r="D648" s="27"/>
      <c r="E648" s="27"/>
      <c r="F648" s="27"/>
      <c r="G648" s="215"/>
      <c r="H648" s="27"/>
      <c r="I648" s="27"/>
      <c r="J648" s="27"/>
      <c r="K648" s="27"/>
      <c r="L648" s="27"/>
      <c r="M648" s="2"/>
    </row>
    <row r="649" spans="2:13" ht="15.75" customHeight="1" x14ac:dyDescent="0.2">
      <c r="B649" s="2"/>
      <c r="C649" s="26"/>
      <c r="D649" s="27"/>
      <c r="E649" s="27"/>
      <c r="F649" s="27"/>
      <c r="G649" s="215"/>
      <c r="H649" s="27"/>
      <c r="I649" s="27"/>
      <c r="J649" s="27"/>
      <c r="K649" s="27"/>
      <c r="L649" s="27"/>
      <c r="M649" s="2"/>
    </row>
    <row r="650" spans="2:13" ht="15.75" customHeight="1" x14ac:dyDescent="0.2">
      <c r="B650" s="2"/>
      <c r="C650" s="26"/>
      <c r="D650" s="27"/>
      <c r="E650" s="27"/>
      <c r="F650" s="27"/>
      <c r="G650" s="215"/>
      <c r="H650" s="27"/>
      <c r="I650" s="27"/>
      <c r="J650" s="27"/>
      <c r="K650" s="27"/>
      <c r="L650" s="27"/>
      <c r="M650" s="2"/>
    </row>
    <row r="651" spans="2:13" ht="15.75" customHeight="1" x14ac:dyDescent="0.2">
      <c r="B651" s="2"/>
      <c r="C651" s="26"/>
      <c r="D651" s="27"/>
      <c r="E651" s="27"/>
      <c r="F651" s="27"/>
      <c r="G651" s="215"/>
      <c r="H651" s="27"/>
      <c r="I651" s="27"/>
      <c r="J651" s="27"/>
      <c r="K651" s="27"/>
      <c r="L651" s="27"/>
      <c r="M651" s="2"/>
    </row>
    <row r="652" spans="2:13" ht="15.75" customHeight="1" x14ac:dyDescent="0.2">
      <c r="B652" s="2"/>
      <c r="C652" s="26"/>
      <c r="D652" s="27"/>
      <c r="E652" s="27"/>
      <c r="F652" s="27"/>
      <c r="G652" s="215"/>
      <c r="H652" s="27"/>
      <c r="I652" s="27"/>
      <c r="J652" s="27"/>
      <c r="K652" s="27"/>
      <c r="L652" s="27"/>
      <c r="M652" s="2"/>
    </row>
    <row r="653" spans="2:13" ht="15.75" customHeight="1" x14ac:dyDescent="0.2">
      <c r="B653" s="2"/>
      <c r="C653" s="26"/>
      <c r="D653" s="27"/>
      <c r="E653" s="27"/>
      <c r="F653" s="27"/>
      <c r="G653" s="215"/>
      <c r="H653" s="27"/>
      <c r="I653" s="27"/>
      <c r="J653" s="27"/>
      <c r="K653" s="27"/>
      <c r="L653" s="27"/>
      <c r="M653" s="2"/>
    </row>
    <row r="654" spans="2:13" ht="15.75" customHeight="1" x14ac:dyDescent="0.2">
      <c r="B654" s="2"/>
      <c r="C654" s="26"/>
      <c r="D654" s="27"/>
      <c r="E654" s="27"/>
      <c r="F654" s="27"/>
      <c r="G654" s="215"/>
      <c r="H654" s="27"/>
      <c r="I654" s="27"/>
      <c r="J654" s="27"/>
      <c r="K654" s="27"/>
      <c r="L654" s="27"/>
      <c r="M654" s="2"/>
    </row>
    <row r="655" spans="2:13" ht="15.75" customHeight="1" x14ac:dyDescent="0.2">
      <c r="B655" s="2"/>
      <c r="C655" s="26"/>
      <c r="D655" s="27"/>
      <c r="E655" s="27"/>
      <c r="F655" s="27"/>
      <c r="G655" s="215"/>
      <c r="H655" s="27"/>
      <c r="I655" s="27"/>
      <c r="J655" s="27"/>
      <c r="K655" s="27"/>
      <c r="L655" s="27"/>
      <c r="M655" s="2"/>
    </row>
    <row r="656" spans="2:13" ht="15.75" customHeight="1" x14ac:dyDescent="0.2">
      <c r="B656" s="2"/>
      <c r="C656" s="26"/>
      <c r="D656" s="27"/>
      <c r="E656" s="27"/>
      <c r="F656" s="27"/>
      <c r="G656" s="215"/>
      <c r="H656" s="27"/>
      <c r="I656" s="27"/>
      <c r="J656" s="27"/>
      <c r="K656" s="27"/>
      <c r="L656" s="27"/>
      <c r="M656" s="2"/>
    </row>
    <row r="657" spans="2:13" ht="15.75" customHeight="1" x14ac:dyDescent="0.2">
      <c r="B657" s="2"/>
      <c r="C657" s="26"/>
      <c r="D657" s="27"/>
      <c r="E657" s="27"/>
      <c r="F657" s="27"/>
      <c r="G657" s="215"/>
      <c r="H657" s="27"/>
      <c r="I657" s="27"/>
      <c r="J657" s="27"/>
      <c r="K657" s="27"/>
      <c r="L657" s="27"/>
      <c r="M657" s="2"/>
    </row>
    <row r="658" spans="2:13" ht="15.75" customHeight="1" x14ac:dyDescent="0.2">
      <c r="B658" s="2"/>
      <c r="C658" s="26"/>
      <c r="D658" s="27"/>
      <c r="E658" s="27"/>
      <c r="F658" s="27"/>
      <c r="G658" s="215"/>
      <c r="H658" s="27"/>
      <c r="I658" s="27"/>
      <c r="J658" s="27"/>
      <c r="K658" s="27"/>
      <c r="L658" s="27"/>
      <c r="M658" s="2"/>
    </row>
    <row r="659" spans="2:13" ht="15.75" customHeight="1" x14ac:dyDescent="0.2">
      <c r="B659" s="2"/>
      <c r="C659" s="26"/>
      <c r="D659" s="27"/>
      <c r="E659" s="27"/>
      <c r="F659" s="27"/>
      <c r="G659" s="215"/>
      <c r="H659" s="27"/>
      <c r="I659" s="27"/>
      <c r="J659" s="27"/>
      <c r="K659" s="27"/>
      <c r="L659" s="27"/>
      <c r="M659" s="2"/>
    </row>
    <row r="660" spans="2:13" ht="15.75" customHeight="1" x14ac:dyDescent="0.2">
      <c r="B660" s="2"/>
      <c r="C660" s="26"/>
      <c r="D660" s="27"/>
      <c r="E660" s="27"/>
      <c r="F660" s="27"/>
      <c r="G660" s="215"/>
      <c r="H660" s="27"/>
      <c r="I660" s="27"/>
      <c r="J660" s="27"/>
      <c r="K660" s="27"/>
      <c r="L660" s="27"/>
      <c r="M660" s="2"/>
    </row>
    <row r="661" spans="2:13" ht="15.75" customHeight="1" x14ac:dyDescent="0.2">
      <c r="B661" s="2"/>
      <c r="C661" s="26"/>
      <c r="D661" s="27"/>
      <c r="E661" s="27"/>
      <c r="F661" s="27"/>
      <c r="G661" s="215"/>
      <c r="H661" s="27"/>
      <c r="I661" s="27"/>
      <c r="J661" s="27"/>
      <c r="K661" s="27"/>
      <c r="L661" s="27"/>
      <c r="M661" s="2"/>
    </row>
    <row r="662" spans="2:13" ht="15.75" customHeight="1" x14ac:dyDescent="0.2">
      <c r="B662" s="2"/>
      <c r="C662" s="26"/>
      <c r="D662" s="27"/>
      <c r="E662" s="27"/>
      <c r="F662" s="27"/>
      <c r="G662" s="215"/>
      <c r="H662" s="27"/>
      <c r="I662" s="27"/>
      <c r="J662" s="27"/>
      <c r="K662" s="27"/>
      <c r="L662" s="27"/>
      <c r="M662" s="2"/>
    </row>
    <row r="663" spans="2:13" ht="15.75" customHeight="1" x14ac:dyDescent="0.2">
      <c r="B663" s="2"/>
      <c r="C663" s="26"/>
      <c r="D663" s="27"/>
      <c r="E663" s="27"/>
      <c r="F663" s="27"/>
      <c r="G663" s="215"/>
      <c r="H663" s="27"/>
      <c r="I663" s="27"/>
      <c r="J663" s="27"/>
      <c r="K663" s="27"/>
      <c r="L663" s="27"/>
      <c r="M663" s="2"/>
    </row>
    <row r="664" spans="2:13" ht="15.75" customHeight="1" x14ac:dyDescent="0.2">
      <c r="B664" s="2"/>
      <c r="C664" s="26"/>
      <c r="D664" s="27"/>
      <c r="E664" s="27"/>
      <c r="F664" s="27"/>
      <c r="G664" s="215"/>
      <c r="H664" s="27"/>
      <c r="I664" s="27"/>
      <c r="J664" s="27"/>
      <c r="K664" s="27"/>
      <c r="L664" s="27"/>
      <c r="M664" s="2"/>
    </row>
    <row r="665" spans="2:13" ht="15.75" customHeight="1" x14ac:dyDescent="0.2">
      <c r="B665" s="2"/>
      <c r="C665" s="26"/>
      <c r="D665" s="27"/>
      <c r="E665" s="27"/>
      <c r="F665" s="27"/>
      <c r="G665" s="215"/>
      <c r="H665" s="27"/>
      <c r="I665" s="27"/>
      <c r="J665" s="27"/>
      <c r="K665" s="27"/>
      <c r="L665" s="27"/>
      <c r="M665" s="2"/>
    </row>
    <row r="666" spans="2:13" ht="15.75" customHeight="1" x14ac:dyDescent="0.2">
      <c r="B666" s="2"/>
      <c r="C666" s="26"/>
      <c r="D666" s="27"/>
      <c r="E666" s="27"/>
      <c r="F666" s="27"/>
      <c r="G666" s="215"/>
      <c r="H666" s="27"/>
      <c r="I666" s="27"/>
      <c r="J666" s="27"/>
      <c r="K666" s="27"/>
      <c r="L666" s="27"/>
      <c r="M666" s="2"/>
    </row>
    <row r="667" spans="2:13" ht="15.75" customHeight="1" x14ac:dyDescent="0.2">
      <c r="B667" s="2"/>
      <c r="C667" s="26"/>
      <c r="D667" s="27"/>
      <c r="E667" s="27"/>
      <c r="F667" s="27"/>
      <c r="G667" s="215"/>
      <c r="H667" s="27"/>
      <c r="I667" s="27"/>
      <c r="J667" s="27"/>
      <c r="K667" s="27"/>
      <c r="L667" s="27"/>
      <c r="M667" s="2"/>
    </row>
    <row r="668" spans="2:13" ht="15.75" customHeight="1" x14ac:dyDescent="0.2">
      <c r="B668" s="2"/>
      <c r="C668" s="26"/>
      <c r="D668" s="27"/>
      <c r="E668" s="27"/>
      <c r="F668" s="27"/>
      <c r="G668" s="215"/>
      <c r="H668" s="27"/>
      <c r="I668" s="27"/>
      <c r="J668" s="27"/>
      <c r="K668" s="27"/>
      <c r="L668" s="27"/>
      <c r="M668" s="2"/>
    </row>
    <row r="669" spans="2:13" ht="15.75" customHeight="1" x14ac:dyDescent="0.2">
      <c r="B669" s="2"/>
      <c r="C669" s="26"/>
      <c r="D669" s="27"/>
      <c r="E669" s="27"/>
      <c r="F669" s="27"/>
      <c r="G669" s="215"/>
      <c r="H669" s="27"/>
      <c r="I669" s="27"/>
      <c r="J669" s="27"/>
      <c r="K669" s="27"/>
      <c r="L669" s="27"/>
      <c r="M669" s="2"/>
    </row>
    <row r="670" spans="2:13" ht="15.75" customHeight="1" x14ac:dyDescent="0.2">
      <c r="B670" s="2"/>
      <c r="C670" s="26"/>
      <c r="D670" s="27"/>
      <c r="E670" s="27"/>
      <c r="F670" s="27"/>
      <c r="G670" s="215"/>
      <c r="H670" s="27"/>
      <c r="I670" s="27"/>
      <c r="J670" s="27"/>
      <c r="K670" s="27"/>
      <c r="L670" s="27"/>
      <c r="M670" s="2"/>
    </row>
    <row r="671" spans="2:13" ht="15.75" customHeight="1" x14ac:dyDescent="0.2">
      <c r="B671" s="2"/>
      <c r="C671" s="26"/>
      <c r="D671" s="27"/>
      <c r="E671" s="27"/>
      <c r="F671" s="27"/>
      <c r="G671" s="215"/>
      <c r="H671" s="27"/>
      <c r="I671" s="27"/>
      <c r="J671" s="27"/>
      <c r="K671" s="27"/>
      <c r="L671" s="27"/>
      <c r="M671" s="2"/>
    </row>
    <row r="672" spans="2:13" ht="15.75" customHeight="1" x14ac:dyDescent="0.2">
      <c r="B672" s="2"/>
      <c r="C672" s="26"/>
      <c r="D672" s="27"/>
      <c r="E672" s="27"/>
      <c r="F672" s="27"/>
      <c r="G672" s="215"/>
      <c r="H672" s="27"/>
      <c r="I672" s="27"/>
      <c r="J672" s="27"/>
      <c r="K672" s="27"/>
      <c r="L672" s="27"/>
      <c r="M672" s="2"/>
    </row>
    <row r="673" spans="2:13" ht="15.75" customHeight="1" x14ac:dyDescent="0.2">
      <c r="B673" s="2"/>
      <c r="C673" s="26"/>
      <c r="D673" s="27"/>
      <c r="E673" s="27"/>
      <c r="F673" s="27"/>
      <c r="G673" s="215"/>
      <c r="H673" s="27"/>
      <c r="I673" s="27"/>
      <c r="J673" s="27"/>
      <c r="K673" s="27"/>
      <c r="L673" s="27"/>
      <c r="M673" s="2"/>
    </row>
    <row r="674" spans="2:13" ht="15.75" customHeight="1" x14ac:dyDescent="0.2">
      <c r="B674" s="2"/>
      <c r="C674" s="26"/>
      <c r="D674" s="27"/>
      <c r="E674" s="27"/>
      <c r="F674" s="27"/>
      <c r="G674" s="215"/>
      <c r="H674" s="27"/>
      <c r="I674" s="27"/>
      <c r="J674" s="27"/>
      <c r="K674" s="27"/>
      <c r="L674" s="27"/>
      <c r="M674" s="2"/>
    </row>
    <row r="675" spans="2:13" ht="15.75" customHeight="1" x14ac:dyDescent="0.2">
      <c r="B675" s="2"/>
      <c r="C675" s="26"/>
      <c r="D675" s="27"/>
      <c r="E675" s="27"/>
      <c r="F675" s="27"/>
      <c r="G675" s="215"/>
      <c r="H675" s="27"/>
      <c r="I675" s="27"/>
      <c r="J675" s="27"/>
      <c r="K675" s="27"/>
      <c r="L675" s="27"/>
      <c r="M675" s="2"/>
    </row>
    <row r="676" spans="2:13" ht="15.75" customHeight="1" x14ac:dyDescent="0.2">
      <c r="B676" s="2"/>
      <c r="C676" s="26"/>
      <c r="D676" s="27"/>
      <c r="E676" s="27"/>
      <c r="F676" s="27"/>
      <c r="G676" s="215"/>
      <c r="H676" s="27"/>
      <c r="I676" s="27"/>
      <c r="J676" s="27"/>
      <c r="K676" s="27"/>
      <c r="L676" s="27"/>
      <c r="M676" s="2"/>
    </row>
    <row r="677" spans="2:13" ht="15.75" customHeight="1" x14ac:dyDescent="0.2">
      <c r="B677" s="2"/>
      <c r="C677" s="26"/>
      <c r="D677" s="27"/>
      <c r="E677" s="27"/>
      <c r="F677" s="27"/>
      <c r="G677" s="215"/>
      <c r="H677" s="27"/>
      <c r="I677" s="27"/>
      <c r="J677" s="27"/>
      <c r="K677" s="27"/>
      <c r="L677" s="27"/>
      <c r="M677" s="2"/>
    </row>
    <row r="678" spans="2:13" ht="15.75" customHeight="1" x14ac:dyDescent="0.2">
      <c r="B678" s="2"/>
      <c r="C678" s="26"/>
      <c r="D678" s="27"/>
      <c r="E678" s="27"/>
      <c r="F678" s="27"/>
      <c r="G678" s="215"/>
      <c r="H678" s="27"/>
      <c r="I678" s="27"/>
      <c r="J678" s="27"/>
      <c r="K678" s="27"/>
      <c r="L678" s="27"/>
      <c r="M678" s="2"/>
    </row>
    <row r="679" spans="2:13" ht="15.75" customHeight="1" x14ac:dyDescent="0.2">
      <c r="B679" s="2"/>
      <c r="C679" s="26"/>
      <c r="D679" s="27"/>
      <c r="E679" s="27"/>
      <c r="F679" s="27"/>
      <c r="G679" s="215"/>
      <c r="H679" s="27"/>
      <c r="I679" s="27"/>
      <c r="J679" s="27"/>
      <c r="K679" s="27"/>
      <c r="L679" s="27"/>
      <c r="M679" s="2"/>
    </row>
    <row r="680" spans="2:13" ht="15.75" customHeight="1" x14ac:dyDescent="0.2">
      <c r="B680" s="2"/>
      <c r="C680" s="26"/>
      <c r="D680" s="27"/>
      <c r="E680" s="27"/>
      <c r="F680" s="27"/>
      <c r="G680" s="215"/>
      <c r="H680" s="27"/>
      <c r="I680" s="27"/>
      <c r="J680" s="27"/>
      <c r="K680" s="27"/>
      <c r="L680" s="27"/>
      <c r="M680" s="2"/>
    </row>
    <row r="681" spans="2:13" ht="15.75" customHeight="1" x14ac:dyDescent="0.2">
      <c r="B681" s="2"/>
      <c r="C681" s="26"/>
      <c r="D681" s="27"/>
      <c r="E681" s="27"/>
      <c r="F681" s="27"/>
      <c r="G681" s="215"/>
      <c r="H681" s="27"/>
      <c r="I681" s="27"/>
      <c r="J681" s="27"/>
      <c r="K681" s="27"/>
      <c r="L681" s="27"/>
      <c r="M681" s="2"/>
    </row>
    <row r="682" spans="2:13" ht="15.75" customHeight="1" x14ac:dyDescent="0.2">
      <c r="B682" s="2"/>
      <c r="C682" s="26"/>
      <c r="D682" s="27"/>
      <c r="E682" s="27"/>
      <c r="F682" s="27"/>
      <c r="G682" s="215"/>
      <c r="H682" s="27"/>
      <c r="I682" s="27"/>
      <c r="J682" s="27"/>
      <c r="K682" s="27"/>
      <c r="L682" s="27"/>
      <c r="M682" s="2"/>
    </row>
    <row r="683" spans="2:13" ht="15.75" customHeight="1" x14ac:dyDescent="0.2">
      <c r="B683" s="2"/>
      <c r="C683" s="26"/>
      <c r="D683" s="27"/>
      <c r="E683" s="27"/>
      <c r="F683" s="27"/>
      <c r="G683" s="215"/>
      <c r="H683" s="27"/>
      <c r="I683" s="27"/>
      <c r="J683" s="27"/>
      <c r="K683" s="27"/>
      <c r="L683" s="27"/>
      <c r="M683" s="2"/>
    </row>
    <row r="684" spans="2:13" ht="15.75" customHeight="1" x14ac:dyDescent="0.2">
      <c r="B684" s="2"/>
      <c r="C684" s="26"/>
      <c r="D684" s="27"/>
      <c r="E684" s="27"/>
      <c r="F684" s="27"/>
      <c r="G684" s="215"/>
      <c r="H684" s="27"/>
      <c r="I684" s="27"/>
      <c r="J684" s="27"/>
      <c r="K684" s="27"/>
      <c r="L684" s="27"/>
      <c r="M684" s="2"/>
    </row>
    <row r="685" spans="2:13" ht="15.75" customHeight="1" x14ac:dyDescent="0.2">
      <c r="B685" s="2"/>
      <c r="C685" s="26"/>
      <c r="D685" s="27"/>
      <c r="E685" s="27"/>
      <c r="F685" s="27"/>
      <c r="G685" s="215"/>
      <c r="H685" s="27"/>
      <c r="I685" s="27"/>
      <c r="J685" s="27"/>
      <c r="K685" s="27"/>
      <c r="L685" s="27"/>
      <c r="M685" s="2"/>
    </row>
    <row r="686" spans="2:13" ht="15.75" customHeight="1" x14ac:dyDescent="0.2">
      <c r="B686" s="2"/>
      <c r="C686" s="26"/>
      <c r="D686" s="27"/>
      <c r="E686" s="27"/>
      <c r="F686" s="27"/>
      <c r="G686" s="215"/>
      <c r="H686" s="27"/>
      <c r="I686" s="27"/>
      <c r="J686" s="27"/>
      <c r="K686" s="27"/>
      <c r="L686" s="27"/>
      <c r="M686" s="2"/>
    </row>
    <row r="687" spans="2:13" ht="15.75" customHeight="1" x14ac:dyDescent="0.2">
      <c r="B687" s="2"/>
      <c r="C687" s="26"/>
      <c r="D687" s="27"/>
      <c r="E687" s="27"/>
      <c r="F687" s="27"/>
      <c r="G687" s="215"/>
      <c r="H687" s="27"/>
      <c r="I687" s="27"/>
      <c r="J687" s="27"/>
      <c r="K687" s="27"/>
      <c r="L687" s="27"/>
      <c r="M687" s="2"/>
    </row>
    <row r="688" spans="2:13" ht="15.75" customHeight="1" x14ac:dyDescent="0.2">
      <c r="B688" s="2"/>
      <c r="C688" s="26"/>
      <c r="D688" s="27"/>
      <c r="E688" s="27"/>
      <c r="F688" s="27"/>
      <c r="G688" s="215"/>
      <c r="H688" s="27"/>
      <c r="I688" s="27"/>
      <c r="J688" s="27"/>
      <c r="K688" s="27"/>
      <c r="L688" s="27"/>
      <c r="M688" s="2"/>
    </row>
    <row r="689" spans="2:13" ht="15.75" customHeight="1" x14ac:dyDescent="0.2">
      <c r="B689" s="2"/>
      <c r="C689" s="26"/>
      <c r="D689" s="27"/>
      <c r="E689" s="27"/>
      <c r="F689" s="27"/>
      <c r="G689" s="215"/>
      <c r="H689" s="27"/>
      <c r="I689" s="27"/>
      <c r="J689" s="27"/>
      <c r="K689" s="27"/>
      <c r="L689" s="27"/>
      <c r="M689" s="2"/>
    </row>
    <row r="690" spans="2:13" ht="15.75" customHeight="1" x14ac:dyDescent="0.2">
      <c r="B690" s="2"/>
      <c r="C690" s="26"/>
      <c r="D690" s="27"/>
      <c r="E690" s="27"/>
      <c r="F690" s="27"/>
      <c r="G690" s="215"/>
      <c r="H690" s="27"/>
      <c r="I690" s="27"/>
      <c r="J690" s="27"/>
      <c r="K690" s="27"/>
      <c r="L690" s="27"/>
      <c r="M690" s="2"/>
    </row>
    <row r="691" spans="2:13" ht="15.75" customHeight="1" x14ac:dyDescent="0.2">
      <c r="B691" s="2"/>
      <c r="C691" s="26"/>
      <c r="D691" s="27"/>
      <c r="E691" s="27"/>
      <c r="F691" s="27"/>
      <c r="G691" s="215"/>
      <c r="H691" s="27"/>
      <c r="I691" s="27"/>
      <c r="J691" s="27"/>
      <c r="K691" s="27"/>
      <c r="L691" s="27"/>
      <c r="M691" s="2"/>
    </row>
    <row r="692" spans="2:13" ht="15.75" customHeight="1" x14ac:dyDescent="0.2">
      <c r="B692" s="2"/>
      <c r="C692" s="26"/>
      <c r="D692" s="27"/>
      <c r="E692" s="27"/>
      <c r="F692" s="27"/>
      <c r="G692" s="215"/>
      <c r="H692" s="27"/>
      <c r="I692" s="27"/>
      <c r="J692" s="27"/>
      <c r="K692" s="27"/>
      <c r="L692" s="27"/>
      <c r="M692" s="2"/>
    </row>
    <row r="693" spans="2:13" ht="15.75" customHeight="1" x14ac:dyDescent="0.2">
      <c r="B693" s="2"/>
      <c r="C693" s="26"/>
      <c r="D693" s="27"/>
      <c r="E693" s="27"/>
      <c r="F693" s="27"/>
      <c r="G693" s="215"/>
      <c r="H693" s="27"/>
      <c r="I693" s="27"/>
      <c r="J693" s="27"/>
      <c r="K693" s="27"/>
      <c r="L693" s="27"/>
      <c r="M693" s="2"/>
    </row>
    <row r="694" spans="2:13" ht="15.75" customHeight="1" x14ac:dyDescent="0.2">
      <c r="B694" s="2"/>
      <c r="C694" s="26"/>
      <c r="D694" s="27"/>
      <c r="E694" s="27"/>
      <c r="F694" s="27"/>
      <c r="G694" s="215"/>
      <c r="H694" s="27"/>
      <c r="I694" s="27"/>
      <c r="J694" s="27"/>
      <c r="K694" s="27"/>
      <c r="L694" s="27"/>
    </row>
    <row r="695" spans="2:13" ht="15.75" customHeight="1" x14ac:dyDescent="0.2">
      <c r="B695" s="2"/>
      <c r="C695" s="26"/>
      <c r="D695" s="27"/>
      <c r="E695" s="27"/>
      <c r="F695" s="27"/>
      <c r="G695" s="215"/>
      <c r="H695" s="27"/>
      <c r="I695" s="27"/>
      <c r="J695" s="27"/>
      <c r="K695" s="27"/>
      <c r="L695" s="27"/>
    </row>
    <row r="696" spans="2:13" ht="15.75" customHeight="1" x14ac:dyDescent="0.2">
      <c r="B696" s="2"/>
      <c r="C696" s="26"/>
      <c r="D696" s="27"/>
      <c r="E696" s="27"/>
      <c r="F696" s="27"/>
      <c r="G696" s="215"/>
      <c r="H696" s="27"/>
      <c r="I696" s="27"/>
      <c r="J696" s="27"/>
      <c r="K696" s="27"/>
      <c r="L696" s="27"/>
    </row>
    <row r="697" spans="2:13" ht="15.75" customHeight="1" x14ac:dyDescent="0.2">
      <c r="B697" s="2"/>
      <c r="C697" s="26"/>
      <c r="D697" s="27"/>
      <c r="E697" s="27"/>
      <c r="F697" s="27"/>
      <c r="G697" s="215"/>
      <c r="H697" s="27"/>
      <c r="I697" s="27"/>
      <c r="J697" s="27"/>
      <c r="K697" s="27"/>
      <c r="L697" s="27"/>
    </row>
    <row r="698" spans="2:13" ht="15.75" customHeight="1" x14ac:dyDescent="0.2">
      <c r="B698" s="2"/>
      <c r="C698" s="26"/>
      <c r="D698" s="27"/>
      <c r="E698" s="27"/>
      <c r="F698" s="27"/>
      <c r="G698" s="215"/>
      <c r="H698" s="27"/>
      <c r="I698" s="27"/>
      <c r="J698" s="27"/>
      <c r="K698" s="27"/>
      <c r="L698" s="27"/>
    </row>
    <row r="699" spans="2:13" ht="15.75" customHeight="1" x14ac:dyDescent="0.2">
      <c r="B699" s="2"/>
      <c r="C699" s="26"/>
      <c r="D699" s="27"/>
      <c r="E699" s="27"/>
      <c r="F699" s="27"/>
      <c r="G699" s="215"/>
      <c r="H699" s="27"/>
      <c r="I699" s="27"/>
      <c r="J699" s="27"/>
      <c r="K699" s="27"/>
      <c r="L699" s="27"/>
    </row>
    <row r="700" spans="2:13" ht="15.75" customHeight="1" x14ac:dyDescent="0.2">
      <c r="B700" s="2"/>
      <c r="C700" s="26"/>
      <c r="D700" s="27"/>
      <c r="E700" s="27"/>
      <c r="F700" s="27"/>
      <c r="G700" s="215"/>
      <c r="H700" s="27"/>
      <c r="I700" s="27"/>
      <c r="J700" s="27"/>
      <c r="K700" s="27"/>
      <c r="L700" s="27"/>
    </row>
    <row r="701" spans="2:13" ht="15.75" customHeight="1" x14ac:dyDescent="0.2"/>
    <row r="702" spans="2:13" ht="15.75" customHeight="1" x14ac:dyDescent="0.2"/>
    <row r="703" spans="2:13" ht="15.75" customHeight="1" x14ac:dyDescent="0.2"/>
    <row r="704" spans="2:13" ht="15.75" customHeight="1" x14ac:dyDescent="0.2"/>
    <row r="705" spans="2:13" ht="15.75" customHeight="1" x14ac:dyDescent="0.2"/>
    <row r="706" spans="2:13" ht="15.75" customHeight="1" x14ac:dyDescent="0.2"/>
    <row r="707" spans="2:13" ht="15.75" customHeight="1" x14ac:dyDescent="0.2"/>
    <row r="708" spans="2:13" ht="15.75" customHeight="1" x14ac:dyDescent="0.2"/>
    <row r="709" spans="2:13" ht="15.75" customHeight="1" x14ac:dyDescent="0.2"/>
    <row r="710" spans="2:13" ht="15.75" customHeight="1" x14ac:dyDescent="0.2"/>
    <row r="711" spans="2:13" s="2" customFormat="1" ht="15.75" customHeight="1" x14ac:dyDescent="0.2">
      <c r="B711"/>
      <c r="C711" s="9"/>
      <c r="D711" s="33"/>
      <c r="E711" s="33"/>
      <c r="F711" s="33"/>
      <c r="G711" s="134"/>
      <c r="H711" s="33"/>
      <c r="I711" s="33"/>
      <c r="J711" s="33"/>
      <c r="K711" s="33"/>
      <c r="L711" s="33"/>
      <c r="M711"/>
    </row>
    <row r="712" spans="2:13" s="2" customFormat="1" ht="15.75" customHeight="1" x14ac:dyDescent="0.2">
      <c r="B712"/>
      <c r="C712" s="9"/>
      <c r="D712" s="33"/>
      <c r="E712" s="33"/>
      <c r="F712" s="33"/>
      <c r="G712" s="134"/>
      <c r="H712" s="33"/>
      <c r="I712" s="33"/>
      <c r="J712" s="33"/>
      <c r="K712" s="33"/>
      <c r="L712" s="33"/>
      <c r="M712"/>
    </row>
    <row r="713" spans="2:13" s="2" customFormat="1" ht="15.75" customHeight="1" x14ac:dyDescent="0.2">
      <c r="B713"/>
      <c r="C713" s="9"/>
      <c r="D713" s="33"/>
      <c r="E713" s="33"/>
      <c r="F713" s="33"/>
      <c r="G713" s="134"/>
      <c r="H713" s="33"/>
      <c r="I713" s="33"/>
      <c r="J713" s="33"/>
      <c r="K713" s="33"/>
      <c r="L713" s="33"/>
      <c r="M713"/>
    </row>
    <row r="714" spans="2:13" s="2" customFormat="1" ht="15.75" customHeight="1" x14ac:dyDescent="0.2">
      <c r="B714"/>
      <c r="C714" s="9"/>
      <c r="D714" s="33"/>
      <c r="E714" s="33"/>
      <c r="F714" s="33"/>
      <c r="G714" s="134"/>
      <c r="H714" s="33"/>
      <c r="I714" s="33"/>
      <c r="J714" s="33"/>
      <c r="K714" s="33"/>
      <c r="L714" s="33"/>
      <c r="M714"/>
    </row>
    <row r="715" spans="2:13" s="2" customFormat="1" ht="15.75" customHeight="1" x14ac:dyDescent="0.2">
      <c r="B715"/>
      <c r="C715" s="9"/>
      <c r="D715" s="33"/>
      <c r="E715" s="33"/>
      <c r="F715" s="33"/>
      <c r="G715" s="134"/>
      <c r="H715" s="33"/>
      <c r="I715" s="33"/>
      <c r="J715" s="33"/>
      <c r="K715" s="33"/>
      <c r="L715" s="33"/>
      <c r="M715"/>
    </row>
    <row r="716" spans="2:13" s="2" customFormat="1" ht="15.75" customHeight="1" x14ac:dyDescent="0.2">
      <c r="B716"/>
      <c r="C716" s="9"/>
      <c r="D716" s="33"/>
      <c r="E716" s="33"/>
      <c r="F716" s="33"/>
      <c r="G716" s="134"/>
      <c r="H716" s="33"/>
      <c r="I716" s="33"/>
      <c r="J716" s="33"/>
      <c r="K716" s="33"/>
      <c r="L716" s="33"/>
      <c r="M716"/>
    </row>
    <row r="717" spans="2:13" s="2" customFormat="1" ht="15.75" customHeight="1" x14ac:dyDescent="0.2">
      <c r="B717"/>
      <c r="C717" s="9"/>
      <c r="D717" s="33"/>
      <c r="E717" s="33"/>
      <c r="F717" s="33"/>
      <c r="G717" s="134"/>
      <c r="H717" s="33"/>
      <c r="I717" s="33"/>
      <c r="J717" s="33"/>
      <c r="K717" s="33"/>
      <c r="L717" s="33"/>
      <c r="M717"/>
    </row>
    <row r="718" spans="2:13" s="2" customFormat="1" ht="15.75" customHeight="1" x14ac:dyDescent="0.2">
      <c r="B718"/>
      <c r="C718" s="9"/>
      <c r="D718" s="33"/>
      <c r="E718" s="33"/>
      <c r="F718" s="33"/>
      <c r="G718" s="134"/>
      <c r="H718" s="33"/>
      <c r="I718" s="33"/>
      <c r="J718" s="33"/>
      <c r="K718" s="33"/>
      <c r="L718" s="33"/>
      <c r="M718"/>
    </row>
    <row r="719" spans="2:13" s="2" customFormat="1" ht="15.75" customHeight="1" x14ac:dyDescent="0.2">
      <c r="B719"/>
      <c r="C719" s="9"/>
      <c r="D719" s="33"/>
      <c r="E719" s="33"/>
      <c r="F719" s="33"/>
      <c r="G719" s="134"/>
      <c r="H719" s="33"/>
      <c r="I719" s="33"/>
      <c r="J719" s="33"/>
      <c r="K719" s="33"/>
      <c r="L719" s="33"/>
      <c r="M719"/>
    </row>
    <row r="720" spans="2:13" s="2" customFormat="1" ht="15.75" customHeight="1" x14ac:dyDescent="0.2">
      <c r="B720"/>
      <c r="C720" s="9"/>
      <c r="D720" s="33"/>
      <c r="E720" s="33"/>
      <c r="F720" s="33"/>
      <c r="G720" s="134"/>
      <c r="H720" s="33"/>
      <c r="I720" s="33"/>
      <c r="J720" s="33"/>
      <c r="K720" s="33"/>
      <c r="L720" s="33"/>
      <c r="M720"/>
    </row>
    <row r="721" spans="2:13" s="2" customFormat="1" ht="15.75" customHeight="1" x14ac:dyDescent="0.2">
      <c r="B721"/>
      <c r="C721" s="9"/>
      <c r="D721" s="33"/>
      <c r="E721" s="33"/>
      <c r="F721" s="33"/>
      <c r="G721" s="134"/>
      <c r="H721" s="33"/>
      <c r="I721" s="33"/>
      <c r="J721" s="33"/>
      <c r="K721" s="33"/>
      <c r="L721" s="33"/>
      <c r="M721"/>
    </row>
    <row r="722" spans="2:13" s="2" customFormat="1" ht="15.75" customHeight="1" x14ac:dyDescent="0.2">
      <c r="B722"/>
      <c r="C722" s="9"/>
      <c r="D722" s="33"/>
      <c r="E722" s="33"/>
      <c r="F722" s="33"/>
      <c r="G722" s="134"/>
      <c r="H722" s="33"/>
      <c r="I722" s="33"/>
      <c r="J722" s="33"/>
      <c r="K722" s="33"/>
      <c r="L722" s="33"/>
      <c r="M722"/>
    </row>
    <row r="723" spans="2:13" s="2" customFormat="1" ht="15.75" customHeight="1" x14ac:dyDescent="0.2">
      <c r="B723"/>
      <c r="C723" s="9"/>
      <c r="D723" s="33"/>
      <c r="E723" s="33"/>
      <c r="F723" s="33"/>
      <c r="G723" s="134"/>
      <c r="H723" s="33"/>
      <c r="I723" s="33"/>
      <c r="J723" s="33"/>
      <c r="K723" s="33"/>
      <c r="L723" s="33"/>
      <c r="M723"/>
    </row>
    <row r="724" spans="2:13" s="2" customFormat="1" ht="15.75" customHeight="1" x14ac:dyDescent="0.2">
      <c r="B724"/>
      <c r="C724" s="9"/>
      <c r="D724" s="33"/>
      <c r="E724" s="33"/>
      <c r="F724" s="33"/>
      <c r="G724" s="134"/>
      <c r="H724" s="33"/>
      <c r="I724" s="33"/>
      <c r="J724" s="33"/>
      <c r="K724" s="33"/>
      <c r="L724" s="33"/>
      <c r="M724"/>
    </row>
    <row r="725" spans="2:13" s="2" customFormat="1" ht="15.75" customHeight="1" x14ac:dyDescent="0.2">
      <c r="B725"/>
      <c r="C725" s="9"/>
      <c r="D725" s="33"/>
      <c r="E725" s="33"/>
      <c r="F725" s="33"/>
      <c r="G725" s="134"/>
      <c r="H725" s="33"/>
      <c r="I725" s="33"/>
      <c r="J725" s="33"/>
      <c r="K725" s="33"/>
      <c r="L725" s="33"/>
      <c r="M725"/>
    </row>
    <row r="726" spans="2:13" s="2" customFormat="1" ht="15.75" customHeight="1" x14ac:dyDescent="0.2">
      <c r="B726"/>
      <c r="C726" s="9"/>
      <c r="D726" s="33"/>
      <c r="E726" s="33"/>
      <c r="F726" s="33"/>
      <c r="G726" s="134"/>
      <c r="H726" s="33"/>
      <c r="I726" s="33"/>
      <c r="J726" s="33"/>
      <c r="K726" s="33"/>
      <c r="L726" s="33"/>
      <c r="M726"/>
    </row>
    <row r="727" spans="2:13" s="2" customFormat="1" ht="15.75" customHeight="1" x14ac:dyDescent="0.2">
      <c r="B727"/>
      <c r="C727" s="9"/>
      <c r="D727" s="33"/>
      <c r="E727" s="33"/>
      <c r="F727" s="33"/>
      <c r="G727" s="134"/>
      <c r="H727" s="33"/>
      <c r="I727" s="33"/>
      <c r="J727" s="33"/>
      <c r="K727" s="33"/>
      <c r="L727" s="33"/>
      <c r="M727"/>
    </row>
    <row r="728" spans="2:13" s="2" customFormat="1" ht="15.75" customHeight="1" x14ac:dyDescent="0.2">
      <c r="B728"/>
      <c r="C728" s="9"/>
      <c r="D728" s="33"/>
      <c r="E728" s="33"/>
      <c r="F728" s="33"/>
      <c r="G728" s="134"/>
      <c r="H728" s="33"/>
      <c r="I728" s="33"/>
      <c r="J728" s="33"/>
      <c r="K728" s="33"/>
      <c r="L728" s="33"/>
      <c r="M728"/>
    </row>
    <row r="729" spans="2:13" s="2" customFormat="1" ht="15.75" customHeight="1" x14ac:dyDescent="0.2">
      <c r="B729"/>
      <c r="C729" s="9"/>
      <c r="D729" s="33"/>
      <c r="E729" s="33"/>
      <c r="F729" s="33"/>
      <c r="G729" s="134"/>
      <c r="H729" s="33"/>
      <c r="I729" s="33"/>
      <c r="J729" s="33"/>
      <c r="K729" s="33"/>
      <c r="L729" s="33"/>
      <c r="M729"/>
    </row>
    <row r="730" spans="2:13" s="2" customFormat="1" ht="15.75" customHeight="1" x14ac:dyDescent="0.2">
      <c r="B730"/>
      <c r="C730" s="9"/>
      <c r="D730" s="33"/>
      <c r="E730" s="33"/>
      <c r="F730" s="33"/>
      <c r="G730" s="134"/>
      <c r="H730" s="33"/>
      <c r="I730" s="33"/>
      <c r="J730" s="33"/>
      <c r="K730" s="33"/>
      <c r="L730" s="33"/>
      <c r="M730"/>
    </row>
    <row r="731" spans="2:13" s="2" customFormat="1" ht="15.75" customHeight="1" x14ac:dyDescent="0.2">
      <c r="B731"/>
      <c r="C731" s="9"/>
      <c r="D731" s="33"/>
      <c r="E731" s="33"/>
      <c r="F731" s="33"/>
      <c r="G731" s="134"/>
      <c r="H731" s="33"/>
      <c r="I731" s="33"/>
      <c r="J731" s="33"/>
      <c r="K731" s="33"/>
      <c r="L731" s="33"/>
      <c r="M731"/>
    </row>
    <row r="732" spans="2:13" s="2" customFormat="1" ht="15.75" customHeight="1" x14ac:dyDescent="0.2">
      <c r="B732"/>
      <c r="C732" s="9"/>
      <c r="D732" s="33"/>
      <c r="E732" s="33"/>
      <c r="F732" s="33"/>
      <c r="G732" s="134"/>
      <c r="H732" s="33"/>
      <c r="I732" s="33"/>
      <c r="J732" s="33"/>
      <c r="K732" s="33"/>
      <c r="L732" s="33"/>
      <c r="M732"/>
    </row>
    <row r="733" spans="2:13" s="2" customFormat="1" ht="15.75" customHeight="1" x14ac:dyDescent="0.2">
      <c r="B733"/>
      <c r="C733" s="9"/>
      <c r="D733" s="33"/>
      <c r="E733" s="33"/>
      <c r="F733" s="33"/>
      <c r="G733" s="134"/>
      <c r="H733" s="33"/>
      <c r="I733" s="33"/>
      <c r="J733" s="33"/>
      <c r="K733" s="33"/>
      <c r="L733" s="33"/>
      <c r="M733"/>
    </row>
    <row r="734" spans="2:13" s="2" customFormat="1" ht="15.75" customHeight="1" x14ac:dyDescent="0.2">
      <c r="B734"/>
      <c r="C734" s="9"/>
      <c r="D734" s="33"/>
      <c r="E734" s="33"/>
      <c r="F734" s="33"/>
      <c r="G734" s="134"/>
      <c r="H734" s="33"/>
      <c r="I734" s="33"/>
      <c r="J734" s="33"/>
      <c r="K734" s="33"/>
      <c r="L734" s="33"/>
      <c r="M734"/>
    </row>
    <row r="735" spans="2:13" s="2" customFormat="1" ht="15.75" customHeight="1" x14ac:dyDescent="0.2">
      <c r="B735"/>
      <c r="C735" s="9"/>
      <c r="D735" s="33"/>
      <c r="E735" s="33"/>
      <c r="F735" s="33"/>
      <c r="G735" s="134"/>
      <c r="H735" s="33"/>
      <c r="I735" s="33"/>
      <c r="J735" s="33"/>
      <c r="K735" s="33"/>
      <c r="L735" s="33"/>
      <c r="M735"/>
    </row>
    <row r="736" spans="2:13" s="2" customFormat="1" ht="15.75" customHeight="1" x14ac:dyDescent="0.2">
      <c r="B736"/>
      <c r="C736" s="9"/>
      <c r="D736" s="33"/>
      <c r="E736" s="33"/>
      <c r="F736" s="33"/>
      <c r="G736" s="134"/>
      <c r="H736" s="33"/>
      <c r="I736" s="33"/>
      <c r="J736" s="33"/>
      <c r="K736" s="33"/>
      <c r="L736" s="33"/>
      <c r="M736"/>
    </row>
    <row r="737" spans="2:13" s="2" customFormat="1" ht="15.75" customHeight="1" x14ac:dyDescent="0.2">
      <c r="B737"/>
      <c r="C737" s="9"/>
      <c r="D737" s="33"/>
      <c r="E737" s="33"/>
      <c r="F737" s="33"/>
      <c r="G737" s="134"/>
      <c r="H737" s="33"/>
      <c r="I737" s="33"/>
      <c r="J737" s="33"/>
      <c r="K737" s="33"/>
      <c r="L737" s="33"/>
      <c r="M737"/>
    </row>
    <row r="738" spans="2:13" s="2" customFormat="1" ht="15.75" customHeight="1" x14ac:dyDescent="0.2">
      <c r="B738"/>
      <c r="C738" s="9"/>
      <c r="D738" s="33"/>
      <c r="E738" s="33"/>
      <c r="F738" s="33"/>
      <c r="G738" s="134"/>
      <c r="H738" s="33"/>
      <c r="I738" s="33"/>
      <c r="J738" s="33"/>
      <c r="K738" s="33"/>
      <c r="L738" s="33"/>
      <c r="M738"/>
    </row>
    <row r="739" spans="2:13" s="2" customFormat="1" ht="15.75" customHeight="1" x14ac:dyDescent="0.2">
      <c r="B739"/>
      <c r="C739" s="9"/>
      <c r="D739" s="33"/>
      <c r="E739" s="33"/>
      <c r="F739" s="33"/>
      <c r="G739" s="134"/>
      <c r="H739" s="33"/>
      <c r="I739" s="33"/>
      <c r="J739" s="33"/>
      <c r="K739" s="33"/>
      <c r="L739" s="33"/>
      <c r="M739"/>
    </row>
    <row r="740" spans="2:13" s="2" customFormat="1" ht="15.75" customHeight="1" x14ac:dyDescent="0.2">
      <c r="B740"/>
      <c r="C740" s="9"/>
      <c r="D740" s="33"/>
      <c r="E740" s="33"/>
      <c r="F740" s="33"/>
      <c r="G740" s="134"/>
      <c r="H740" s="33"/>
      <c r="I740" s="33"/>
      <c r="J740" s="33"/>
      <c r="K740" s="33"/>
      <c r="L740" s="33"/>
      <c r="M740"/>
    </row>
    <row r="741" spans="2:13" s="2" customFormat="1" ht="15.75" customHeight="1" x14ac:dyDescent="0.2">
      <c r="B741"/>
      <c r="C741" s="9"/>
      <c r="D741" s="33"/>
      <c r="E741" s="33"/>
      <c r="F741" s="33"/>
      <c r="G741" s="134"/>
      <c r="H741" s="33"/>
      <c r="I741" s="33"/>
      <c r="J741" s="33"/>
      <c r="K741" s="33"/>
      <c r="L741" s="33"/>
      <c r="M741"/>
    </row>
    <row r="742" spans="2:13" s="2" customFormat="1" ht="15.75" customHeight="1" x14ac:dyDescent="0.2">
      <c r="B742"/>
      <c r="C742" s="9"/>
      <c r="D742" s="33"/>
      <c r="E742" s="33"/>
      <c r="F742" s="33"/>
      <c r="G742" s="134"/>
      <c r="H742" s="33"/>
      <c r="I742" s="33"/>
      <c r="J742" s="33"/>
      <c r="K742" s="33"/>
      <c r="L742" s="33"/>
      <c r="M742"/>
    </row>
    <row r="743" spans="2:13" s="2" customFormat="1" ht="15.75" customHeight="1" x14ac:dyDescent="0.2">
      <c r="B743"/>
      <c r="C743" s="9"/>
      <c r="D743" s="33"/>
      <c r="E743" s="33"/>
      <c r="F743" s="33"/>
      <c r="G743" s="134"/>
      <c r="H743" s="33"/>
      <c r="I743" s="33"/>
      <c r="J743" s="33"/>
      <c r="K743" s="33"/>
      <c r="L743" s="33"/>
      <c r="M743"/>
    </row>
    <row r="744" spans="2:13" s="2" customFormat="1" ht="15.75" customHeight="1" x14ac:dyDescent="0.2">
      <c r="B744"/>
      <c r="C744" s="9"/>
      <c r="D744" s="33"/>
      <c r="E744" s="33"/>
      <c r="F744" s="33"/>
      <c r="G744" s="134"/>
      <c r="H744" s="33"/>
      <c r="I744" s="33"/>
      <c r="J744" s="33"/>
      <c r="K744" s="33"/>
      <c r="L744" s="33"/>
      <c r="M744"/>
    </row>
    <row r="745" spans="2:13" s="2" customFormat="1" ht="15.75" customHeight="1" x14ac:dyDescent="0.2">
      <c r="B745"/>
      <c r="C745" s="9"/>
      <c r="D745" s="33"/>
      <c r="E745" s="33"/>
      <c r="F745" s="33"/>
      <c r="G745" s="134"/>
      <c r="H745" s="33"/>
      <c r="I745" s="33"/>
      <c r="J745" s="33"/>
      <c r="K745" s="33"/>
      <c r="L745" s="33"/>
      <c r="M745"/>
    </row>
    <row r="746" spans="2:13" s="2" customFormat="1" ht="15.75" customHeight="1" x14ac:dyDescent="0.2">
      <c r="B746"/>
      <c r="C746" s="9"/>
      <c r="D746" s="33"/>
      <c r="E746" s="33"/>
      <c r="F746" s="33"/>
      <c r="G746" s="134"/>
      <c r="H746" s="33"/>
      <c r="I746" s="33"/>
      <c r="J746" s="33"/>
      <c r="K746" s="33"/>
      <c r="L746" s="33"/>
      <c r="M746"/>
    </row>
    <row r="747" spans="2:13" s="2" customFormat="1" ht="15.75" customHeight="1" x14ac:dyDescent="0.2">
      <c r="B747"/>
      <c r="C747" s="9"/>
      <c r="D747" s="33"/>
      <c r="E747" s="33"/>
      <c r="F747" s="33"/>
      <c r="G747" s="134"/>
      <c r="H747" s="33"/>
      <c r="I747" s="33"/>
      <c r="J747" s="33"/>
      <c r="K747" s="33"/>
      <c r="L747" s="33"/>
      <c r="M747"/>
    </row>
    <row r="748" spans="2:13" s="2" customFormat="1" ht="15.75" customHeight="1" x14ac:dyDescent="0.2">
      <c r="B748"/>
      <c r="C748" s="9"/>
      <c r="D748" s="33"/>
      <c r="E748" s="33"/>
      <c r="F748" s="33"/>
      <c r="G748" s="134"/>
      <c r="H748" s="33"/>
      <c r="I748" s="33"/>
      <c r="J748" s="33"/>
      <c r="K748" s="33"/>
      <c r="L748" s="33"/>
      <c r="M748"/>
    </row>
    <row r="749" spans="2:13" s="2" customFormat="1" ht="15.75" customHeight="1" x14ac:dyDescent="0.2">
      <c r="B749"/>
      <c r="C749" s="9"/>
      <c r="D749" s="33"/>
      <c r="E749" s="33"/>
      <c r="F749" s="33"/>
      <c r="G749" s="134"/>
      <c r="H749" s="33"/>
      <c r="I749" s="33"/>
      <c r="J749" s="33"/>
      <c r="K749" s="33"/>
      <c r="L749" s="33"/>
      <c r="M749"/>
    </row>
    <row r="750" spans="2:13" s="2" customFormat="1" ht="15.75" customHeight="1" x14ac:dyDescent="0.2">
      <c r="B750"/>
      <c r="C750" s="9"/>
      <c r="D750" s="33"/>
      <c r="E750" s="33"/>
      <c r="F750" s="33"/>
      <c r="G750" s="134"/>
      <c r="H750" s="33"/>
      <c r="I750" s="33"/>
      <c r="J750" s="33"/>
      <c r="K750" s="33"/>
      <c r="L750" s="33"/>
      <c r="M750"/>
    </row>
    <row r="751" spans="2:13" s="2" customFormat="1" ht="15.75" customHeight="1" x14ac:dyDescent="0.2">
      <c r="B751"/>
      <c r="C751" s="9"/>
      <c r="D751" s="33"/>
      <c r="E751" s="33"/>
      <c r="F751" s="33"/>
      <c r="G751" s="134"/>
      <c r="H751" s="33"/>
      <c r="I751" s="33"/>
      <c r="J751" s="33"/>
      <c r="K751" s="33"/>
      <c r="L751" s="33"/>
      <c r="M751"/>
    </row>
    <row r="752" spans="2:13" s="2" customFormat="1" ht="15.75" customHeight="1" x14ac:dyDescent="0.2">
      <c r="B752"/>
      <c r="C752" s="9"/>
      <c r="D752" s="33"/>
      <c r="E752" s="33"/>
      <c r="F752" s="33"/>
      <c r="G752" s="134"/>
      <c r="H752" s="33"/>
      <c r="I752" s="33"/>
      <c r="J752" s="33"/>
      <c r="K752" s="33"/>
      <c r="L752" s="33"/>
      <c r="M752"/>
    </row>
    <row r="753" spans="2:13" s="2" customFormat="1" ht="15.75" customHeight="1" x14ac:dyDescent="0.2">
      <c r="B753"/>
      <c r="C753" s="9"/>
      <c r="D753" s="33"/>
      <c r="E753" s="33"/>
      <c r="F753" s="33"/>
      <c r="G753" s="134"/>
      <c r="H753" s="33"/>
      <c r="I753" s="33"/>
      <c r="J753" s="33"/>
      <c r="K753" s="33"/>
      <c r="L753" s="33"/>
      <c r="M753"/>
    </row>
    <row r="754" spans="2:13" s="2" customFormat="1" ht="15.75" customHeight="1" x14ac:dyDescent="0.2">
      <c r="B754"/>
      <c r="C754" s="9"/>
      <c r="D754" s="33"/>
      <c r="E754" s="33"/>
      <c r="F754" s="33"/>
      <c r="G754" s="134"/>
      <c r="H754" s="33"/>
      <c r="I754" s="33"/>
      <c r="J754" s="33"/>
      <c r="K754" s="33"/>
      <c r="L754" s="33"/>
      <c r="M754"/>
    </row>
    <row r="755" spans="2:13" s="2" customFormat="1" ht="15.75" customHeight="1" x14ac:dyDescent="0.2">
      <c r="B755"/>
      <c r="C755" s="9"/>
      <c r="D755" s="33"/>
      <c r="E755" s="33"/>
      <c r="F755" s="33"/>
      <c r="G755" s="134"/>
      <c r="H755" s="33"/>
      <c r="I755" s="33"/>
      <c r="J755" s="33"/>
      <c r="K755" s="33"/>
      <c r="L755" s="33"/>
      <c r="M755"/>
    </row>
    <row r="756" spans="2:13" s="2" customFormat="1" ht="15.75" customHeight="1" x14ac:dyDescent="0.2">
      <c r="B756"/>
      <c r="C756" s="9"/>
      <c r="D756" s="33"/>
      <c r="E756" s="33"/>
      <c r="F756" s="33"/>
      <c r="G756" s="134"/>
      <c r="H756" s="33"/>
      <c r="I756" s="33"/>
      <c r="J756" s="33"/>
      <c r="K756" s="33"/>
      <c r="L756" s="33"/>
      <c r="M756"/>
    </row>
    <row r="757" spans="2:13" s="2" customFormat="1" ht="15.75" customHeight="1" x14ac:dyDescent="0.2">
      <c r="B757"/>
      <c r="C757" s="9"/>
      <c r="D757" s="33"/>
      <c r="E757" s="33"/>
      <c r="F757" s="33"/>
      <c r="G757" s="134"/>
      <c r="H757" s="33"/>
      <c r="I757" s="33"/>
      <c r="J757" s="33"/>
      <c r="K757" s="33"/>
      <c r="L757" s="33"/>
      <c r="M757"/>
    </row>
    <row r="758" spans="2:13" s="2" customFormat="1" ht="15.75" customHeight="1" x14ac:dyDescent="0.2">
      <c r="B758"/>
      <c r="C758" s="9"/>
      <c r="D758" s="33"/>
      <c r="E758" s="33"/>
      <c r="F758" s="33"/>
      <c r="G758" s="134"/>
      <c r="H758" s="33"/>
      <c r="I758" s="33"/>
      <c r="J758" s="33"/>
      <c r="K758" s="33"/>
      <c r="L758" s="33"/>
      <c r="M758"/>
    </row>
    <row r="759" spans="2:13" s="2" customFormat="1" ht="15.75" customHeight="1" x14ac:dyDescent="0.2">
      <c r="B759"/>
      <c r="C759" s="9"/>
      <c r="D759" s="33"/>
      <c r="E759" s="33"/>
      <c r="F759" s="33"/>
      <c r="G759" s="134"/>
      <c r="H759" s="33"/>
      <c r="I759" s="33"/>
      <c r="J759" s="33"/>
      <c r="K759" s="33"/>
      <c r="L759" s="33"/>
      <c r="M759"/>
    </row>
    <row r="760" spans="2:13" s="2" customFormat="1" ht="15.75" customHeight="1" x14ac:dyDescent="0.2">
      <c r="B760"/>
      <c r="C760" s="9"/>
      <c r="D760" s="33"/>
      <c r="E760" s="33"/>
      <c r="F760" s="33"/>
      <c r="G760" s="134"/>
      <c r="H760" s="33"/>
      <c r="I760" s="33"/>
      <c r="J760" s="33"/>
      <c r="K760" s="33"/>
      <c r="L760" s="33"/>
      <c r="M760"/>
    </row>
    <row r="761" spans="2:13" s="2" customFormat="1" ht="15.75" customHeight="1" x14ac:dyDescent="0.2">
      <c r="B761"/>
      <c r="C761" s="9"/>
      <c r="D761" s="33"/>
      <c r="E761" s="33"/>
      <c r="F761" s="33"/>
      <c r="G761" s="134"/>
      <c r="H761" s="33"/>
      <c r="I761" s="33"/>
      <c r="J761" s="33"/>
      <c r="K761" s="33"/>
      <c r="L761" s="33"/>
      <c r="M761"/>
    </row>
    <row r="762" spans="2:13" s="2" customFormat="1" ht="15.75" customHeight="1" x14ac:dyDescent="0.2">
      <c r="B762"/>
      <c r="C762" s="9"/>
      <c r="D762" s="33"/>
      <c r="E762" s="33"/>
      <c r="F762" s="33"/>
      <c r="G762" s="134"/>
      <c r="H762" s="33"/>
      <c r="I762" s="33"/>
      <c r="J762" s="33"/>
      <c r="K762" s="33"/>
      <c r="L762" s="33"/>
      <c r="M762"/>
    </row>
    <row r="763" spans="2:13" s="2" customFormat="1" ht="15.75" customHeight="1" x14ac:dyDescent="0.2">
      <c r="B763"/>
      <c r="C763" s="9"/>
      <c r="D763" s="33"/>
      <c r="E763" s="33"/>
      <c r="F763" s="33"/>
      <c r="G763" s="134"/>
      <c r="H763" s="33"/>
      <c r="I763" s="33"/>
      <c r="J763" s="33"/>
      <c r="K763" s="33"/>
      <c r="L763" s="33"/>
      <c r="M763"/>
    </row>
    <row r="764" spans="2:13" s="2" customFormat="1" ht="15.75" customHeight="1" x14ac:dyDescent="0.2">
      <c r="B764"/>
      <c r="C764" s="9"/>
      <c r="D764" s="33"/>
      <c r="E764" s="33"/>
      <c r="F764" s="33"/>
      <c r="G764" s="134"/>
      <c r="H764" s="33"/>
      <c r="I764" s="33"/>
      <c r="J764" s="33"/>
      <c r="K764" s="33"/>
      <c r="L764" s="33"/>
      <c r="M764"/>
    </row>
    <row r="765" spans="2:13" s="2" customFormat="1" ht="15.75" customHeight="1" x14ac:dyDescent="0.2">
      <c r="B765"/>
      <c r="C765" s="9"/>
      <c r="D765" s="33"/>
      <c r="E765" s="33"/>
      <c r="F765" s="33"/>
      <c r="G765" s="134"/>
      <c r="H765" s="33"/>
      <c r="I765" s="33"/>
      <c r="J765" s="33"/>
      <c r="K765" s="33"/>
      <c r="L765" s="33"/>
      <c r="M765"/>
    </row>
    <row r="766" spans="2:13" s="2" customFormat="1" ht="15.75" customHeight="1" x14ac:dyDescent="0.2">
      <c r="B766"/>
      <c r="C766" s="9"/>
      <c r="D766" s="33"/>
      <c r="E766" s="33"/>
      <c r="F766" s="33"/>
      <c r="G766" s="134"/>
      <c r="H766" s="33"/>
      <c r="I766" s="33"/>
      <c r="J766" s="33"/>
      <c r="K766" s="33"/>
      <c r="L766" s="33"/>
      <c r="M766"/>
    </row>
    <row r="767" spans="2:13" s="2" customFormat="1" ht="15.75" customHeight="1" x14ac:dyDescent="0.2">
      <c r="B767"/>
      <c r="C767" s="9"/>
      <c r="D767" s="33"/>
      <c r="E767" s="33"/>
      <c r="F767" s="33"/>
      <c r="G767" s="134"/>
      <c r="H767" s="33"/>
      <c r="I767" s="33"/>
      <c r="J767" s="33"/>
      <c r="K767" s="33"/>
      <c r="L767" s="33"/>
      <c r="M767"/>
    </row>
    <row r="768" spans="2:13" s="2" customFormat="1" ht="15.75" customHeight="1" x14ac:dyDescent="0.2">
      <c r="B768"/>
      <c r="C768" s="9"/>
      <c r="D768" s="33"/>
      <c r="E768" s="33"/>
      <c r="F768" s="33"/>
      <c r="G768" s="134"/>
      <c r="H768" s="33"/>
      <c r="I768" s="33"/>
      <c r="J768" s="33"/>
      <c r="K768" s="33"/>
      <c r="L768" s="33"/>
      <c r="M768"/>
    </row>
    <row r="769" spans="2:13" s="2" customFormat="1" ht="15.75" customHeight="1" x14ac:dyDescent="0.2">
      <c r="B769"/>
      <c r="C769" s="9"/>
      <c r="D769" s="33"/>
      <c r="E769" s="33"/>
      <c r="F769" s="33"/>
      <c r="G769" s="134"/>
      <c r="H769" s="33"/>
      <c r="I769" s="33"/>
      <c r="J769" s="33"/>
      <c r="K769" s="33"/>
      <c r="L769" s="33"/>
      <c r="M769"/>
    </row>
    <row r="770" spans="2:13" s="2" customFormat="1" ht="15.75" customHeight="1" x14ac:dyDescent="0.2">
      <c r="B770"/>
      <c r="C770" s="9"/>
      <c r="D770" s="33"/>
      <c r="E770" s="33"/>
      <c r="F770" s="33"/>
      <c r="G770" s="134"/>
      <c r="H770" s="33"/>
      <c r="I770" s="33"/>
      <c r="J770" s="33"/>
      <c r="K770" s="33"/>
      <c r="L770" s="33"/>
      <c r="M770"/>
    </row>
    <row r="771" spans="2:13" s="2" customFormat="1" ht="15.75" customHeight="1" x14ac:dyDescent="0.2">
      <c r="B771"/>
      <c r="C771" s="9"/>
      <c r="D771" s="33"/>
      <c r="E771" s="33"/>
      <c r="F771" s="33"/>
      <c r="G771" s="134"/>
      <c r="H771" s="33"/>
      <c r="I771" s="33"/>
      <c r="J771" s="33"/>
      <c r="K771" s="33"/>
      <c r="L771" s="33"/>
      <c r="M771"/>
    </row>
    <row r="772" spans="2:13" s="2" customFormat="1" ht="15.75" customHeight="1" x14ac:dyDescent="0.2">
      <c r="B772"/>
      <c r="C772" s="9"/>
      <c r="D772" s="33"/>
      <c r="E772" s="33"/>
      <c r="F772" s="33"/>
      <c r="G772" s="134"/>
      <c r="H772" s="33"/>
      <c r="I772" s="33"/>
      <c r="J772" s="33"/>
      <c r="K772" s="33"/>
      <c r="L772" s="33"/>
      <c r="M772"/>
    </row>
    <row r="773" spans="2:13" s="2" customFormat="1" ht="15.75" customHeight="1" x14ac:dyDescent="0.2">
      <c r="B773"/>
      <c r="C773" s="9"/>
      <c r="D773" s="33"/>
      <c r="E773" s="33"/>
      <c r="F773" s="33"/>
      <c r="G773" s="134"/>
      <c r="H773" s="33"/>
      <c r="I773" s="33"/>
      <c r="J773" s="33"/>
      <c r="K773" s="33"/>
      <c r="L773" s="33"/>
      <c r="M773"/>
    </row>
    <row r="774" spans="2:13" s="2" customFormat="1" ht="15.75" customHeight="1" x14ac:dyDescent="0.2">
      <c r="B774"/>
      <c r="C774" s="9"/>
      <c r="D774" s="33"/>
      <c r="E774" s="33"/>
      <c r="F774" s="33"/>
      <c r="G774" s="134"/>
      <c r="H774" s="33"/>
      <c r="I774" s="33"/>
      <c r="J774" s="33"/>
      <c r="K774" s="33"/>
      <c r="L774" s="33"/>
      <c r="M774"/>
    </row>
    <row r="775" spans="2:13" s="2" customFormat="1" ht="15.75" customHeight="1" x14ac:dyDescent="0.2">
      <c r="B775"/>
      <c r="C775" s="9"/>
      <c r="D775" s="33"/>
      <c r="E775" s="33"/>
      <c r="F775" s="33"/>
      <c r="G775" s="134"/>
      <c r="H775" s="33"/>
      <c r="I775" s="33"/>
      <c r="J775" s="33"/>
      <c r="K775" s="33"/>
      <c r="L775" s="33"/>
      <c r="M775"/>
    </row>
    <row r="776" spans="2:13" s="2" customFormat="1" ht="15.75" customHeight="1" x14ac:dyDescent="0.2">
      <c r="B776"/>
      <c r="C776" s="9"/>
      <c r="D776" s="33"/>
      <c r="E776" s="33"/>
      <c r="F776" s="33"/>
      <c r="G776" s="134"/>
      <c r="H776" s="33"/>
      <c r="I776" s="33"/>
      <c r="J776" s="33"/>
      <c r="K776" s="33"/>
      <c r="L776" s="33"/>
      <c r="M776"/>
    </row>
    <row r="777" spans="2:13" s="2" customFormat="1" ht="15.75" customHeight="1" x14ac:dyDescent="0.2">
      <c r="B777"/>
      <c r="C777" s="9"/>
      <c r="D777" s="33"/>
      <c r="E777" s="33"/>
      <c r="F777" s="33"/>
      <c r="G777" s="134"/>
      <c r="H777" s="33"/>
      <c r="I777" s="33"/>
      <c r="J777" s="33"/>
      <c r="K777" s="33"/>
      <c r="L777" s="33"/>
      <c r="M777"/>
    </row>
    <row r="778" spans="2:13" s="2" customFormat="1" ht="15.75" customHeight="1" x14ac:dyDescent="0.2">
      <c r="B778"/>
      <c r="C778" s="9"/>
      <c r="D778" s="33"/>
      <c r="E778" s="33"/>
      <c r="F778" s="33"/>
      <c r="G778" s="134"/>
      <c r="H778" s="33"/>
      <c r="I778" s="33"/>
      <c r="J778" s="33"/>
      <c r="K778" s="33"/>
      <c r="L778" s="33"/>
      <c r="M778"/>
    </row>
    <row r="779" spans="2:13" s="2" customFormat="1" ht="15.75" customHeight="1" x14ac:dyDescent="0.2">
      <c r="B779"/>
      <c r="C779" s="9"/>
      <c r="D779" s="33"/>
      <c r="E779" s="33"/>
      <c r="F779" s="33"/>
      <c r="G779" s="134"/>
      <c r="H779" s="33"/>
      <c r="I779" s="33"/>
      <c r="J779" s="33"/>
      <c r="K779" s="33"/>
      <c r="L779" s="33"/>
      <c r="M779"/>
    </row>
    <row r="780" spans="2:13" s="2" customFormat="1" ht="15.75" customHeight="1" x14ac:dyDescent="0.2">
      <c r="B780"/>
      <c r="C780" s="9"/>
      <c r="D780" s="33"/>
      <c r="E780" s="33"/>
      <c r="F780" s="33"/>
      <c r="G780" s="134"/>
      <c r="H780" s="33"/>
      <c r="I780" s="33"/>
      <c r="J780" s="33"/>
      <c r="K780" s="33"/>
      <c r="L780" s="33"/>
      <c r="M780"/>
    </row>
    <row r="781" spans="2:13" s="2" customFormat="1" ht="15.75" customHeight="1" x14ac:dyDescent="0.2">
      <c r="B781"/>
      <c r="C781" s="9"/>
      <c r="D781" s="33"/>
      <c r="E781" s="33"/>
      <c r="F781" s="33"/>
      <c r="G781" s="134"/>
      <c r="H781" s="33"/>
      <c r="I781" s="33"/>
      <c r="J781" s="33"/>
      <c r="K781" s="33"/>
      <c r="L781" s="33"/>
      <c r="M781"/>
    </row>
    <row r="782" spans="2:13" s="2" customFormat="1" ht="15.75" customHeight="1" x14ac:dyDescent="0.2">
      <c r="B782"/>
      <c r="C782" s="9"/>
      <c r="D782" s="33"/>
      <c r="E782" s="33"/>
      <c r="F782" s="33"/>
      <c r="G782" s="134"/>
      <c r="H782" s="33"/>
      <c r="I782" s="33"/>
      <c r="J782" s="33"/>
      <c r="K782" s="33"/>
      <c r="L782" s="33"/>
      <c r="M782"/>
    </row>
    <row r="783" spans="2:13" s="2" customFormat="1" ht="15.75" customHeight="1" x14ac:dyDescent="0.2">
      <c r="B783"/>
      <c r="C783" s="9"/>
      <c r="D783" s="33"/>
      <c r="E783" s="33"/>
      <c r="F783" s="33"/>
      <c r="G783" s="134"/>
      <c r="H783" s="33"/>
      <c r="I783" s="33"/>
      <c r="J783" s="33"/>
      <c r="K783" s="33"/>
      <c r="L783" s="33"/>
      <c r="M783"/>
    </row>
    <row r="784" spans="2:13" s="2" customFormat="1" ht="15.75" customHeight="1" x14ac:dyDescent="0.2">
      <c r="B784"/>
      <c r="C784" s="9"/>
      <c r="D784" s="33"/>
      <c r="E784" s="33"/>
      <c r="F784" s="33"/>
      <c r="G784" s="134"/>
      <c r="H784" s="33"/>
      <c r="I784" s="33"/>
      <c r="J784" s="33"/>
      <c r="K784" s="33"/>
      <c r="L784" s="33"/>
      <c r="M784"/>
    </row>
    <row r="785" spans="2:13" s="2" customFormat="1" ht="15.75" customHeight="1" x14ac:dyDescent="0.2">
      <c r="B785"/>
      <c r="C785" s="9"/>
      <c r="D785" s="33"/>
      <c r="E785" s="33"/>
      <c r="F785" s="33"/>
      <c r="G785" s="134"/>
      <c r="H785" s="33"/>
      <c r="I785" s="33"/>
      <c r="J785" s="33"/>
      <c r="K785" s="33"/>
      <c r="L785" s="33"/>
      <c r="M785"/>
    </row>
    <row r="786" spans="2:13" s="2" customFormat="1" ht="15.75" customHeight="1" x14ac:dyDescent="0.2">
      <c r="B786"/>
      <c r="C786" s="9"/>
      <c r="D786" s="33"/>
      <c r="E786" s="33"/>
      <c r="F786" s="33"/>
      <c r="G786" s="134"/>
      <c r="H786" s="33"/>
      <c r="I786" s="33"/>
      <c r="J786" s="33"/>
      <c r="K786" s="33"/>
      <c r="L786" s="33"/>
      <c r="M786"/>
    </row>
    <row r="787" spans="2:13" s="2" customFormat="1" ht="15.75" customHeight="1" x14ac:dyDescent="0.2">
      <c r="B787"/>
      <c r="C787" s="9"/>
      <c r="D787" s="33"/>
      <c r="E787" s="33"/>
      <c r="F787" s="33"/>
      <c r="G787" s="134"/>
      <c r="H787" s="33"/>
      <c r="I787" s="33"/>
      <c r="J787" s="33"/>
      <c r="K787" s="33"/>
      <c r="L787" s="33"/>
      <c r="M787"/>
    </row>
    <row r="788" spans="2:13" s="2" customFormat="1" ht="15.75" customHeight="1" x14ac:dyDescent="0.2">
      <c r="B788"/>
      <c r="C788" s="9"/>
      <c r="D788" s="33"/>
      <c r="E788" s="33"/>
      <c r="F788" s="33"/>
      <c r="G788" s="134"/>
      <c r="H788" s="33"/>
      <c r="I788" s="33"/>
      <c r="J788" s="33"/>
      <c r="K788" s="33"/>
      <c r="L788" s="33"/>
      <c r="M788"/>
    </row>
    <row r="789" spans="2:13" s="2" customFormat="1" ht="15.75" customHeight="1" x14ac:dyDescent="0.2">
      <c r="B789"/>
      <c r="C789" s="9"/>
      <c r="D789" s="33"/>
      <c r="E789" s="33"/>
      <c r="F789" s="33"/>
      <c r="G789" s="134"/>
      <c r="H789" s="33"/>
      <c r="I789" s="33"/>
      <c r="J789" s="33"/>
      <c r="K789" s="33"/>
      <c r="L789" s="33"/>
      <c r="M789"/>
    </row>
    <row r="790" spans="2:13" s="2" customFormat="1" ht="15.75" customHeight="1" x14ac:dyDescent="0.2">
      <c r="B790"/>
      <c r="C790" s="9"/>
      <c r="D790" s="33"/>
      <c r="E790" s="33"/>
      <c r="F790" s="33"/>
      <c r="G790" s="134"/>
      <c r="H790" s="33"/>
      <c r="I790" s="33"/>
      <c r="J790" s="33"/>
      <c r="K790" s="33"/>
      <c r="L790" s="33"/>
      <c r="M790"/>
    </row>
    <row r="791" spans="2:13" s="2" customFormat="1" ht="15.75" customHeight="1" x14ac:dyDescent="0.2">
      <c r="B791"/>
      <c r="C791" s="9"/>
      <c r="D791" s="33"/>
      <c r="E791" s="33"/>
      <c r="F791" s="33"/>
      <c r="G791" s="134"/>
      <c r="H791" s="33"/>
      <c r="I791" s="33"/>
      <c r="J791" s="33"/>
      <c r="K791" s="33"/>
      <c r="L791" s="33"/>
      <c r="M791"/>
    </row>
    <row r="792" spans="2:13" s="2" customFormat="1" ht="15.75" customHeight="1" x14ac:dyDescent="0.2">
      <c r="B792"/>
      <c r="C792" s="9"/>
      <c r="D792" s="33"/>
      <c r="E792" s="33"/>
      <c r="F792" s="33"/>
      <c r="G792" s="134"/>
      <c r="H792" s="33"/>
      <c r="I792" s="33"/>
      <c r="J792" s="33"/>
      <c r="K792" s="33"/>
      <c r="L792" s="33"/>
      <c r="M792"/>
    </row>
    <row r="793" spans="2:13" s="2" customFormat="1" ht="15.75" customHeight="1" x14ac:dyDescent="0.2">
      <c r="B793"/>
      <c r="C793" s="9"/>
      <c r="D793" s="33"/>
      <c r="E793" s="33"/>
      <c r="F793" s="33"/>
      <c r="G793" s="134"/>
      <c r="H793" s="33"/>
      <c r="I793" s="33"/>
      <c r="J793" s="33"/>
      <c r="K793" s="33"/>
      <c r="L793" s="33"/>
      <c r="M793"/>
    </row>
    <row r="794" spans="2:13" s="2" customFormat="1" ht="15.75" customHeight="1" x14ac:dyDescent="0.2">
      <c r="B794"/>
      <c r="C794" s="9"/>
      <c r="D794" s="33"/>
      <c r="E794" s="33"/>
      <c r="F794" s="33"/>
      <c r="G794" s="134"/>
      <c r="H794" s="33"/>
      <c r="I794" s="33"/>
      <c r="J794" s="33"/>
      <c r="K794" s="33"/>
      <c r="L794" s="33"/>
      <c r="M794"/>
    </row>
    <row r="795" spans="2:13" s="2" customFormat="1" ht="15.75" customHeight="1" x14ac:dyDescent="0.2">
      <c r="B795"/>
      <c r="C795" s="9"/>
      <c r="D795" s="33"/>
      <c r="E795" s="33"/>
      <c r="F795" s="33"/>
      <c r="G795" s="134"/>
      <c r="H795" s="33"/>
      <c r="I795" s="33"/>
      <c r="J795" s="33"/>
      <c r="K795" s="33"/>
      <c r="L795" s="33"/>
      <c r="M795"/>
    </row>
    <row r="796" spans="2:13" s="2" customFormat="1" ht="15.75" customHeight="1" x14ac:dyDescent="0.2">
      <c r="B796"/>
      <c r="C796" s="9"/>
      <c r="D796" s="33"/>
      <c r="E796" s="33"/>
      <c r="F796" s="33"/>
      <c r="G796" s="134"/>
      <c r="H796" s="33"/>
      <c r="I796" s="33"/>
      <c r="J796" s="33"/>
      <c r="K796" s="33"/>
      <c r="L796" s="33"/>
      <c r="M796"/>
    </row>
    <row r="797" spans="2:13" s="2" customFormat="1" ht="15.75" customHeight="1" x14ac:dyDescent="0.2">
      <c r="B797"/>
      <c r="C797" s="9"/>
      <c r="D797" s="33"/>
      <c r="E797" s="33"/>
      <c r="F797" s="33"/>
      <c r="G797" s="134"/>
      <c r="H797" s="33"/>
      <c r="I797" s="33"/>
      <c r="J797" s="33"/>
      <c r="K797" s="33"/>
      <c r="L797" s="33"/>
      <c r="M797"/>
    </row>
    <row r="798" spans="2:13" s="2" customFormat="1" ht="15.75" customHeight="1" x14ac:dyDescent="0.2">
      <c r="B798"/>
      <c r="C798" s="9"/>
      <c r="D798" s="33"/>
      <c r="E798" s="33"/>
      <c r="F798" s="33"/>
      <c r="G798" s="134"/>
      <c r="H798" s="33"/>
      <c r="I798" s="33"/>
      <c r="J798" s="33"/>
      <c r="K798" s="33"/>
      <c r="L798" s="33"/>
      <c r="M798"/>
    </row>
    <row r="799" spans="2:13" s="2" customFormat="1" ht="15.75" customHeight="1" x14ac:dyDescent="0.2">
      <c r="B799"/>
      <c r="C799" s="9"/>
      <c r="D799" s="33"/>
      <c r="E799" s="33"/>
      <c r="F799" s="33"/>
      <c r="G799" s="134"/>
      <c r="H799" s="33"/>
      <c r="I799" s="33"/>
      <c r="J799" s="33"/>
      <c r="K799" s="33"/>
      <c r="L799" s="33"/>
      <c r="M799"/>
    </row>
    <row r="800" spans="2:13" s="2" customFormat="1" ht="15.75" customHeight="1" x14ac:dyDescent="0.2">
      <c r="B800"/>
      <c r="C800" s="9"/>
      <c r="D800" s="33"/>
      <c r="E800" s="33"/>
      <c r="F800" s="33"/>
      <c r="G800" s="134"/>
      <c r="H800" s="33"/>
      <c r="I800" s="33"/>
      <c r="J800" s="33"/>
      <c r="K800" s="33"/>
      <c r="L800" s="33"/>
      <c r="M800"/>
    </row>
    <row r="801" spans="2:13" s="2" customFormat="1" ht="15.75" customHeight="1" x14ac:dyDescent="0.2">
      <c r="B801"/>
      <c r="C801" s="9"/>
      <c r="D801" s="33"/>
      <c r="E801" s="33"/>
      <c r="F801" s="33"/>
      <c r="G801" s="134"/>
      <c r="H801" s="33"/>
      <c r="I801" s="33"/>
      <c r="J801" s="33"/>
      <c r="K801" s="33"/>
      <c r="L801" s="33"/>
      <c r="M801"/>
    </row>
    <row r="802" spans="2:13" s="2" customFormat="1" ht="15.75" customHeight="1" x14ac:dyDescent="0.2">
      <c r="B802"/>
      <c r="C802" s="9"/>
      <c r="D802" s="33"/>
      <c r="E802" s="33"/>
      <c r="F802" s="33"/>
      <c r="G802" s="134"/>
      <c r="H802" s="33"/>
      <c r="I802" s="33"/>
      <c r="J802" s="33"/>
      <c r="K802" s="33"/>
      <c r="L802" s="33"/>
      <c r="M802"/>
    </row>
    <row r="803" spans="2:13" s="2" customFormat="1" ht="15.75" customHeight="1" x14ac:dyDescent="0.2">
      <c r="B803"/>
      <c r="C803" s="9"/>
      <c r="D803" s="33"/>
      <c r="E803" s="33"/>
      <c r="F803" s="33"/>
      <c r="G803" s="134"/>
      <c r="H803" s="33"/>
      <c r="I803" s="33"/>
      <c r="J803" s="33"/>
      <c r="K803" s="33"/>
      <c r="L803" s="33"/>
      <c r="M803"/>
    </row>
    <row r="804" spans="2:13" s="2" customFormat="1" ht="15.75" customHeight="1" x14ac:dyDescent="0.2">
      <c r="B804"/>
      <c r="C804" s="9"/>
      <c r="D804" s="33"/>
      <c r="E804" s="33"/>
      <c r="F804" s="33"/>
      <c r="G804" s="134"/>
      <c r="H804" s="33"/>
      <c r="I804" s="33"/>
      <c r="J804" s="33"/>
      <c r="K804" s="33"/>
      <c r="L804" s="33"/>
      <c r="M804"/>
    </row>
  </sheetData>
  <mergeCells count="2">
    <mergeCell ref="A4:L4"/>
    <mergeCell ref="A5:L5"/>
  </mergeCells>
  <phoneticPr fontId="15" type="noConversion"/>
  <pageMargins left="0.74803149606299213" right="0.15748031496062992" top="0.15748031496062992" bottom="0.15748031496062992" header="0.15748031496062992" footer="0.15748031496062992"/>
  <pageSetup paperSize="9" scale="79" orientation="landscape" r:id="rId1"/>
  <headerFooter alignWithMargins="0"/>
  <rowBreaks count="2" manualBreakCount="2">
    <brk id="46" max="12" man="1"/>
    <brk id="11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745"/>
  <sheetViews>
    <sheetView zoomScaleNormal="100" zoomScaleSheetLayoutView="100" workbookViewId="0">
      <selection activeCell="A5" sqref="A5:L5"/>
    </sheetView>
  </sheetViews>
  <sheetFormatPr defaultRowHeight="12.75" x14ac:dyDescent="0.2"/>
  <cols>
    <col min="1" max="1" width="6.28515625" style="2" customWidth="1"/>
    <col min="2" max="2" width="72.140625" customWidth="1"/>
    <col min="3" max="3" width="10.5703125" style="9" customWidth="1"/>
    <col min="4" max="4" width="13.7109375" style="33" customWidth="1"/>
    <col min="5" max="5" width="15.85546875" style="33" hidden="1" customWidth="1"/>
    <col min="6" max="6" width="7.85546875" style="33" hidden="1" customWidth="1"/>
    <col min="7" max="7" width="15.7109375" style="33" hidden="1" customWidth="1"/>
    <col min="8" max="8" width="7.85546875" style="33" hidden="1" customWidth="1"/>
    <col min="9" max="9" width="13.5703125" style="33" hidden="1" customWidth="1"/>
    <col min="10" max="10" width="7.85546875" style="33" hidden="1" customWidth="1"/>
    <col min="11" max="12" width="13.5703125" style="33" customWidth="1"/>
    <col min="13" max="13" width="5.5703125" style="33" customWidth="1"/>
  </cols>
  <sheetData>
    <row r="1" spans="1:19" ht="15" customHeight="1" x14ac:dyDescent="0.3">
      <c r="A1" s="51"/>
      <c r="B1" s="31"/>
      <c r="C1" s="397"/>
      <c r="L1" s="145" t="s">
        <v>436</v>
      </c>
      <c r="N1" s="2"/>
      <c r="O1" s="2"/>
      <c r="P1" s="2"/>
      <c r="Q1" s="2"/>
      <c r="R1" s="2"/>
      <c r="S1" s="2"/>
    </row>
    <row r="2" spans="1:19" ht="18.75" x14ac:dyDescent="0.3">
      <c r="A2" s="51"/>
      <c r="B2" s="31"/>
      <c r="C2" s="397"/>
      <c r="L2" s="145" t="str">
        <f>'1.Bev-kiad.'!L2</f>
        <v>a 9/2026.(V.29.) önkormányzati rendelethez</v>
      </c>
      <c r="N2" s="2"/>
      <c r="O2" s="2"/>
      <c r="P2" s="2"/>
      <c r="Q2" s="2"/>
      <c r="R2" s="2"/>
      <c r="S2" s="2"/>
    </row>
    <row r="3" spans="1:19" ht="15" customHeight="1" x14ac:dyDescent="0.3">
      <c r="A3" s="51"/>
      <c r="B3" s="31"/>
      <c r="C3" s="397"/>
      <c r="K3" s="145"/>
      <c r="N3" s="2"/>
      <c r="O3" s="2"/>
      <c r="P3" s="2"/>
      <c r="Q3" s="2"/>
      <c r="R3" s="2"/>
      <c r="S3" s="2"/>
    </row>
    <row r="4" spans="1:19" ht="19.5" x14ac:dyDescent="0.35">
      <c r="A4" s="694" t="s">
        <v>22</v>
      </c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265"/>
      <c r="N4" s="2"/>
      <c r="O4" s="2"/>
      <c r="P4" s="2"/>
      <c r="Q4" s="2"/>
      <c r="R4" s="2"/>
      <c r="S4" s="2"/>
    </row>
    <row r="5" spans="1:19" ht="19.5" x14ac:dyDescent="0.35">
      <c r="A5" s="694" t="s">
        <v>669</v>
      </c>
      <c r="B5" s="694"/>
      <c r="C5" s="694"/>
      <c r="D5" s="694"/>
      <c r="E5" s="694"/>
      <c r="F5" s="694"/>
      <c r="G5" s="694"/>
      <c r="H5" s="694"/>
      <c r="I5" s="694"/>
      <c r="J5" s="694"/>
      <c r="K5" s="694"/>
      <c r="L5" s="694"/>
      <c r="M5" s="265"/>
      <c r="N5" s="2"/>
      <c r="O5" s="2"/>
      <c r="P5" s="2"/>
      <c r="Q5" s="2"/>
      <c r="R5" s="2"/>
      <c r="S5" s="2"/>
    </row>
    <row r="6" spans="1:19" ht="13.5" thickBot="1" x14ac:dyDescent="0.25">
      <c r="A6" s="51"/>
      <c r="B6" s="1"/>
      <c r="C6" s="398"/>
      <c r="L6" s="52" t="s">
        <v>0</v>
      </c>
      <c r="N6" s="2"/>
      <c r="O6" s="2"/>
      <c r="P6" s="2"/>
      <c r="Q6" s="2"/>
      <c r="R6" s="2"/>
      <c r="S6" s="2"/>
    </row>
    <row r="7" spans="1:19" ht="54.75" customHeight="1" thickBot="1" x14ac:dyDescent="0.25">
      <c r="A7" s="180" t="s">
        <v>72</v>
      </c>
      <c r="B7" s="41" t="s">
        <v>162</v>
      </c>
      <c r="C7" s="399" t="str">
        <f>'1.Bev-kiad.'!C8</f>
        <v>2024. évi teljesítés</v>
      </c>
      <c r="D7" s="41" t="str">
        <f>'1.Bev-kiad.'!D8</f>
        <v>2025. évi eredeti előirányzat</v>
      </c>
      <c r="E7" s="41" t="str">
        <f>'1.Bev-kiad.'!E8</f>
        <v>Módosított előirányzat 2025.06.havi</v>
      </c>
      <c r="F7" s="392" t="s">
        <v>779</v>
      </c>
      <c r="G7" s="41" t="str">
        <f>'1.Bev-kiad.'!G8</f>
        <v>Módosított előirányzat 2025.09.havi</v>
      </c>
      <c r="H7" s="392" t="s">
        <v>779</v>
      </c>
      <c r="I7" s="41" t="str">
        <f>'1.Bev-kiad.'!I8</f>
        <v>Módosított előirányzat 2025.12.havi</v>
      </c>
      <c r="J7" s="392" t="s">
        <v>779</v>
      </c>
      <c r="K7" s="41" t="str">
        <f>'1.Bev-kiad.'!K8</f>
        <v>Módosított előirányzat 2025.12.31</v>
      </c>
      <c r="L7" s="42" t="str">
        <f>'1.Bev-kiad.'!L8</f>
        <v>Teljesítés 2025.12.31.</v>
      </c>
      <c r="M7" s="258" t="s">
        <v>854</v>
      </c>
      <c r="N7" s="2"/>
      <c r="O7" s="2"/>
      <c r="P7" s="2"/>
      <c r="Q7" s="2"/>
      <c r="R7" s="2"/>
      <c r="S7" s="2"/>
    </row>
    <row r="8" spans="1:19" ht="20.25" customHeight="1" x14ac:dyDescent="0.2">
      <c r="A8" s="115" t="s">
        <v>73</v>
      </c>
      <c r="B8" s="186" t="s">
        <v>267</v>
      </c>
      <c r="C8" s="400">
        <f>SUM(C13+C28+C34)</f>
        <v>212163</v>
      </c>
      <c r="D8" s="138">
        <f>SUM(D13+D28+D34)</f>
        <v>856834</v>
      </c>
      <c r="E8" s="138">
        <f>SUM(E13+E28+E34)</f>
        <v>906834</v>
      </c>
      <c r="F8" s="393">
        <f>G8-E8</f>
        <v>0</v>
      </c>
      <c r="G8" s="138">
        <f>SUM(G13+G28+G34)</f>
        <v>906834</v>
      </c>
      <c r="H8" s="393">
        <f>I8-G8</f>
        <v>0</v>
      </c>
      <c r="I8" s="138">
        <f>SUM(I13+I28+I34)</f>
        <v>906834</v>
      </c>
      <c r="J8" s="393">
        <f>K8-I8</f>
        <v>808</v>
      </c>
      <c r="K8" s="138">
        <f>SUM(K13+K28+K34)</f>
        <v>907642</v>
      </c>
      <c r="L8" s="138">
        <f>SUM(L13+L28+L34)</f>
        <v>405885</v>
      </c>
      <c r="M8" s="259">
        <f>(L8/K8)*100</f>
        <v>44.718622540605217</v>
      </c>
      <c r="N8" s="2"/>
      <c r="O8" s="2"/>
      <c r="P8" s="2"/>
      <c r="Q8" s="2"/>
      <c r="R8" s="2"/>
      <c r="S8" s="2"/>
    </row>
    <row r="9" spans="1:19" ht="12.75" hidden="1" customHeight="1" x14ac:dyDescent="0.2">
      <c r="A9" s="8" t="s">
        <v>76</v>
      </c>
      <c r="B9" s="8" t="s">
        <v>80</v>
      </c>
      <c r="C9" s="403"/>
      <c r="D9" s="6"/>
      <c r="E9" s="6"/>
      <c r="F9" s="393">
        <f t="shared" ref="F9:J43" si="0">G9-E9</f>
        <v>0</v>
      </c>
      <c r="G9" s="6"/>
      <c r="H9" s="393">
        <f t="shared" si="0"/>
        <v>0</v>
      </c>
      <c r="I9" s="6"/>
      <c r="J9" s="393">
        <f t="shared" si="0"/>
        <v>0</v>
      </c>
      <c r="K9" s="6"/>
      <c r="L9" s="6"/>
      <c r="M9" s="259" t="e">
        <f t="shared" ref="M9:M72" si="1">(L9/K9)*100</f>
        <v>#DIV/0!</v>
      </c>
      <c r="N9" s="2"/>
      <c r="O9" s="2"/>
      <c r="P9" s="2"/>
      <c r="Q9" s="2"/>
      <c r="R9" s="2"/>
      <c r="S9" s="2"/>
    </row>
    <row r="10" spans="1:19" ht="12.75" hidden="1" customHeight="1" x14ac:dyDescent="0.2">
      <c r="A10" s="8" t="s">
        <v>77</v>
      </c>
      <c r="B10" s="8" t="s">
        <v>81</v>
      </c>
      <c r="C10" s="159"/>
      <c r="D10" s="11"/>
      <c r="E10" s="11"/>
      <c r="F10" s="393">
        <f t="shared" si="0"/>
        <v>0</v>
      </c>
      <c r="G10" s="11"/>
      <c r="H10" s="393">
        <f t="shared" si="0"/>
        <v>0</v>
      </c>
      <c r="I10" s="11"/>
      <c r="J10" s="393">
        <f t="shared" si="0"/>
        <v>0</v>
      </c>
      <c r="K10" s="11"/>
      <c r="L10" s="11"/>
      <c r="M10" s="259" t="e">
        <f t="shared" si="1"/>
        <v>#DIV/0!</v>
      </c>
      <c r="N10" s="2"/>
      <c r="O10" s="2"/>
      <c r="P10" s="2"/>
      <c r="Q10" s="2"/>
      <c r="R10" s="2"/>
      <c r="S10" s="2"/>
    </row>
    <row r="11" spans="1:19" ht="12.75" hidden="1" customHeight="1" x14ac:dyDescent="0.2">
      <c r="A11" s="8" t="s">
        <v>78</v>
      </c>
      <c r="B11" s="8" t="s">
        <v>82</v>
      </c>
      <c r="C11" s="159"/>
      <c r="D11" s="11"/>
      <c r="E11" s="11"/>
      <c r="F11" s="393">
        <f t="shared" si="0"/>
        <v>0</v>
      </c>
      <c r="G11" s="11"/>
      <c r="H11" s="393">
        <f t="shared" si="0"/>
        <v>0</v>
      </c>
      <c r="I11" s="11"/>
      <c r="J11" s="393">
        <f t="shared" si="0"/>
        <v>0</v>
      </c>
      <c r="K11" s="11"/>
      <c r="L11" s="11"/>
      <c r="M11" s="259" t="e">
        <f t="shared" si="1"/>
        <v>#DIV/0!</v>
      </c>
      <c r="N11" s="2"/>
      <c r="O11" s="2"/>
      <c r="P11" s="2"/>
      <c r="Q11" s="2"/>
      <c r="R11" s="2"/>
      <c r="S11" s="2"/>
    </row>
    <row r="12" spans="1:19" ht="12.75" hidden="1" customHeight="1" x14ac:dyDescent="0.2">
      <c r="A12" s="8" t="s">
        <v>79</v>
      </c>
      <c r="B12" s="8" t="s">
        <v>84</v>
      </c>
      <c r="C12" s="159"/>
      <c r="D12" s="11"/>
      <c r="E12" s="11"/>
      <c r="F12" s="393">
        <f t="shared" si="0"/>
        <v>0</v>
      </c>
      <c r="G12" s="11"/>
      <c r="H12" s="393">
        <f t="shared" si="0"/>
        <v>0</v>
      </c>
      <c r="I12" s="11"/>
      <c r="J12" s="393">
        <f t="shared" si="0"/>
        <v>0</v>
      </c>
      <c r="K12" s="11"/>
      <c r="L12" s="11"/>
      <c r="M12" s="259" t="e">
        <f t="shared" si="1"/>
        <v>#DIV/0!</v>
      </c>
      <c r="N12" s="2"/>
      <c r="O12" s="2"/>
      <c r="P12" s="2"/>
      <c r="Q12" s="2"/>
      <c r="R12" s="2"/>
      <c r="S12" s="2"/>
    </row>
    <row r="13" spans="1:19" ht="18" customHeight="1" x14ac:dyDescent="0.25">
      <c r="A13" s="14" t="s">
        <v>85</v>
      </c>
      <c r="B13" s="22" t="s">
        <v>199</v>
      </c>
      <c r="C13" s="401">
        <f>C14+C23</f>
        <v>93469</v>
      </c>
      <c r="D13" s="34">
        <f>D14+D23</f>
        <v>846026</v>
      </c>
      <c r="E13" s="34">
        <f>E14+E23</f>
        <v>896026</v>
      </c>
      <c r="F13" s="393">
        <f t="shared" si="0"/>
        <v>0</v>
      </c>
      <c r="G13" s="34">
        <f>G14+G23</f>
        <v>896026</v>
      </c>
      <c r="H13" s="393">
        <f t="shared" si="0"/>
        <v>0</v>
      </c>
      <c r="I13" s="34">
        <f>I14+I23</f>
        <v>896026</v>
      </c>
      <c r="J13" s="393">
        <f t="shared" si="0"/>
        <v>0</v>
      </c>
      <c r="K13" s="34">
        <f>K14+K23</f>
        <v>896026</v>
      </c>
      <c r="L13" s="34">
        <f>L14+L23</f>
        <v>394384</v>
      </c>
      <c r="M13" s="259">
        <f t="shared" si="1"/>
        <v>44.014794213560762</v>
      </c>
      <c r="N13" s="2"/>
      <c r="O13" s="2"/>
      <c r="P13" s="2"/>
      <c r="Q13" s="2"/>
      <c r="R13" s="2"/>
      <c r="S13" s="2"/>
    </row>
    <row r="14" spans="1:19" ht="13.5" customHeight="1" x14ac:dyDescent="0.2">
      <c r="A14" s="8"/>
      <c r="B14" s="8" t="s">
        <v>256</v>
      </c>
      <c r="C14" s="403">
        <v>67485</v>
      </c>
      <c r="D14" s="6">
        <f>SUM(D15:D22)</f>
        <v>0</v>
      </c>
      <c r="E14" s="6">
        <f>SUM(E15:E22)</f>
        <v>50000</v>
      </c>
      <c r="F14" s="393">
        <f t="shared" si="0"/>
        <v>0</v>
      </c>
      <c r="G14" s="6">
        <f>SUM(G15:G22)</f>
        <v>50000</v>
      </c>
      <c r="H14" s="393">
        <f t="shared" si="0"/>
        <v>0</v>
      </c>
      <c r="I14" s="6">
        <f>SUM(I15:I22)</f>
        <v>50000</v>
      </c>
      <c r="J14" s="393">
        <f t="shared" si="0"/>
        <v>0</v>
      </c>
      <c r="K14" s="6">
        <f>SUM(K15:K22)</f>
        <v>50000</v>
      </c>
      <c r="L14" s="6">
        <f>SUM(L15:L22)</f>
        <v>50000</v>
      </c>
      <c r="M14" s="259">
        <f t="shared" si="1"/>
        <v>100</v>
      </c>
      <c r="N14" s="2"/>
      <c r="O14" s="2"/>
      <c r="P14" s="2"/>
      <c r="Q14" s="2"/>
      <c r="R14" s="2"/>
      <c r="S14" s="2"/>
    </row>
    <row r="15" spans="1:19" s="260" customFormat="1" ht="15.75" customHeight="1" x14ac:dyDescent="0.2">
      <c r="A15" s="395"/>
      <c r="B15" s="374" t="s">
        <v>811</v>
      </c>
      <c r="C15" s="440"/>
      <c r="D15" s="132">
        <v>0</v>
      </c>
      <c r="E15" s="132">
        <v>50000</v>
      </c>
      <c r="F15" s="393">
        <f t="shared" si="0"/>
        <v>0</v>
      </c>
      <c r="G15" s="132">
        <v>50000</v>
      </c>
      <c r="H15" s="393">
        <f t="shared" si="0"/>
        <v>0</v>
      </c>
      <c r="I15" s="132">
        <v>50000</v>
      </c>
      <c r="J15" s="393">
        <f t="shared" si="0"/>
        <v>0</v>
      </c>
      <c r="K15" s="132">
        <v>50000</v>
      </c>
      <c r="L15" s="132">
        <v>50000</v>
      </c>
      <c r="M15" s="259">
        <f t="shared" si="1"/>
        <v>100</v>
      </c>
      <c r="N15" s="63"/>
      <c r="O15" s="63"/>
      <c r="P15" s="63"/>
      <c r="Q15" s="63"/>
      <c r="R15" s="63"/>
      <c r="S15" s="63"/>
    </row>
    <row r="16" spans="1:19" ht="6" customHeight="1" x14ac:dyDescent="0.2">
      <c r="A16" s="8"/>
      <c r="B16" s="8" t="s">
        <v>498</v>
      </c>
      <c r="C16" s="188"/>
      <c r="D16" s="13"/>
      <c r="E16" s="13"/>
      <c r="F16" s="393"/>
      <c r="G16" s="13"/>
      <c r="H16" s="393"/>
      <c r="I16" s="13"/>
      <c r="J16" s="393"/>
      <c r="K16" s="13"/>
      <c r="L16" s="13"/>
      <c r="M16" s="259"/>
      <c r="N16" s="2"/>
      <c r="O16" s="2"/>
      <c r="P16" s="2"/>
      <c r="Q16" s="2"/>
      <c r="R16" s="2"/>
      <c r="S16" s="2"/>
    </row>
    <row r="17" spans="1:19" hidden="1" x14ac:dyDescent="0.2">
      <c r="A17" s="8"/>
      <c r="B17" s="8"/>
      <c r="C17" s="188"/>
      <c r="D17" s="13">
        <v>0</v>
      </c>
      <c r="E17" s="13">
        <v>0</v>
      </c>
      <c r="F17" s="393">
        <f t="shared" si="0"/>
        <v>0</v>
      </c>
      <c r="G17" s="13">
        <v>0</v>
      </c>
      <c r="H17" s="393">
        <f t="shared" si="0"/>
        <v>0</v>
      </c>
      <c r="I17" s="13">
        <v>0</v>
      </c>
      <c r="J17" s="393">
        <f t="shared" si="0"/>
        <v>0</v>
      </c>
      <c r="K17" s="13">
        <v>0</v>
      </c>
      <c r="L17" s="13">
        <v>0</v>
      </c>
      <c r="M17" s="259" t="e">
        <f t="shared" si="1"/>
        <v>#DIV/0!</v>
      </c>
      <c r="N17" s="2"/>
      <c r="O17" s="2"/>
      <c r="P17" s="2"/>
      <c r="Q17" s="2"/>
      <c r="R17" s="2"/>
      <c r="S17" s="2"/>
    </row>
    <row r="18" spans="1:19" hidden="1" x14ac:dyDescent="0.2">
      <c r="A18" s="8"/>
      <c r="B18" s="8"/>
      <c r="C18" s="188"/>
      <c r="D18" s="13">
        <v>0</v>
      </c>
      <c r="E18" s="13">
        <v>0</v>
      </c>
      <c r="F18" s="393">
        <f t="shared" si="0"/>
        <v>0</v>
      </c>
      <c r="G18" s="13">
        <v>0</v>
      </c>
      <c r="H18" s="393">
        <f t="shared" si="0"/>
        <v>0</v>
      </c>
      <c r="I18" s="13">
        <v>0</v>
      </c>
      <c r="J18" s="393">
        <f t="shared" si="0"/>
        <v>0</v>
      </c>
      <c r="K18" s="13">
        <v>0</v>
      </c>
      <c r="L18" s="13">
        <v>0</v>
      </c>
      <c r="M18" s="259" t="e">
        <f t="shared" si="1"/>
        <v>#DIV/0!</v>
      </c>
      <c r="N18" s="2"/>
      <c r="O18" s="2"/>
      <c r="P18" s="2"/>
      <c r="Q18" s="2"/>
      <c r="R18" s="2"/>
      <c r="S18" s="2"/>
    </row>
    <row r="19" spans="1:19" hidden="1" x14ac:dyDescent="0.2">
      <c r="A19" s="8"/>
      <c r="B19" s="8"/>
      <c r="C19" s="188"/>
      <c r="D19" s="13">
        <v>0</v>
      </c>
      <c r="E19" s="13">
        <v>0</v>
      </c>
      <c r="F19" s="393">
        <f t="shared" si="0"/>
        <v>0</v>
      </c>
      <c r="G19" s="13">
        <v>0</v>
      </c>
      <c r="H19" s="393">
        <f t="shared" si="0"/>
        <v>0</v>
      </c>
      <c r="I19" s="13">
        <v>0</v>
      </c>
      <c r="J19" s="393">
        <f t="shared" si="0"/>
        <v>0</v>
      </c>
      <c r="K19" s="13">
        <v>0</v>
      </c>
      <c r="L19" s="13">
        <v>0</v>
      </c>
      <c r="M19" s="259" t="e">
        <f t="shared" si="1"/>
        <v>#DIV/0!</v>
      </c>
      <c r="N19" s="2"/>
      <c r="O19" s="2"/>
      <c r="P19" s="2"/>
      <c r="Q19" s="2"/>
      <c r="R19" s="2"/>
      <c r="S19" s="2"/>
    </row>
    <row r="20" spans="1:19" hidden="1" x14ac:dyDescent="0.2">
      <c r="A20" s="8"/>
      <c r="B20" s="8"/>
      <c r="C20" s="188"/>
      <c r="D20" s="13">
        <v>0</v>
      </c>
      <c r="E20" s="13">
        <v>0</v>
      </c>
      <c r="F20" s="393">
        <f t="shared" si="0"/>
        <v>0</v>
      </c>
      <c r="G20" s="13">
        <v>0</v>
      </c>
      <c r="H20" s="393">
        <f t="shared" si="0"/>
        <v>0</v>
      </c>
      <c r="I20" s="13">
        <v>0</v>
      </c>
      <c r="J20" s="393">
        <f t="shared" si="0"/>
        <v>0</v>
      </c>
      <c r="K20" s="13">
        <v>0</v>
      </c>
      <c r="L20" s="13">
        <v>0</v>
      </c>
      <c r="M20" s="259" t="e">
        <f t="shared" si="1"/>
        <v>#DIV/0!</v>
      </c>
      <c r="N20" s="2"/>
      <c r="O20" s="2"/>
      <c r="P20" s="2"/>
      <c r="Q20" s="2"/>
      <c r="R20" s="2"/>
      <c r="S20" s="2"/>
    </row>
    <row r="21" spans="1:19" hidden="1" x14ac:dyDescent="0.2">
      <c r="A21" s="8"/>
      <c r="B21" s="8"/>
      <c r="C21" s="188"/>
      <c r="D21" s="13"/>
      <c r="E21" s="13"/>
      <c r="F21" s="393">
        <f t="shared" si="0"/>
        <v>0</v>
      </c>
      <c r="G21" s="13"/>
      <c r="H21" s="393">
        <f t="shared" si="0"/>
        <v>0</v>
      </c>
      <c r="I21" s="13"/>
      <c r="J21" s="393">
        <f t="shared" si="0"/>
        <v>0</v>
      </c>
      <c r="K21" s="13"/>
      <c r="L21" s="13"/>
      <c r="M21" s="259" t="e">
        <f t="shared" si="1"/>
        <v>#DIV/0!</v>
      </c>
      <c r="N21" s="2"/>
      <c r="O21" s="2"/>
      <c r="P21" s="2"/>
      <c r="Q21" s="2"/>
      <c r="R21" s="2"/>
      <c r="S21" s="2"/>
    </row>
    <row r="22" spans="1:19" hidden="1" x14ac:dyDescent="0.2">
      <c r="A22" s="8"/>
      <c r="B22" s="8"/>
      <c r="C22" s="188"/>
      <c r="D22" s="13"/>
      <c r="E22" s="13"/>
      <c r="F22" s="393">
        <f t="shared" si="0"/>
        <v>0</v>
      </c>
      <c r="G22" s="13"/>
      <c r="H22" s="393">
        <f t="shared" si="0"/>
        <v>0</v>
      </c>
      <c r="I22" s="13"/>
      <c r="J22" s="393">
        <f t="shared" si="0"/>
        <v>0</v>
      </c>
      <c r="K22" s="13"/>
      <c r="L22" s="13"/>
      <c r="M22" s="259" t="e">
        <f t="shared" si="1"/>
        <v>#DIV/0!</v>
      </c>
      <c r="N22" s="2"/>
      <c r="O22" s="2"/>
      <c r="P22" s="2"/>
      <c r="Q22" s="2"/>
      <c r="R22" s="2"/>
      <c r="S22" s="2"/>
    </row>
    <row r="23" spans="1:19" x14ac:dyDescent="0.2">
      <c r="A23" s="8"/>
      <c r="B23" s="8" t="s">
        <v>257</v>
      </c>
      <c r="C23" s="403">
        <v>25984</v>
      </c>
      <c r="D23" s="6">
        <f>SUM(D24:D27)</f>
        <v>846026</v>
      </c>
      <c r="E23" s="6">
        <f>SUM(E24:E27)</f>
        <v>846026</v>
      </c>
      <c r="F23" s="393">
        <f t="shared" si="0"/>
        <v>0</v>
      </c>
      <c r="G23" s="6">
        <f>SUM(G24:G27)</f>
        <v>846026</v>
      </c>
      <c r="H23" s="393">
        <f t="shared" si="0"/>
        <v>0</v>
      </c>
      <c r="I23" s="6">
        <f>SUM(I24:I27)</f>
        <v>846026</v>
      </c>
      <c r="J23" s="393">
        <f t="shared" si="0"/>
        <v>0</v>
      </c>
      <c r="K23" s="6">
        <f>SUM(K24:K27)</f>
        <v>846026</v>
      </c>
      <c r="L23" s="6">
        <f>SUM(L24:L27)</f>
        <v>344384</v>
      </c>
      <c r="M23" s="259">
        <f t="shared" si="1"/>
        <v>40.706077590996017</v>
      </c>
      <c r="N23" s="2"/>
      <c r="O23" s="2"/>
      <c r="P23" s="2"/>
      <c r="Q23" s="2"/>
      <c r="R23" s="2"/>
      <c r="S23" s="2"/>
    </row>
    <row r="24" spans="1:19" x14ac:dyDescent="0.2">
      <c r="A24" s="8"/>
      <c r="B24" s="19" t="s">
        <v>718</v>
      </c>
      <c r="C24" s="409"/>
      <c r="D24" s="13">
        <v>222918</v>
      </c>
      <c r="E24" s="13">
        <v>222918</v>
      </c>
      <c r="F24" s="393">
        <f t="shared" si="0"/>
        <v>0</v>
      </c>
      <c r="G24" s="13">
        <v>222918</v>
      </c>
      <c r="H24" s="393">
        <f t="shared" si="0"/>
        <v>0</v>
      </c>
      <c r="I24" s="13">
        <v>222918</v>
      </c>
      <c r="J24" s="393">
        <f t="shared" si="0"/>
        <v>0</v>
      </c>
      <c r="K24" s="13">
        <v>222918</v>
      </c>
      <c r="L24" s="13">
        <v>222918</v>
      </c>
      <c r="M24" s="259">
        <f t="shared" si="1"/>
        <v>100</v>
      </c>
      <c r="N24" s="2"/>
      <c r="O24" s="2"/>
      <c r="P24" s="2"/>
      <c r="Q24" s="2"/>
      <c r="R24" s="2"/>
      <c r="S24" s="2"/>
    </row>
    <row r="25" spans="1:19" x14ac:dyDescent="0.2">
      <c r="A25" s="8"/>
      <c r="B25" s="19" t="s">
        <v>717</v>
      </c>
      <c r="C25" s="409"/>
      <c r="D25" s="13">
        <v>600883</v>
      </c>
      <c r="E25" s="13">
        <v>600883</v>
      </c>
      <c r="F25" s="393">
        <f t="shared" si="0"/>
        <v>0</v>
      </c>
      <c r="G25" s="13">
        <v>600883</v>
      </c>
      <c r="H25" s="393">
        <f t="shared" si="0"/>
        <v>0</v>
      </c>
      <c r="I25" s="13">
        <v>600883</v>
      </c>
      <c r="J25" s="393">
        <f t="shared" si="0"/>
        <v>0</v>
      </c>
      <c r="K25" s="13">
        <v>600883</v>
      </c>
      <c r="L25" s="13">
        <v>99241</v>
      </c>
      <c r="M25" s="259">
        <f t="shared" si="1"/>
        <v>16.515860824819473</v>
      </c>
      <c r="N25" s="2"/>
      <c r="O25" s="2"/>
      <c r="P25" s="2"/>
      <c r="Q25" s="2"/>
      <c r="R25" s="2"/>
      <c r="S25" s="2"/>
    </row>
    <row r="26" spans="1:19" ht="25.5" x14ac:dyDescent="0.2">
      <c r="A26" s="8"/>
      <c r="B26" s="19" t="s">
        <v>725</v>
      </c>
      <c r="C26" s="409"/>
      <c r="D26" s="132">
        <v>22225</v>
      </c>
      <c r="E26" s="132">
        <v>22225</v>
      </c>
      <c r="F26" s="393">
        <f t="shared" si="0"/>
        <v>0</v>
      </c>
      <c r="G26" s="132">
        <v>22225</v>
      </c>
      <c r="H26" s="393">
        <f t="shared" si="0"/>
        <v>0</v>
      </c>
      <c r="I26" s="132">
        <v>22225</v>
      </c>
      <c r="J26" s="393">
        <f t="shared" si="0"/>
        <v>0</v>
      </c>
      <c r="K26" s="132">
        <v>22225</v>
      </c>
      <c r="L26" s="132">
        <v>22225</v>
      </c>
      <c r="M26" s="259">
        <f t="shared" si="1"/>
        <v>100</v>
      </c>
      <c r="N26" s="2"/>
      <c r="O26" s="2"/>
      <c r="P26" s="2"/>
      <c r="Q26" s="2"/>
      <c r="R26" s="2"/>
      <c r="S26" s="2"/>
    </row>
    <row r="27" spans="1:19" ht="6.75" customHeight="1" x14ac:dyDescent="0.2">
      <c r="A27" s="8"/>
      <c r="B27" s="8"/>
      <c r="C27" s="188"/>
      <c r="D27" s="13"/>
      <c r="E27" s="13"/>
      <c r="F27" s="393"/>
      <c r="G27" s="13"/>
      <c r="H27" s="393"/>
      <c r="I27" s="13"/>
      <c r="J27" s="393"/>
      <c r="K27" s="13"/>
      <c r="L27" s="13"/>
      <c r="M27" s="259"/>
      <c r="N27" s="2"/>
      <c r="O27" s="2"/>
      <c r="P27" s="2"/>
      <c r="Q27" s="2"/>
      <c r="R27" s="2"/>
      <c r="S27" s="2"/>
    </row>
    <row r="28" spans="1:19" ht="17.25" customHeight="1" x14ac:dyDescent="0.25">
      <c r="A28" s="14" t="s">
        <v>132</v>
      </c>
      <c r="B28" s="22" t="s">
        <v>200</v>
      </c>
      <c r="C28" s="401">
        <f>SUM(C29:C33)</f>
        <v>98400</v>
      </c>
      <c r="D28" s="34">
        <f>SUM(D29:D33)</f>
        <v>508</v>
      </c>
      <c r="E28" s="34">
        <f>SUM(E29:E33)</f>
        <v>508</v>
      </c>
      <c r="F28" s="393">
        <f t="shared" si="0"/>
        <v>0</v>
      </c>
      <c r="G28" s="34">
        <f>SUM(G29:G33)</f>
        <v>508</v>
      </c>
      <c r="H28" s="393">
        <f t="shared" si="0"/>
        <v>0</v>
      </c>
      <c r="I28" s="34">
        <f>SUM(I29:I33)</f>
        <v>508</v>
      </c>
      <c r="J28" s="393">
        <f t="shared" si="0"/>
        <v>0</v>
      </c>
      <c r="K28" s="34">
        <f>SUM(K29:K33)</f>
        <v>508</v>
      </c>
      <c r="L28" s="34">
        <f>SUM(L29:L33)</f>
        <v>400</v>
      </c>
      <c r="M28" s="259">
        <f t="shared" si="1"/>
        <v>78.740157480314963</v>
      </c>
      <c r="N28" s="2"/>
      <c r="O28" s="2"/>
      <c r="P28" s="2"/>
      <c r="Q28" s="2"/>
      <c r="R28" s="2"/>
      <c r="S28" s="2"/>
    </row>
    <row r="29" spans="1:19" ht="13.5" customHeight="1" x14ac:dyDescent="0.2">
      <c r="A29" s="8" t="s">
        <v>133</v>
      </c>
      <c r="B29" s="19" t="s">
        <v>322</v>
      </c>
      <c r="C29" s="409">
        <v>0</v>
      </c>
      <c r="D29" s="11">
        <v>0</v>
      </c>
      <c r="E29" s="11">
        <v>0</v>
      </c>
      <c r="F29" s="393">
        <f t="shared" si="0"/>
        <v>0</v>
      </c>
      <c r="G29" s="11">
        <v>0</v>
      </c>
      <c r="H29" s="393">
        <f t="shared" si="0"/>
        <v>0</v>
      </c>
      <c r="I29" s="11">
        <v>0</v>
      </c>
      <c r="J29" s="393">
        <f t="shared" si="0"/>
        <v>0</v>
      </c>
      <c r="K29" s="11">
        <v>0</v>
      </c>
      <c r="L29" s="11">
        <v>0</v>
      </c>
      <c r="M29" s="259"/>
      <c r="N29" s="2"/>
      <c r="O29" s="2"/>
      <c r="P29" s="2"/>
      <c r="Q29" s="2"/>
      <c r="R29" s="2"/>
      <c r="S29" s="2"/>
    </row>
    <row r="30" spans="1:19" ht="13.5" customHeight="1" x14ac:dyDescent="0.2">
      <c r="A30" s="8" t="s">
        <v>134</v>
      </c>
      <c r="B30" s="19" t="s">
        <v>558</v>
      </c>
      <c r="C30" s="141">
        <v>96000</v>
      </c>
      <c r="D30" s="13">
        <v>0</v>
      </c>
      <c r="E30" s="13">
        <v>0</v>
      </c>
      <c r="F30" s="393">
        <f t="shared" si="0"/>
        <v>0</v>
      </c>
      <c r="G30" s="13">
        <v>0</v>
      </c>
      <c r="H30" s="393">
        <f t="shared" si="0"/>
        <v>0</v>
      </c>
      <c r="I30" s="13">
        <v>0</v>
      </c>
      <c r="J30" s="393">
        <f t="shared" si="0"/>
        <v>0</v>
      </c>
      <c r="K30" s="13">
        <v>0</v>
      </c>
      <c r="L30" s="13">
        <v>0</v>
      </c>
      <c r="M30" s="259"/>
      <c r="N30" s="2"/>
      <c r="O30" s="2"/>
      <c r="P30" s="2"/>
      <c r="Q30" s="2"/>
      <c r="R30" s="2"/>
      <c r="S30" s="2"/>
    </row>
    <row r="31" spans="1:19" ht="13.5" customHeight="1" x14ac:dyDescent="0.2">
      <c r="A31" s="8" t="s">
        <v>135</v>
      </c>
      <c r="B31" s="19" t="s">
        <v>680</v>
      </c>
      <c r="C31" s="141">
        <v>2400</v>
      </c>
      <c r="D31" s="11">
        <v>508</v>
      </c>
      <c r="E31" s="11">
        <v>508</v>
      </c>
      <c r="F31" s="393">
        <f t="shared" si="0"/>
        <v>0</v>
      </c>
      <c r="G31" s="11">
        <v>508</v>
      </c>
      <c r="H31" s="393">
        <f t="shared" si="0"/>
        <v>0</v>
      </c>
      <c r="I31" s="11">
        <v>508</v>
      </c>
      <c r="J31" s="393">
        <f t="shared" si="0"/>
        <v>0</v>
      </c>
      <c r="K31" s="11">
        <v>508</v>
      </c>
      <c r="L31" s="11">
        <v>400</v>
      </c>
      <c r="M31" s="259">
        <f t="shared" si="1"/>
        <v>78.740157480314963</v>
      </c>
      <c r="N31" s="2"/>
      <c r="O31" s="2"/>
      <c r="P31" s="2"/>
      <c r="Q31" s="2"/>
      <c r="R31" s="2"/>
      <c r="S31" s="2"/>
    </row>
    <row r="32" spans="1:19" ht="13.5" customHeight="1" x14ac:dyDescent="0.2">
      <c r="A32" s="8" t="s">
        <v>136</v>
      </c>
      <c r="B32" s="19" t="s">
        <v>201</v>
      </c>
      <c r="C32" s="409">
        <v>0</v>
      </c>
      <c r="D32" s="11">
        <v>0</v>
      </c>
      <c r="E32" s="11">
        <v>0</v>
      </c>
      <c r="F32" s="393">
        <f t="shared" si="0"/>
        <v>0</v>
      </c>
      <c r="G32" s="11">
        <v>0</v>
      </c>
      <c r="H32" s="393">
        <f t="shared" si="0"/>
        <v>0</v>
      </c>
      <c r="I32" s="11">
        <v>0</v>
      </c>
      <c r="J32" s="393">
        <f t="shared" si="0"/>
        <v>0</v>
      </c>
      <c r="K32" s="11">
        <v>0</v>
      </c>
      <c r="L32" s="11">
        <v>0</v>
      </c>
      <c r="M32" s="259"/>
      <c r="N32" s="2"/>
      <c r="O32" s="2"/>
      <c r="P32" s="2"/>
      <c r="Q32" s="2"/>
      <c r="R32" s="2"/>
      <c r="S32" s="2"/>
    </row>
    <row r="33" spans="1:19" ht="13.5" customHeight="1" x14ac:dyDescent="0.2">
      <c r="A33" s="8" t="s">
        <v>137</v>
      </c>
      <c r="B33" s="19" t="s">
        <v>202</v>
      </c>
      <c r="C33" s="409">
        <v>0</v>
      </c>
      <c r="D33" s="11">
        <v>0</v>
      </c>
      <c r="E33" s="11">
        <v>0</v>
      </c>
      <c r="F33" s="393">
        <f t="shared" si="0"/>
        <v>0</v>
      </c>
      <c r="G33" s="11">
        <v>0</v>
      </c>
      <c r="H33" s="393">
        <f t="shared" si="0"/>
        <v>0</v>
      </c>
      <c r="I33" s="11">
        <v>0</v>
      </c>
      <c r="J33" s="393">
        <f t="shared" si="0"/>
        <v>0</v>
      </c>
      <c r="K33" s="11">
        <v>0</v>
      </c>
      <c r="L33" s="11">
        <v>0</v>
      </c>
      <c r="M33" s="259"/>
      <c r="N33" s="2"/>
      <c r="O33" s="2"/>
      <c r="P33" s="2"/>
      <c r="Q33" s="2"/>
      <c r="R33" s="2"/>
      <c r="S33" s="2"/>
    </row>
    <row r="34" spans="1:19" ht="18" customHeight="1" x14ac:dyDescent="0.25">
      <c r="A34" s="14" t="s">
        <v>144</v>
      </c>
      <c r="B34" s="22" t="s">
        <v>308</v>
      </c>
      <c r="C34" s="401">
        <v>20294</v>
      </c>
      <c r="D34" s="34">
        <f>D36+D37</f>
        <v>10300</v>
      </c>
      <c r="E34" s="34">
        <f>E36+E37</f>
        <v>10300</v>
      </c>
      <c r="F34" s="393">
        <f t="shared" si="0"/>
        <v>0</v>
      </c>
      <c r="G34" s="34">
        <f>G36+G37</f>
        <v>10300</v>
      </c>
      <c r="H34" s="393">
        <f t="shared" si="0"/>
        <v>0</v>
      </c>
      <c r="I34" s="34">
        <f>I36+I37</f>
        <v>10300</v>
      </c>
      <c r="J34" s="393">
        <f t="shared" si="0"/>
        <v>808</v>
      </c>
      <c r="K34" s="34">
        <f>K36+K37</f>
        <v>11108</v>
      </c>
      <c r="L34" s="34">
        <f>L36+L37</f>
        <v>11101</v>
      </c>
      <c r="M34" s="259">
        <f t="shared" si="1"/>
        <v>99.936982355059413</v>
      </c>
      <c r="N34" s="2"/>
      <c r="O34" s="2"/>
      <c r="P34" s="2"/>
      <c r="Q34" s="2"/>
      <c r="R34" s="2"/>
      <c r="S34" s="2"/>
    </row>
    <row r="35" spans="1:19" ht="13.5" hidden="1" customHeight="1" x14ac:dyDescent="0.2">
      <c r="A35" s="8" t="s">
        <v>144</v>
      </c>
      <c r="B35" s="19" t="s">
        <v>314</v>
      </c>
      <c r="C35" s="409"/>
      <c r="D35" s="44"/>
      <c r="E35" s="44"/>
      <c r="F35" s="393">
        <f t="shared" si="0"/>
        <v>0</v>
      </c>
      <c r="G35" s="44"/>
      <c r="H35" s="393">
        <f t="shared" si="0"/>
        <v>0</v>
      </c>
      <c r="I35" s="44"/>
      <c r="J35" s="393">
        <f t="shared" si="0"/>
        <v>0</v>
      </c>
      <c r="K35" s="44"/>
      <c r="L35" s="44"/>
      <c r="M35" s="259" t="e">
        <f t="shared" si="1"/>
        <v>#DIV/0!</v>
      </c>
      <c r="N35" s="2"/>
      <c r="O35" s="2"/>
      <c r="P35" s="2"/>
      <c r="Q35" s="2"/>
      <c r="R35" s="2"/>
      <c r="S35" s="2"/>
    </row>
    <row r="36" spans="1:19" ht="13.5" customHeight="1" x14ac:dyDescent="0.2">
      <c r="A36" s="8" t="s">
        <v>379</v>
      </c>
      <c r="B36" s="19" t="s">
        <v>410</v>
      </c>
      <c r="C36" s="409"/>
      <c r="D36" s="347">
        <v>10300</v>
      </c>
      <c r="E36" s="347">
        <v>10300</v>
      </c>
      <c r="F36" s="393">
        <f t="shared" si="0"/>
        <v>0</v>
      </c>
      <c r="G36" s="347">
        <v>10300</v>
      </c>
      <c r="H36" s="393">
        <f t="shared" si="0"/>
        <v>0</v>
      </c>
      <c r="I36" s="347">
        <v>10300</v>
      </c>
      <c r="J36" s="393">
        <f t="shared" si="0"/>
        <v>0</v>
      </c>
      <c r="K36" s="347">
        <v>10300</v>
      </c>
      <c r="L36" s="347">
        <v>10293</v>
      </c>
      <c r="M36" s="259">
        <f t="shared" si="1"/>
        <v>99.932038834951456</v>
      </c>
      <c r="N36" s="2"/>
      <c r="O36" s="2"/>
      <c r="P36" s="2"/>
      <c r="Q36" s="2"/>
      <c r="R36" s="2"/>
      <c r="S36" s="2"/>
    </row>
    <row r="37" spans="1:19" ht="13.5" customHeight="1" x14ac:dyDescent="0.2">
      <c r="A37" s="8" t="s">
        <v>379</v>
      </c>
      <c r="B37" s="19" t="s">
        <v>823</v>
      </c>
      <c r="C37" s="409">
        <v>0</v>
      </c>
      <c r="D37" s="132">
        <v>0</v>
      </c>
      <c r="E37" s="132">
        <v>0</v>
      </c>
      <c r="F37" s="393">
        <f t="shared" si="0"/>
        <v>0</v>
      </c>
      <c r="G37" s="132">
        <v>0</v>
      </c>
      <c r="H37" s="393">
        <f t="shared" si="0"/>
        <v>0</v>
      </c>
      <c r="I37" s="132">
        <v>0</v>
      </c>
      <c r="J37" s="393">
        <f t="shared" si="0"/>
        <v>808</v>
      </c>
      <c r="K37" s="132">
        <v>808</v>
      </c>
      <c r="L37" s="132">
        <v>808</v>
      </c>
      <c r="M37" s="259">
        <f t="shared" si="1"/>
        <v>100</v>
      </c>
      <c r="N37" s="2"/>
      <c r="O37" s="2"/>
      <c r="P37" s="2"/>
      <c r="Q37" s="2"/>
      <c r="R37" s="2"/>
      <c r="S37" s="2"/>
    </row>
    <row r="38" spans="1:19" ht="20.25" customHeight="1" x14ac:dyDescent="0.25">
      <c r="A38" s="8"/>
      <c r="B38" s="137" t="s">
        <v>268</v>
      </c>
      <c r="C38" s="401">
        <f>SUM(C39+C43)</f>
        <v>1220659</v>
      </c>
      <c r="D38" s="125">
        <f>SUM(D39+D43)</f>
        <v>38889</v>
      </c>
      <c r="E38" s="125">
        <f>SUM(E39+E43)</f>
        <v>38889</v>
      </c>
      <c r="F38" s="393">
        <f t="shared" si="0"/>
        <v>0</v>
      </c>
      <c r="G38" s="125">
        <f>SUM(G39+G43)</f>
        <v>38889</v>
      </c>
      <c r="H38" s="393">
        <f t="shared" si="0"/>
        <v>0</v>
      </c>
      <c r="I38" s="125">
        <f>SUM(I39+I43)</f>
        <v>38889</v>
      </c>
      <c r="J38" s="393">
        <f t="shared" si="0"/>
        <v>0</v>
      </c>
      <c r="K38" s="125">
        <f>SUM(K39+K43)</f>
        <v>38889</v>
      </c>
      <c r="L38" s="125">
        <f>SUM(L39+L43)</f>
        <v>38889</v>
      </c>
      <c r="M38" s="259">
        <f t="shared" si="1"/>
        <v>100</v>
      </c>
      <c r="N38" s="2"/>
      <c r="O38" s="2"/>
      <c r="P38" s="2"/>
      <c r="Q38" s="2"/>
      <c r="R38" s="2"/>
      <c r="S38" s="2"/>
    </row>
    <row r="39" spans="1:19" ht="16.5" customHeight="1" x14ac:dyDescent="0.25">
      <c r="A39" s="8"/>
      <c r="B39" s="18" t="s">
        <v>204</v>
      </c>
      <c r="C39" s="434">
        <f>C40</f>
        <v>921073</v>
      </c>
      <c r="D39" s="154">
        <f>D40</f>
        <v>38889</v>
      </c>
      <c r="E39" s="154">
        <f>E40</f>
        <v>38889</v>
      </c>
      <c r="F39" s="393">
        <f t="shared" si="0"/>
        <v>0</v>
      </c>
      <c r="G39" s="154">
        <f>G40</f>
        <v>38889</v>
      </c>
      <c r="H39" s="393">
        <f t="shared" si="0"/>
        <v>0</v>
      </c>
      <c r="I39" s="154">
        <f>I40</f>
        <v>38889</v>
      </c>
      <c r="J39" s="393">
        <f t="shared" si="0"/>
        <v>0</v>
      </c>
      <c r="K39" s="154">
        <f>K40</f>
        <v>38889</v>
      </c>
      <c r="L39" s="154">
        <f>L40</f>
        <v>38889</v>
      </c>
      <c r="M39" s="259">
        <f t="shared" si="1"/>
        <v>100</v>
      </c>
      <c r="N39" s="2"/>
      <c r="O39" s="2"/>
      <c r="P39" s="2"/>
      <c r="Q39" s="2"/>
      <c r="R39" s="2"/>
      <c r="S39" s="2"/>
    </row>
    <row r="40" spans="1:19" ht="13.5" customHeight="1" x14ac:dyDescent="0.2">
      <c r="A40" s="8"/>
      <c r="B40" s="28" t="s">
        <v>343</v>
      </c>
      <c r="C40" s="159">
        <v>921073</v>
      </c>
      <c r="D40" s="11">
        <f>4004+34885</f>
        <v>38889</v>
      </c>
      <c r="E40" s="11">
        <f>4004+34885</f>
        <v>38889</v>
      </c>
      <c r="F40" s="393">
        <f t="shared" si="0"/>
        <v>0</v>
      </c>
      <c r="G40" s="11">
        <f>4004+34885</f>
        <v>38889</v>
      </c>
      <c r="H40" s="393">
        <f t="shared" si="0"/>
        <v>0</v>
      </c>
      <c r="I40" s="11">
        <f>4004+34885</f>
        <v>38889</v>
      </c>
      <c r="J40" s="393">
        <f t="shared" si="0"/>
        <v>0</v>
      </c>
      <c r="K40" s="11">
        <f>4004+34885</f>
        <v>38889</v>
      </c>
      <c r="L40" s="11">
        <f>4004+34885</f>
        <v>38889</v>
      </c>
      <c r="M40" s="259">
        <f t="shared" si="1"/>
        <v>100</v>
      </c>
      <c r="N40" s="2"/>
      <c r="O40" s="2"/>
      <c r="P40" s="2"/>
      <c r="Q40" s="2"/>
      <c r="R40" s="2"/>
      <c r="S40" s="2"/>
    </row>
    <row r="41" spans="1:19" hidden="1" x14ac:dyDescent="0.2">
      <c r="A41" s="8"/>
      <c r="B41" s="28" t="s">
        <v>411</v>
      </c>
      <c r="C41" s="410"/>
      <c r="D41" s="13">
        <f>(632574-19378-10058-5652)</f>
        <v>597486</v>
      </c>
      <c r="E41" s="13">
        <f>(632574-19378-10058-5652)</f>
        <v>597486</v>
      </c>
      <c r="F41" s="393">
        <f t="shared" si="0"/>
        <v>0</v>
      </c>
      <c r="G41" s="13">
        <f>(632574-19378-10058-5652)</f>
        <v>597486</v>
      </c>
      <c r="H41" s="393">
        <f t="shared" si="0"/>
        <v>0</v>
      </c>
      <c r="I41" s="13">
        <f>(632574-19378-10058-5652)</f>
        <v>597486</v>
      </c>
      <c r="J41" s="393">
        <f t="shared" si="0"/>
        <v>0</v>
      </c>
      <c r="K41" s="13">
        <f>(632574-19378-10058-5652)</f>
        <v>597486</v>
      </c>
      <c r="L41" s="13">
        <f>(632574-19378-10058-5652)</f>
        <v>597486</v>
      </c>
      <c r="M41" s="259">
        <f t="shared" si="1"/>
        <v>100</v>
      </c>
      <c r="N41" s="2"/>
      <c r="O41" s="2"/>
      <c r="P41" s="2"/>
      <c r="Q41" s="2"/>
      <c r="R41" s="2"/>
      <c r="S41" s="2"/>
    </row>
    <row r="42" spans="1:19" hidden="1" x14ac:dyDescent="0.2">
      <c r="A42" s="8"/>
      <c r="B42" s="28" t="s">
        <v>412</v>
      </c>
      <c r="C42" s="410"/>
      <c r="D42" s="13">
        <f>(226930-68956-3881-1049-246-686)</f>
        <v>152112</v>
      </c>
      <c r="E42" s="13">
        <f>(226930-68956-3881-1049-246-686)</f>
        <v>152112</v>
      </c>
      <c r="F42" s="393">
        <f t="shared" si="0"/>
        <v>0</v>
      </c>
      <c r="G42" s="13">
        <f>(226930-68956-3881-1049-246-686)</f>
        <v>152112</v>
      </c>
      <c r="H42" s="393">
        <f t="shared" si="0"/>
        <v>0</v>
      </c>
      <c r="I42" s="13">
        <f>(226930-68956-3881-1049-246-686)</f>
        <v>152112</v>
      </c>
      <c r="J42" s="393">
        <f t="shared" si="0"/>
        <v>0</v>
      </c>
      <c r="K42" s="13">
        <f>(226930-68956-3881-1049-246-686)</f>
        <v>152112</v>
      </c>
      <c r="L42" s="13">
        <f>(226930-68956-3881-1049-246-686)</f>
        <v>152112</v>
      </c>
      <c r="M42" s="259">
        <f t="shared" si="1"/>
        <v>100</v>
      </c>
      <c r="N42" s="2"/>
      <c r="O42" s="2"/>
      <c r="P42" s="2"/>
      <c r="Q42" s="2"/>
      <c r="R42" s="2"/>
      <c r="S42" s="2"/>
    </row>
    <row r="43" spans="1:19" ht="16.5" customHeight="1" thickBot="1" x14ac:dyDescent="0.3">
      <c r="A43" s="8"/>
      <c r="B43" s="18" t="s">
        <v>205</v>
      </c>
      <c r="C43" s="408">
        <v>299586</v>
      </c>
      <c r="D43" s="34">
        <f>SUM(D44:D44)</f>
        <v>0</v>
      </c>
      <c r="E43" s="34">
        <f>SUM(E44:E44)</f>
        <v>0</v>
      </c>
      <c r="F43" s="393">
        <f t="shared" si="0"/>
        <v>0</v>
      </c>
      <c r="G43" s="34">
        <f>SUM(G44:G44)</f>
        <v>0</v>
      </c>
      <c r="H43" s="393">
        <f t="shared" si="0"/>
        <v>0</v>
      </c>
      <c r="I43" s="34">
        <f>SUM(I44:I44)</f>
        <v>0</v>
      </c>
      <c r="J43" s="393">
        <f t="shared" si="0"/>
        <v>0</v>
      </c>
      <c r="K43" s="34">
        <f>SUM(K44:K44)</f>
        <v>0</v>
      </c>
      <c r="L43" s="34">
        <f>SUM(L44:L44)</f>
        <v>0</v>
      </c>
      <c r="M43" s="259"/>
      <c r="N43" s="2"/>
      <c r="O43" s="2"/>
      <c r="P43" s="2"/>
      <c r="Q43" s="2"/>
      <c r="R43" s="2"/>
      <c r="S43" s="2"/>
    </row>
    <row r="44" spans="1:19" ht="13.5" hidden="1" customHeight="1" thickBot="1" x14ac:dyDescent="0.25">
      <c r="A44" s="12"/>
      <c r="B44" s="8" t="s">
        <v>610</v>
      </c>
      <c r="C44" s="188"/>
      <c r="D44" s="11">
        <v>0</v>
      </c>
      <c r="E44" s="11">
        <v>0</v>
      </c>
      <c r="F44" s="11"/>
      <c r="G44" s="11">
        <v>0</v>
      </c>
      <c r="H44" s="11"/>
      <c r="I44" s="11">
        <v>0</v>
      </c>
      <c r="J44" s="11"/>
      <c r="K44" s="11">
        <v>0</v>
      </c>
      <c r="L44" s="11">
        <v>0</v>
      </c>
      <c r="M44" s="259" t="e">
        <f t="shared" si="1"/>
        <v>#DIV/0!</v>
      </c>
      <c r="N44" s="2"/>
      <c r="O44" s="2"/>
      <c r="P44" s="2"/>
      <c r="Q44" s="2"/>
      <c r="R44" s="2"/>
      <c r="S44" s="2"/>
    </row>
    <row r="45" spans="1:19" ht="18.75" customHeight="1" thickBot="1" x14ac:dyDescent="0.4">
      <c r="A45" s="180"/>
      <c r="B45" s="179" t="s">
        <v>296</v>
      </c>
      <c r="C45" s="435">
        <f>SUM(C8+C38)</f>
        <v>1432822</v>
      </c>
      <c r="D45" s="187">
        <f>SUM(D8+D38)</f>
        <v>895723</v>
      </c>
      <c r="E45" s="187">
        <f>SUM(E8+E38)</f>
        <v>945723</v>
      </c>
      <c r="F45" s="394">
        <f>G45-E45</f>
        <v>0</v>
      </c>
      <c r="G45" s="187">
        <f>SUM(G8+G38)</f>
        <v>945723</v>
      </c>
      <c r="H45" s="394">
        <f>I45-G45</f>
        <v>0</v>
      </c>
      <c r="I45" s="187">
        <f>SUM(I8+I38)</f>
        <v>945723</v>
      </c>
      <c r="J45" s="394">
        <f>K45-I45</f>
        <v>808</v>
      </c>
      <c r="K45" s="187">
        <f>SUM(K8+K38)</f>
        <v>946531</v>
      </c>
      <c r="L45" s="187">
        <f>SUM(L8+L38)</f>
        <v>444774</v>
      </c>
      <c r="M45" s="259">
        <f t="shared" si="1"/>
        <v>46.989903130483839</v>
      </c>
      <c r="N45" s="2"/>
      <c r="O45" s="2"/>
      <c r="P45" s="2"/>
      <c r="Q45" s="2"/>
      <c r="R45" s="2"/>
      <c r="S45" s="2"/>
    </row>
    <row r="46" spans="1:19" ht="15.75" x14ac:dyDescent="0.25">
      <c r="A46" s="115" t="s">
        <v>279</v>
      </c>
      <c r="B46" s="185" t="s">
        <v>269</v>
      </c>
      <c r="C46" s="419">
        <f>SUM(C47+C73+C94)</f>
        <v>1578894</v>
      </c>
      <c r="D46" s="139">
        <f>SUM(D47+D73+D94)</f>
        <v>1096190</v>
      </c>
      <c r="E46" s="139">
        <f>SUM(E47+E73+E94)</f>
        <v>1168045</v>
      </c>
      <c r="F46" s="393">
        <f t="shared" ref="F46:J106" si="2">G46-E46</f>
        <v>0</v>
      </c>
      <c r="G46" s="139">
        <f>SUM(G47+G73+G94)</f>
        <v>1168045</v>
      </c>
      <c r="H46" s="393">
        <f t="shared" si="2"/>
        <v>33597</v>
      </c>
      <c r="I46" s="139">
        <f>SUM(I47+I73+I94)</f>
        <v>1201642</v>
      </c>
      <c r="J46" s="393">
        <f t="shared" si="2"/>
        <v>0</v>
      </c>
      <c r="K46" s="139">
        <f>SUM(K47+K73+K94)</f>
        <v>1201642</v>
      </c>
      <c r="L46" s="139">
        <f>SUM(L47+L73+L94)</f>
        <v>361142</v>
      </c>
      <c r="M46" s="259">
        <f t="shared" si="1"/>
        <v>30.054042718213907</v>
      </c>
      <c r="N46" s="2"/>
      <c r="O46" s="2"/>
      <c r="P46" s="2"/>
      <c r="Q46" s="2"/>
      <c r="R46" s="2"/>
      <c r="S46" s="2"/>
    </row>
    <row r="47" spans="1:19" ht="15.75" x14ac:dyDescent="0.25">
      <c r="A47" s="14" t="s">
        <v>203</v>
      </c>
      <c r="B47" s="22" t="s">
        <v>5</v>
      </c>
      <c r="C47" s="401">
        <f>SUM(C48+C70)</f>
        <v>206350</v>
      </c>
      <c r="D47" s="125">
        <f>SUM(D48+D70)</f>
        <v>772610</v>
      </c>
      <c r="E47" s="125">
        <f>SUM(E48+E70)</f>
        <v>794867</v>
      </c>
      <c r="F47" s="393">
        <f t="shared" si="2"/>
        <v>0</v>
      </c>
      <c r="G47" s="125">
        <f>SUM(G48+G70)</f>
        <v>794867</v>
      </c>
      <c r="H47" s="393">
        <f t="shared" si="2"/>
        <v>13000</v>
      </c>
      <c r="I47" s="125">
        <f>SUM(I48+I70)</f>
        <v>807867</v>
      </c>
      <c r="J47" s="393">
        <f t="shared" si="2"/>
        <v>0</v>
      </c>
      <c r="K47" s="125">
        <f>SUM(K48+K70)</f>
        <v>807867</v>
      </c>
      <c r="L47" s="125">
        <f>SUM(L48+L70)</f>
        <v>188483</v>
      </c>
      <c r="M47" s="259">
        <f t="shared" si="1"/>
        <v>23.330944326231918</v>
      </c>
      <c r="N47" s="2"/>
      <c r="O47" s="2"/>
      <c r="P47" s="2"/>
      <c r="Q47" s="2"/>
      <c r="R47" s="2"/>
      <c r="S47" s="2"/>
    </row>
    <row r="48" spans="1:19" ht="14.25" x14ac:dyDescent="0.2">
      <c r="A48" s="14"/>
      <c r="B48" s="23" t="s">
        <v>270</v>
      </c>
      <c r="C48" s="403">
        <f>SUM(C49+C54+C69)</f>
        <v>205647</v>
      </c>
      <c r="D48" s="116">
        <f>SUM(D49+D54+D69)</f>
        <v>771910</v>
      </c>
      <c r="E48" s="116">
        <f>SUM(E49+E54+E69)</f>
        <v>794167</v>
      </c>
      <c r="F48" s="393">
        <f t="shared" si="2"/>
        <v>0</v>
      </c>
      <c r="G48" s="116">
        <f>SUM(G49+G54+G69)</f>
        <v>794167</v>
      </c>
      <c r="H48" s="393">
        <f t="shared" si="2"/>
        <v>13000</v>
      </c>
      <c r="I48" s="116">
        <f>SUM(I49+I54+I69)</f>
        <v>807167</v>
      </c>
      <c r="J48" s="393">
        <f t="shared" si="2"/>
        <v>0</v>
      </c>
      <c r="K48" s="116">
        <f>SUM(K49+K54+K69)</f>
        <v>807167</v>
      </c>
      <c r="L48" s="116">
        <f>SUM(L49+L54+L69)</f>
        <v>188134</v>
      </c>
      <c r="M48" s="259">
        <f t="shared" si="1"/>
        <v>23.307939992591372</v>
      </c>
      <c r="N48" s="2"/>
      <c r="O48" s="2"/>
      <c r="P48" s="2"/>
      <c r="Q48" s="2"/>
      <c r="R48" s="2"/>
      <c r="S48" s="2"/>
    </row>
    <row r="49" spans="1:19" ht="14.25" x14ac:dyDescent="0.2">
      <c r="A49" s="14"/>
      <c r="B49" s="23" t="s">
        <v>274</v>
      </c>
      <c r="C49" s="403">
        <f>SUM(C50:C53)</f>
        <v>0</v>
      </c>
      <c r="D49" s="116">
        <f>SUM(D50:D53)</f>
        <v>636919</v>
      </c>
      <c r="E49" s="116">
        <f>SUM(E50:E53)</f>
        <v>636919</v>
      </c>
      <c r="F49" s="393">
        <f t="shared" si="2"/>
        <v>0</v>
      </c>
      <c r="G49" s="116">
        <f>SUM(G50:G53)</f>
        <v>636919</v>
      </c>
      <c r="H49" s="393">
        <f t="shared" si="2"/>
        <v>0</v>
      </c>
      <c r="I49" s="116">
        <f>SUM(I50:I53)</f>
        <v>636919</v>
      </c>
      <c r="J49" s="393">
        <f t="shared" si="2"/>
        <v>0</v>
      </c>
      <c r="K49" s="116">
        <f>SUM(K50:K53)</f>
        <v>636919</v>
      </c>
      <c r="L49" s="116">
        <f>SUM(L50:L53)</f>
        <v>40970</v>
      </c>
      <c r="M49" s="259">
        <f t="shared" si="1"/>
        <v>6.4325290971065385</v>
      </c>
      <c r="N49" s="2"/>
      <c r="O49" s="2"/>
      <c r="P49" s="2"/>
      <c r="Q49" s="2"/>
      <c r="R49" s="2"/>
      <c r="S49" s="2"/>
    </row>
    <row r="50" spans="1:19" s="260" customFormat="1" ht="25.5" x14ac:dyDescent="0.2">
      <c r="A50" s="383"/>
      <c r="B50" s="374" t="s">
        <v>708</v>
      </c>
      <c r="C50" s="440"/>
      <c r="D50" s="35">
        <v>22225</v>
      </c>
      <c r="E50" s="35">
        <v>22225</v>
      </c>
      <c r="F50" s="393">
        <f t="shared" si="2"/>
        <v>0</v>
      </c>
      <c r="G50" s="35">
        <v>22225</v>
      </c>
      <c r="H50" s="393">
        <f t="shared" si="2"/>
        <v>0</v>
      </c>
      <c r="I50" s="35">
        <v>22225</v>
      </c>
      <c r="J50" s="393">
        <f t="shared" si="2"/>
        <v>0</v>
      </c>
      <c r="K50" s="35">
        <v>22225</v>
      </c>
      <c r="L50" s="35">
        <v>0</v>
      </c>
      <c r="M50" s="259">
        <f t="shared" si="1"/>
        <v>0</v>
      </c>
      <c r="N50" s="63"/>
      <c r="O50" s="63"/>
      <c r="P50" s="63"/>
      <c r="Q50" s="63"/>
      <c r="R50" s="63"/>
      <c r="S50" s="63"/>
    </row>
    <row r="51" spans="1:19" s="260" customFormat="1" ht="25.5" x14ac:dyDescent="0.2">
      <c r="A51" s="383"/>
      <c r="B51" s="374" t="s">
        <v>721</v>
      </c>
      <c r="C51" s="440"/>
      <c r="D51" s="35">
        <v>614694</v>
      </c>
      <c r="E51" s="35">
        <v>614694</v>
      </c>
      <c r="F51" s="393">
        <f t="shared" si="2"/>
        <v>0</v>
      </c>
      <c r="G51" s="35">
        <v>614694</v>
      </c>
      <c r="H51" s="393">
        <f t="shared" si="2"/>
        <v>0</v>
      </c>
      <c r="I51" s="35">
        <v>614694</v>
      </c>
      <c r="J51" s="393">
        <f t="shared" si="2"/>
        <v>0</v>
      </c>
      <c r="K51" s="35">
        <v>614694</v>
      </c>
      <c r="L51" s="35">
        <v>40970</v>
      </c>
      <c r="M51" s="259">
        <f t="shared" si="1"/>
        <v>6.6651049139897252</v>
      </c>
      <c r="N51" s="63"/>
      <c r="O51" s="63"/>
      <c r="P51" s="63"/>
      <c r="Q51" s="63"/>
      <c r="R51" s="63"/>
      <c r="S51" s="63"/>
    </row>
    <row r="52" spans="1:19" ht="6.75" customHeight="1" x14ac:dyDescent="0.2">
      <c r="A52" s="14"/>
      <c r="B52" s="8"/>
      <c r="C52" s="188"/>
      <c r="D52" s="11"/>
      <c r="E52" s="11"/>
      <c r="F52" s="393"/>
      <c r="G52" s="11"/>
      <c r="H52" s="393"/>
      <c r="I52" s="11"/>
      <c r="J52" s="393"/>
      <c r="K52" s="11"/>
      <c r="L52" s="11"/>
      <c r="M52" s="259"/>
      <c r="N52" s="2"/>
      <c r="O52" s="2"/>
      <c r="P52" s="2"/>
      <c r="Q52" s="2"/>
      <c r="R52" s="2"/>
      <c r="S52" s="2"/>
    </row>
    <row r="53" spans="1:19" hidden="1" x14ac:dyDescent="0.2">
      <c r="A53" s="14"/>
      <c r="B53" s="8"/>
      <c r="C53" s="188"/>
      <c r="D53" s="11"/>
      <c r="E53" s="11"/>
      <c r="F53" s="393">
        <f t="shared" si="2"/>
        <v>0</v>
      </c>
      <c r="G53" s="11"/>
      <c r="H53" s="393">
        <f t="shared" si="2"/>
        <v>0</v>
      </c>
      <c r="I53" s="11"/>
      <c r="J53" s="393">
        <f t="shared" si="2"/>
        <v>0</v>
      </c>
      <c r="K53" s="11"/>
      <c r="L53" s="11"/>
      <c r="M53" s="259" t="e">
        <f t="shared" si="1"/>
        <v>#DIV/0!</v>
      </c>
      <c r="N53" s="2"/>
      <c r="O53" s="2"/>
      <c r="P53" s="2"/>
      <c r="Q53" s="2"/>
      <c r="R53" s="2"/>
      <c r="S53" s="2"/>
    </row>
    <row r="54" spans="1:19" x14ac:dyDescent="0.2">
      <c r="A54" s="14"/>
      <c r="B54" s="14" t="s">
        <v>273</v>
      </c>
      <c r="C54" s="402">
        <v>205647</v>
      </c>
      <c r="D54" s="5">
        <f>SUM(D55:D68)</f>
        <v>134991</v>
      </c>
      <c r="E54" s="5">
        <f>SUM(E55:E68)</f>
        <v>157248</v>
      </c>
      <c r="F54" s="393">
        <f t="shared" si="2"/>
        <v>0</v>
      </c>
      <c r="G54" s="5">
        <f>SUM(G55:G68)</f>
        <v>157248</v>
      </c>
      <c r="H54" s="393">
        <f t="shared" si="2"/>
        <v>13000</v>
      </c>
      <c r="I54" s="5">
        <f>SUM(I55:I68)</f>
        <v>170248</v>
      </c>
      <c r="J54" s="393">
        <f t="shared" si="2"/>
        <v>0</v>
      </c>
      <c r="K54" s="5">
        <f>SUM(K55:K68)</f>
        <v>170248</v>
      </c>
      <c r="L54" s="5">
        <f>SUM(L55:L68)</f>
        <v>147164</v>
      </c>
      <c r="M54" s="259">
        <f t="shared" si="1"/>
        <v>86.440956721958557</v>
      </c>
      <c r="N54" s="2"/>
      <c r="O54" s="2"/>
      <c r="P54" s="2"/>
      <c r="Q54" s="2"/>
      <c r="R54" s="2"/>
      <c r="S54" s="2"/>
    </row>
    <row r="55" spans="1:19" x14ac:dyDescent="0.2">
      <c r="A55" s="14"/>
      <c r="B55" s="8" t="s">
        <v>606</v>
      </c>
      <c r="C55" s="188"/>
      <c r="D55" s="13">
        <v>500</v>
      </c>
      <c r="E55" s="13">
        <v>500</v>
      </c>
      <c r="F55" s="393">
        <f t="shared" si="2"/>
        <v>0</v>
      </c>
      <c r="G55" s="13">
        <v>500</v>
      </c>
      <c r="H55" s="393">
        <f t="shared" si="2"/>
        <v>16</v>
      </c>
      <c r="I55" s="13">
        <f>500+16</f>
        <v>516</v>
      </c>
      <c r="J55" s="393">
        <f t="shared" si="2"/>
        <v>19</v>
      </c>
      <c r="K55" s="13">
        <f>500+16+19</f>
        <v>535</v>
      </c>
      <c r="L55" s="13">
        <v>535</v>
      </c>
      <c r="M55" s="259">
        <f t="shared" si="1"/>
        <v>100</v>
      </c>
      <c r="N55" s="2"/>
      <c r="O55" s="2"/>
      <c r="P55" s="2"/>
      <c r="Q55" s="2"/>
      <c r="R55" s="2"/>
      <c r="S55" s="2"/>
    </row>
    <row r="56" spans="1:19" x14ac:dyDescent="0.2">
      <c r="A56" s="14"/>
      <c r="B56" s="8" t="s">
        <v>727</v>
      </c>
      <c r="C56" s="188"/>
      <c r="D56" s="13">
        <f>(100000+25831-62915)</f>
        <v>62916</v>
      </c>
      <c r="E56" s="13">
        <f>(100000+25831-62915)</f>
        <v>62916</v>
      </c>
      <c r="F56" s="393">
        <f t="shared" si="2"/>
        <v>0</v>
      </c>
      <c r="G56" s="13">
        <f>(100000+25831-62915)</f>
        <v>62916</v>
      </c>
      <c r="H56" s="393">
        <f t="shared" si="2"/>
        <v>0</v>
      </c>
      <c r="I56" s="13">
        <f>(100000+25831-62915)</f>
        <v>62916</v>
      </c>
      <c r="J56" s="393">
        <f t="shared" si="2"/>
        <v>0</v>
      </c>
      <c r="K56" s="13">
        <f>(100000+25831-62915)</f>
        <v>62916</v>
      </c>
      <c r="L56" s="13">
        <v>62915</v>
      </c>
      <c r="M56" s="259">
        <f t="shared" si="1"/>
        <v>99.998410579184949</v>
      </c>
      <c r="N56" s="2"/>
      <c r="O56" s="2"/>
      <c r="P56" s="2"/>
      <c r="Q56" s="2"/>
      <c r="R56" s="2"/>
      <c r="S56" s="2"/>
    </row>
    <row r="57" spans="1:19" x14ac:dyDescent="0.2">
      <c r="A57" s="14"/>
      <c r="B57" s="8" t="s">
        <v>707</v>
      </c>
      <c r="C57" s="188"/>
      <c r="D57" s="13">
        <v>500</v>
      </c>
      <c r="E57" s="13">
        <f>500-500</f>
        <v>0</v>
      </c>
      <c r="F57" s="393">
        <f t="shared" si="2"/>
        <v>0</v>
      </c>
      <c r="G57" s="13">
        <f>500-500</f>
        <v>0</v>
      </c>
      <c r="H57" s="393">
        <f t="shared" si="2"/>
        <v>0</v>
      </c>
      <c r="I57" s="13">
        <f>500-500</f>
        <v>0</v>
      </c>
      <c r="J57" s="393">
        <f t="shared" si="2"/>
        <v>0</v>
      </c>
      <c r="K57" s="13">
        <f>500-500</f>
        <v>0</v>
      </c>
      <c r="L57" s="13">
        <f>500-500</f>
        <v>0</v>
      </c>
      <c r="M57" s="259"/>
      <c r="N57" s="2"/>
      <c r="O57" s="2"/>
      <c r="P57" s="2"/>
      <c r="Q57" s="2"/>
      <c r="R57" s="2"/>
      <c r="S57" s="2"/>
    </row>
    <row r="58" spans="1:19" x14ac:dyDescent="0.2">
      <c r="A58" s="14"/>
      <c r="B58" s="8" t="s">
        <v>702</v>
      </c>
      <c r="C58" s="188"/>
      <c r="D58" s="13">
        <f>8685+2400</f>
        <v>11085</v>
      </c>
      <c r="E58" s="13">
        <f>8685+2400</f>
        <v>11085</v>
      </c>
      <c r="F58" s="393">
        <f t="shared" si="2"/>
        <v>-262</v>
      </c>
      <c r="G58" s="13">
        <f>8685+2400-262</f>
        <v>10823</v>
      </c>
      <c r="H58" s="393">
        <f t="shared" si="2"/>
        <v>0</v>
      </c>
      <c r="I58" s="13">
        <f>8685+2400-262</f>
        <v>10823</v>
      </c>
      <c r="J58" s="393">
        <f t="shared" si="2"/>
        <v>-19</v>
      </c>
      <c r="K58" s="13">
        <f>8685+2400-262-19</f>
        <v>10804</v>
      </c>
      <c r="L58" s="13">
        <v>10485</v>
      </c>
      <c r="M58" s="259">
        <f t="shared" si="1"/>
        <v>97.04738985560904</v>
      </c>
      <c r="N58" s="2"/>
      <c r="O58" s="2"/>
      <c r="P58" s="2"/>
      <c r="Q58" s="2"/>
      <c r="R58" s="2"/>
      <c r="S58" s="2"/>
    </row>
    <row r="59" spans="1:19" x14ac:dyDescent="0.2">
      <c r="A59" s="14"/>
      <c r="B59" s="8" t="s">
        <v>749</v>
      </c>
      <c r="C59" s="188"/>
      <c r="D59" s="13">
        <v>50000</v>
      </c>
      <c r="E59" s="13">
        <v>50000</v>
      </c>
      <c r="F59" s="393">
        <f t="shared" si="2"/>
        <v>0</v>
      </c>
      <c r="G59" s="13">
        <v>50000</v>
      </c>
      <c r="H59" s="393">
        <f t="shared" si="2"/>
        <v>20000</v>
      </c>
      <c r="I59" s="13">
        <f>50000+20000</f>
        <v>70000</v>
      </c>
      <c r="J59" s="393">
        <f t="shared" si="2"/>
        <v>0</v>
      </c>
      <c r="K59" s="13">
        <f>50000+20000</f>
        <v>70000</v>
      </c>
      <c r="L59" s="13">
        <v>70000</v>
      </c>
      <c r="M59" s="259">
        <f t="shared" si="1"/>
        <v>100</v>
      </c>
      <c r="N59" s="2"/>
      <c r="O59" s="2"/>
      <c r="P59" s="2"/>
      <c r="Q59" s="2"/>
      <c r="R59" s="2"/>
      <c r="S59" s="2"/>
    </row>
    <row r="60" spans="1:19" x14ac:dyDescent="0.2">
      <c r="A60" s="14"/>
      <c r="B60" s="8" t="s">
        <v>715</v>
      </c>
      <c r="C60" s="188"/>
      <c r="D60" s="13">
        <v>990</v>
      </c>
      <c r="E60" s="13">
        <v>990</v>
      </c>
      <c r="F60" s="393">
        <f t="shared" si="2"/>
        <v>0</v>
      </c>
      <c r="G60" s="13">
        <v>990</v>
      </c>
      <c r="H60" s="393">
        <f t="shared" si="2"/>
        <v>0</v>
      </c>
      <c r="I60" s="13">
        <v>990</v>
      </c>
      <c r="J60" s="393">
        <f t="shared" si="2"/>
        <v>0</v>
      </c>
      <c r="K60" s="13">
        <v>990</v>
      </c>
      <c r="L60" s="13">
        <v>990</v>
      </c>
      <c r="M60" s="259">
        <f t="shared" si="1"/>
        <v>100</v>
      </c>
      <c r="N60" s="2"/>
      <c r="O60" s="2"/>
      <c r="P60" s="2"/>
      <c r="Q60" s="2"/>
      <c r="R60" s="2"/>
      <c r="S60" s="2"/>
    </row>
    <row r="61" spans="1:19" x14ac:dyDescent="0.2">
      <c r="A61" s="14"/>
      <c r="B61" s="8" t="s">
        <v>713</v>
      </c>
      <c r="C61" s="188"/>
      <c r="D61" s="13">
        <v>2000</v>
      </c>
      <c r="E61" s="13">
        <v>2000</v>
      </c>
      <c r="F61" s="393">
        <f t="shared" si="2"/>
        <v>0</v>
      </c>
      <c r="G61" s="13">
        <v>2000</v>
      </c>
      <c r="H61" s="393">
        <f t="shared" si="2"/>
        <v>-2000</v>
      </c>
      <c r="I61" s="13">
        <f>2000-2000</f>
        <v>0</v>
      </c>
      <c r="J61" s="393">
        <f t="shared" si="2"/>
        <v>0</v>
      </c>
      <c r="K61" s="13">
        <f>2000-2000</f>
        <v>0</v>
      </c>
      <c r="L61" s="13">
        <v>0</v>
      </c>
      <c r="M61" s="259"/>
      <c r="N61" s="2"/>
      <c r="O61" s="2"/>
      <c r="P61" s="2"/>
      <c r="Q61" s="2"/>
      <c r="R61" s="2"/>
      <c r="S61" s="2"/>
    </row>
    <row r="62" spans="1:19" x14ac:dyDescent="0.2">
      <c r="A62" s="14"/>
      <c r="B62" s="19" t="s">
        <v>714</v>
      </c>
      <c r="C62" s="409"/>
      <c r="D62" s="13">
        <v>2000</v>
      </c>
      <c r="E62" s="13">
        <v>2000</v>
      </c>
      <c r="F62" s="393">
        <f t="shared" si="2"/>
        <v>-280</v>
      </c>
      <c r="G62" s="13">
        <f>2000-280</f>
        <v>1720</v>
      </c>
      <c r="H62" s="393">
        <f t="shared" si="2"/>
        <v>-16</v>
      </c>
      <c r="I62" s="13">
        <f>2000-280-16</f>
        <v>1704</v>
      </c>
      <c r="J62" s="393">
        <f t="shared" si="2"/>
        <v>0</v>
      </c>
      <c r="K62" s="13">
        <f>2000-280-16</f>
        <v>1704</v>
      </c>
      <c r="L62" s="13">
        <v>1697</v>
      </c>
      <c r="M62" s="259">
        <f t="shared" si="1"/>
        <v>99.589201877934272</v>
      </c>
      <c r="N62" s="2"/>
      <c r="O62" s="2"/>
      <c r="P62" s="2"/>
      <c r="Q62" s="2"/>
      <c r="R62" s="2"/>
      <c r="S62" s="2"/>
    </row>
    <row r="63" spans="1:19" x14ac:dyDescent="0.2">
      <c r="A63" s="14"/>
      <c r="B63" s="8" t="s">
        <v>733</v>
      </c>
      <c r="C63" s="188"/>
      <c r="D63" s="13">
        <v>5000</v>
      </c>
      <c r="E63" s="13">
        <v>5000</v>
      </c>
      <c r="F63" s="393">
        <f t="shared" si="2"/>
        <v>0</v>
      </c>
      <c r="G63" s="13">
        <f>5000</f>
        <v>5000</v>
      </c>
      <c r="H63" s="393">
        <f t="shared" si="2"/>
        <v>-5000</v>
      </c>
      <c r="I63" s="13">
        <f>5000-5000</f>
        <v>0</v>
      </c>
      <c r="J63" s="393">
        <f t="shared" si="2"/>
        <v>0</v>
      </c>
      <c r="K63" s="13">
        <f>5000-5000</f>
        <v>0</v>
      </c>
      <c r="L63" s="13">
        <v>0</v>
      </c>
      <c r="M63" s="259"/>
      <c r="N63" s="2"/>
      <c r="O63" s="2"/>
      <c r="P63" s="2"/>
      <c r="Q63" s="2"/>
      <c r="R63" s="2"/>
      <c r="S63" s="2"/>
    </row>
    <row r="64" spans="1:19" x14ac:dyDescent="0.2">
      <c r="A64" s="14"/>
      <c r="B64" s="8" t="s">
        <v>755</v>
      </c>
      <c r="C64" s="188"/>
      <c r="D64" s="13">
        <v>0</v>
      </c>
      <c r="E64" s="13">
        <f>17919+4838</f>
        <v>22757</v>
      </c>
      <c r="F64" s="393">
        <f t="shared" si="2"/>
        <v>0</v>
      </c>
      <c r="G64" s="13">
        <f>17919+4838</f>
        <v>22757</v>
      </c>
      <c r="H64" s="393">
        <f t="shared" si="2"/>
        <v>0</v>
      </c>
      <c r="I64" s="13">
        <f>17919+4838</f>
        <v>22757</v>
      </c>
      <c r="J64" s="393">
        <f t="shared" si="2"/>
        <v>0</v>
      </c>
      <c r="K64" s="13">
        <f>17919+4838</f>
        <v>22757</v>
      </c>
      <c r="L64" s="13">
        <v>0</v>
      </c>
      <c r="M64" s="259">
        <f t="shared" si="1"/>
        <v>0</v>
      </c>
      <c r="N64" s="2"/>
      <c r="O64" s="2"/>
      <c r="P64" s="2"/>
      <c r="Q64" s="2"/>
      <c r="R64" s="2"/>
      <c r="S64" s="2"/>
    </row>
    <row r="65" spans="1:48" x14ac:dyDescent="0.2">
      <c r="A65" s="14"/>
      <c r="B65" s="8" t="s">
        <v>767</v>
      </c>
      <c r="C65" s="188"/>
      <c r="D65" s="13">
        <v>0</v>
      </c>
      <c r="E65" s="13">
        <v>0</v>
      </c>
      <c r="F65" s="393">
        <f t="shared" si="2"/>
        <v>262</v>
      </c>
      <c r="G65" s="13">
        <v>262</v>
      </c>
      <c r="H65" s="393">
        <f t="shared" si="2"/>
        <v>0</v>
      </c>
      <c r="I65" s="13">
        <v>262</v>
      </c>
      <c r="J65" s="393">
        <f t="shared" si="2"/>
        <v>0</v>
      </c>
      <c r="K65" s="13">
        <v>262</v>
      </c>
      <c r="L65" s="13">
        <v>262</v>
      </c>
      <c r="M65" s="259">
        <f t="shared" si="1"/>
        <v>100</v>
      </c>
      <c r="N65" s="7"/>
      <c r="O65" s="2"/>
      <c r="P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x14ac:dyDescent="0.2">
      <c r="A66" s="14"/>
      <c r="B66" s="8" t="s">
        <v>768</v>
      </c>
      <c r="C66" s="188"/>
      <c r="D66" s="13">
        <v>0</v>
      </c>
      <c r="E66" s="13">
        <v>0</v>
      </c>
      <c r="F66" s="393">
        <f t="shared" si="2"/>
        <v>280</v>
      </c>
      <c r="G66" s="13">
        <v>280</v>
      </c>
      <c r="H66" s="393">
        <f t="shared" si="2"/>
        <v>0</v>
      </c>
      <c r="I66" s="13">
        <v>280</v>
      </c>
      <c r="J66" s="393">
        <f t="shared" si="2"/>
        <v>0</v>
      </c>
      <c r="K66" s="13">
        <v>280</v>
      </c>
      <c r="L66" s="13">
        <v>280</v>
      </c>
      <c r="M66" s="259">
        <f t="shared" si="1"/>
        <v>100</v>
      </c>
      <c r="N66" s="7"/>
      <c r="O66" s="2"/>
      <c r="P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idden="1" x14ac:dyDescent="0.2">
      <c r="A67" s="14"/>
      <c r="B67" s="19"/>
      <c r="C67" s="409"/>
      <c r="D67" s="13">
        <v>0</v>
      </c>
      <c r="E67" s="13">
        <v>0</v>
      </c>
      <c r="F67" s="393">
        <f t="shared" si="2"/>
        <v>0</v>
      </c>
      <c r="G67" s="13">
        <v>0</v>
      </c>
      <c r="H67" s="393">
        <f t="shared" si="2"/>
        <v>0</v>
      </c>
      <c r="I67" s="13">
        <v>0</v>
      </c>
      <c r="J67" s="393">
        <f t="shared" si="2"/>
        <v>0</v>
      </c>
      <c r="K67" s="13">
        <v>0</v>
      </c>
      <c r="L67" s="13">
        <v>0</v>
      </c>
      <c r="M67" s="259" t="e">
        <f t="shared" si="1"/>
        <v>#DIV/0!</v>
      </c>
      <c r="N67" s="2"/>
      <c r="O67" s="2"/>
      <c r="P67" s="2"/>
      <c r="Q67" s="2"/>
      <c r="R67" s="2"/>
      <c r="S67" s="2"/>
    </row>
    <row r="68" spans="1:48" ht="7.5" customHeight="1" x14ac:dyDescent="0.2">
      <c r="A68" s="14"/>
      <c r="B68" s="8"/>
      <c r="C68" s="188"/>
      <c r="D68" s="13"/>
      <c r="E68" s="13"/>
      <c r="F68" s="393"/>
      <c r="G68" s="13"/>
      <c r="H68" s="393"/>
      <c r="I68" s="13"/>
      <c r="J68" s="393"/>
      <c r="K68" s="13"/>
      <c r="L68" s="13"/>
      <c r="M68" s="259"/>
      <c r="N68" s="2"/>
      <c r="O68" s="2"/>
      <c r="P68" s="2"/>
      <c r="Q68" s="2"/>
      <c r="R68" s="2"/>
      <c r="S68" s="2"/>
    </row>
    <row r="69" spans="1:48" x14ac:dyDescent="0.2">
      <c r="A69" s="14"/>
      <c r="B69" s="14" t="s">
        <v>416</v>
      </c>
      <c r="C69" s="406">
        <v>0</v>
      </c>
      <c r="D69" s="5">
        <v>0</v>
      </c>
      <c r="E69" s="5">
        <v>0</v>
      </c>
      <c r="F69" s="393">
        <f t="shared" si="2"/>
        <v>0</v>
      </c>
      <c r="G69" s="5">
        <v>0</v>
      </c>
      <c r="H69" s="393">
        <f t="shared" si="2"/>
        <v>0</v>
      </c>
      <c r="I69" s="5">
        <v>0</v>
      </c>
      <c r="J69" s="393">
        <f t="shared" si="2"/>
        <v>0</v>
      </c>
      <c r="K69" s="5">
        <v>0</v>
      </c>
      <c r="L69" s="5">
        <v>0</v>
      </c>
      <c r="M69" s="259"/>
      <c r="N69" s="2"/>
      <c r="O69" s="2"/>
      <c r="P69" s="2"/>
      <c r="Q69" s="2"/>
      <c r="R69" s="2"/>
      <c r="S69" s="2"/>
    </row>
    <row r="70" spans="1:48" ht="13.5" customHeight="1" x14ac:dyDescent="0.2">
      <c r="A70" s="14"/>
      <c r="B70" s="14" t="s">
        <v>303</v>
      </c>
      <c r="C70" s="402">
        <f>SUM(C71)</f>
        <v>703</v>
      </c>
      <c r="D70" s="5">
        <f>SUM(D71)</f>
        <v>700</v>
      </c>
      <c r="E70" s="5">
        <f>SUM(E71)</f>
        <v>700</v>
      </c>
      <c r="F70" s="393">
        <f t="shared" si="2"/>
        <v>0</v>
      </c>
      <c r="G70" s="5">
        <f>SUM(G71)</f>
        <v>700</v>
      </c>
      <c r="H70" s="393">
        <f t="shared" si="2"/>
        <v>0</v>
      </c>
      <c r="I70" s="5">
        <f>SUM(I71)</f>
        <v>700</v>
      </c>
      <c r="J70" s="393">
        <f t="shared" si="2"/>
        <v>0</v>
      </c>
      <c r="K70" s="5">
        <f>SUM(K71)</f>
        <v>700</v>
      </c>
      <c r="L70" s="5">
        <f>SUM(L71)</f>
        <v>349</v>
      </c>
      <c r="M70" s="259">
        <f t="shared" si="1"/>
        <v>49.857142857142854</v>
      </c>
      <c r="N70" s="2"/>
      <c r="O70" s="2"/>
      <c r="P70" s="2"/>
      <c r="Q70" s="2"/>
      <c r="R70" s="2"/>
      <c r="S70" s="2"/>
    </row>
    <row r="71" spans="1:48" ht="13.5" customHeight="1" x14ac:dyDescent="0.2">
      <c r="A71" s="14"/>
      <c r="B71" s="8" t="s">
        <v>417</v>
      </c>
      <c r="C71" s="188">
        <v>703</v>
      </c>
      <c r="D71" s="13">
        <f>'9.Hivatal'!Y83</f>
        <v>700</v>
      </c>
      <c r="E71" s="13">
        <f>'9.Hivatal'!Z83</f>
        <v>700</v>
      </c>
      <c r="F71" s="393">
        <f t="shared" si="2"/>
        <v>0</v>
      </c>
      <c r="G71" s="13">
        <f>'9.Hivatal'!AA83</f>
        <v>700</v>
      </c>
      <c r="H71" s="393">
        <f t="shared" si="2"/>
        <v>0</v>
      </c>
      <c r="I71" s="13">
        <f>'9.Hivatal'!AA83</f>
        <v>700</v>
      </c>
      <c r="J71" s="393">
        <f t="shared" si="2"/>
        <v>0</v>
      </c>
      <c r="K71" s="13">
        <f>'9.Hivatal'!AC83</f>
        <v>700</v>
      </c>
      <c r="L71" s="13">
        <f>'9.Hivatal'!AD83</f>
        <v>349</v>
      </c>
      <c r="M71" s="259">
        <f t="shared" si="1"/>
        <v>49.857142857142854</v>
      </c>
      <c r="N71" s="2"/>
      <c r="O71" s="2"/>
      <c r="P71" s="2"/>
      <c r="Q71" s="2"/>
      <c r="R71" s="2"/>
      <c r="S71" s="2"/>
    </row>
    <row r="72" spans="1:48" hidden="1" x14ac:dyDescent="0.2">
      <c r="A72" s="14"/>
      <c r="B72" s="8"/>
      <c r="C72" s="188"/>
      <c r="D72" s="13"/>
      <c r="E72" s="13"/>
      <c r="F72" s="393">
        <f t="shared" si="2"/>
        <v>0</v>
      </c>
      <c r="G72" s="13"/>
      <c r="H72" s="393">
        <f t="shared" si="2"/>
        <v>0</v>
      </c>
      <c r="I72" s="13"/>
      <c r="J72" s="393">
        <f t="shared" si="2"/>
        <v>0</v>
      </c>
      <c r="K72" s="13"/>
      <c r="L72" s="13"/>
      <c r="M72" s="259" t="e">
        <f t="shared" si="1"/>
        <v>#DIV/0!</v>
      </c>
      <c r="N72" s="2"/>
      <c r="O72" s="2"/>
      <c r="P72" s="2"/>
      <c r="Q72" s="2"/>
      <c r="R72" s="2"/>
      <c r="S72" s="2"/>
    </row>
    <row r="73" spans="1:48" ht="15.75" customHeight="1" x14ac:dyDescent="0.25">
      <c r="A73" s="14" t="s">
        <v>282</v>
      </c>
      <c r="B73" s="22" t="s">
        <v>1</v>
      </c>
      <c r="C73" s="401">
        <f>SUM(C74+C79)</f>
        <v>522079</v>
      </c>
      <c r="D73" s="125">
        <f>SUM(D74+D79)</f>
        <v>323580</v>
      </c>
      <c r="E73" s="125">
        <f>SUM(E74+E79)</f>
        <v>373178</v>
      </c>
      <c r="F73" s="393">
        <f t="shared" si="2"/>
        <v>0</v>
      </c>
      <c r="G73" s="125">
        <f>SUM(G74+G79)</f>
        <v>373178</v>
      </c>
      <c r="H73" s="393">
        <f t="shared" si="2"/>
        <v>20597</v>
      </c>
      <c r="I73" s="125">
        <f>SUM(I74+I79)</f>
        <v>393775</v>
      </c>
      <c r="J73" s="393">
        <f t="shared" si="2"/>
        <v>0</v>
      </c>
      <c r="K73" s="125">
        <f>SUM(K74+K79)</f>
        <v>393775</v>
      </c>
      <c r="L73" s="125">
        <f>SUM(L74+L79)</f>
        <v>172659</v>
      </c>
      <c r="M73" s="259">
        <f t="shared" ref="M73:M107" si="3">(L73/K73)*100</f>
        <v>43.847120817725859</v>
      </c>
      <c r="N73" s="2"/>
      <c r="O73" s="2"/>
      <c r="P73" s="2"/>
      <c r="Q73" s="2"/>
      <c r="R73" s="2"/>
      <c r="S73" s="2"/>
    </row>
    <row r="74" spans="1:48" ht="13.5" customHeight="1" x14ac:dyDescent="0.2">
      <c r="A74" s="14"/>
      <c r="B74" s="14" t="s">
        <v>2</v>
      </c>
      <c r="C74" s="403">
        <f>SUM(C75:C78)</f>
        <v>0</v>
      </c>
      <c r="D74" s="116">
        <f>SUM(D75:D78)</f>
        <v>323580</v>
      </c>
      <c r="E74" s="116">
        <f>SUM(E75:E78)</f>
        <v>323580</v>
      </c>
      <c r="F74" s="393">
        <f t="shared" si="2"/>
        <v>0</v>
      </c>
      <c r="G74" s="116">
        <f>SUM(G75:G78)</f>
        <v>323580</v>
      </c>
      <c r="H74" s="393">
        <f t="shared" si="2"/>
        <v>0</v>
      </c>
      <c r="I74" s="116">
        <f>SUM(I75:I78)</f>
        <v>323580</v>
      </c>
      <c r="J74" s="393">
        <f t="shared" si="2"/>
        <v>0</v>
      </c>
      <c r="K74" s="116">
        <f>SUM(K75:K78)</f>
        <v>323580</v>
      </c>
      <c r="L74" s="116">
        <f>SUM(L75:L78)</f>
        <v>139309</v>
      </c>
      <c r="M74" s="259">
        <f t="shared" si="3"/>
        <v>43.0524136225972</v>
      </c>
      <c r="N74" s="2"/>
      <c r="O74" s="2"/>
      <c r="P74" s="2"/>
      <c r="Q74" s="2"/>
      <c r="R74" s="2"/>
      <c r="S74" s="2"/>
    </row>
    <row r="75" spans="1:48" ht="25.5" x14ac:dyDescent="0.2">
      <c r="A75" s="14"/>
      <c r="B75" s="19" t="s">
        <v>722</v>
      </c>
      <c r="C75" s="409"/>
      <c r="D75" s="75">
        <v>239450</v>
      </c>
      <c r="E75" s="75">
        <v>239450</v>
      </c>
      <c r="F75" s="393">
        <f t="shared" si="2"/>
        <v>0</v>
      </c>
      <c r="G75" s="75">
        <v>239450</v>
      </c>
      <c r="H75" s="393">
        <f t="shared" si="2"/>
        <v>0</v>
      </c>
      <c r="I75" s="75">
        <v>239450</v>
      </c>
      <c r="J75" s="393">
        <f t="shared" si="2"/>
        <v>0</v>
      </c>
      <c r="K75" s="75">
        <v>239450</v>
      </c>
      <c r="L75" s="75">
        <v>139309</v>
      </c>
      <c r="M75" s="259">
        <f t="shared" si="3"/>
        <v>58.178742952599706</v>
      </c>
      <c r="N75" s="2"/>
      <c r="O75" s="2"/>
      <c r="P75" s="2"/>
      <c r="Q75" s="2"/>
      <c r="R75" s="2"/>
      <c r="S75" s="2"/>
    </row>
    <row r="76" spans="1:48" x14ac:dyDescent="0.2">
      <c r="A76" s="14"/>
      <c r="B76" s="8" t="s">
        <v>549</v>
      </c>
      <c r="C76" s="188"/>
      <c r="D76" s="11">
        <v>84130</v>
      </c>
      <c r="E76" s="11">
        <v>84130</v>
      </c>
      <c r="F76" s="393">
        <f t="shared" si="2"/>
        <v>0</v>
      </c>
      <c r="G76" s="11">
        <v>84130</v>
      </c>
      <c r="H76" s="393">
        <f t="shared" si="2"/>
        <v>0</v>
      </c>
      <c r="I76" s="11">
        <v>84130</v>
      </c>
      <c r="J76" s="393">
        <f t="shared" si="2"/>
        <v>0</v>
      </c>
      <c r="K76" s="11">
        <v>84130</v>
      </c>
      <c r="L76" s="11">
        <v>0</v>
      </c>
      <c r="M76" s="259">
        <f t="shared" si="3"/>
        <v>0</v>
      </c>
      <c r="N76" s="2"/>
      <c r="O76" s="2"/>
      <c r="P76" s="2"/>
      <c r="Q76" s="2"/>
      <c r="R76" s="2"/>
      <c r="S76" s="2"/>
    </row>
    <row r="77" spans="1:48" ht="13.5" hidden="1" customHeight="1" x14ac:dyDescent="0.2">
      <c r="A77" s="14"/>
      <c r="B77" s="8"/>
      <c r="C77" s="188"/>
      <c r="D77" s="11"/>
      <c r="E77" s="11"/>
      <c r="F77" s="393">
        <f t="shared" si="2"/>
        <v>0</v>
      </c>
      <c r="G77" s="11"/>
      <c r="H77" s="393">
        <f t="shared" si="2"/>
        <v>0</v>
      </c>
      <c r="I77" s="11"/>
      <c r="J77" s="393">
        <f t="shared" si="2"/>
        <v>0</v>
      </c>
      <c r="K77" s="11"/>
      <c r="L77" s="11"/>
      <c r="M77" s="259" t="e">
        <f t="shared" si="3"/>
        <v>#DIV/0!</v>
      </c>
      <c r="N77" s="2"/>
      <c r="O77" s="2"/>
      <c r="P77" s="2"/>
      <c r="Q77" s="2"/>
      <c r="R77" s="2"/>
      <c r="S77" s="2"/>
    </row>
    <row r="78" spans="1:48" ht="7.5" customHeight="1" x14ac:dyDescent="0.2">
      <c r="A78" s="14"/>
      <c r="B78" s="8"/>
      <c r="C78" s="188"/>
      <c r="D78" s="11"/>
      <c r="E78" s="11"/>
      <c r="F78" s="393"/>
      <c r="G78" s="11"/>
      <c r="H78" s="393"/>
      <c r="I78" s="11"/>
      <c r="J78" s="393"/>
      <c r="K78" s="11"/>
      <c r="L78" s="11"/>
      <c r="M78" s="259"/>
      <c r="N78" s="2"/>
      <c r="O78" s="2"/>
      <c r="P78" s="2"/>
      <c r="Q78" s="2"/>
      <c r="R78" s="2"/>
      <c r="S78" s="2"/>
    </row>
    <row r="79" spans="1:48" ht="13.5" customHeight="1" x14ac:dyDescent="0.2">
      <c r="A79" s="14"/>
      <c r="B79" s="14" t="s">
        <v>271</v>
      </c>
      <c r="C79" s="403">
        <v>522079</v>
      </c>
      <c r="D79" s="116">
        <f>SUM(D80:D93)</f>
        <v>0</v>
      </c>
      <c r="E79" s="116">
        <f>SUM(E80:E93)</f>
        <v>49598</v>
      </c>
      <c r="F79" s="393">
        <f t="shared" si="2"/>
        <v>0</v>
      </c>
      <c r="G79" s="116">
        <f>SUM(G80:G93)</f>
        <v>49598</v>
      </c>
      <c r="H79" s="393">
        <f t="shared" si="2"/>
        <v>20597</v>
      </c>
      <c r="I79" s="116">
        <f>SUM(I80:I93)</f>
        <v>70195</v>
      </c>
      <c r="J79" s="393">
        <f t="shared" si="2"/>
        <v>0</v>
      </c>
      <c r="K79" s="116">
        <f>SUM(K80:K93)</f>
        <v>70195</v>
      </c>
      <c r="L79" s="116">
        <f>SUM(L80:L93)</f>
        <v>33350</v>
      </c>
      <c r="M79" s="259">
        <f t="shared" si="3"/>
        <v>47.510506446328087</v>
      </c>
      <c r="N79" s="2"/>
      <c r="O79" s="2"/>
      <c r="P79" s="2"/>
      <c r="Q79" s="2"/>
      <c r="R79" s="2"/>
      <c r="S79" s="2"/>
    </row>
    <row r="80" spans="1:48" ht="13.5" customHeight="1" x14ac:dyDescent="0.2">
      <c r="A80" s="14"/>
      <c r="B80" s="8" t="s">
        <v>756</v>
      </c>
      <c r="C80" s="188"/>
      <c r="D80" s="11">
        <v>0</v>
      </c>
      <c r="E80" s="11">
        <f>39053+10545</f>
        <v>49598</v>
      </c>
      <c r="F80" s="393">
        <f t="shared" si="2"/>
        <v>0</v>
      </c>
      <c r="G80" s="11">
        <f>39053+10545</f>
        <v>49598</v>
      </c>
      <c r="H80" s="393">
        <f t="shared" si="2"/>
        <v>0</v>
      </c>
      <c r="I80" s="11">
        <f>39053+10545</f>
        <v>49598</v>
      </c>
      <c r="J80" s="393">
        <f t="shared" si="2"/>
        <v>0</v>
      </c>
      <c r="K80" s="11">
        <f>39053+10545</f>
        <v>49598</v>
      </c>
      <c r="L80" s="11">
        <v>27171</v>
      </c>
      <c r="M80" s="259">
        <f t="shared" si="3"/>
        <v>54.782450905278438</v>
      </c>
      <c r="N80" s="2"/>
      <c r="O80" s="2"/>
      <c r="P80" s="2"/>
      <c r="Q80" s="2"/>
      <c r="R80" s="2"/>
      <c r="S80" s="2"/>
    </row>
    <row r="81" spans="1:19" ht="12.75" customHeight="1" x14ac:dyDescent="0.2">
      <c r="A81" s="14"/>
      <c r="B81" s="8" t="s">
        <v>810</v>
      </c>
      <c r="C81" s="188"/>
      <c r="D81" s="13">
        <v>0</v>
      </c>
      <c r="E81" s="13"/>
      <c r="F81" s="393">
        <f t="shared" si="2"/>
        <v>0</v>
      </c>
      <c r="G81" s="13"/>
      <c r="H81" s="393">
        <f t="shared" si="2"/>
        <v>20597</v>
      </c>
      <c r="I81" s="13">
        <v>20597</v>
      </c>
      <c r="J81" s="393">
        <f t="shared" si="2"/>
        <v>0</v>
      </c>
      <c r="K81" s="13">
        <v>20597</v>
      </c>
      <c r="L81" s="13">
        <v>6179</v>
      </c>
      <c r="M81" s="259">
        <f t="shared" si="3"/>
        <v>29.999514492401808</v>
      </c>
      <c r="N81" s="2"/>
      <c r="O81" s="2"/>
      <c r="P81" s="2"/>
      <c r="Q81" s="2"/>
      <c r="R81" s="2"/>
      <c r="S81" s="2"/>
    </row>
    <row r="82" spans="1:19" ht="13.5" hidden="1" customHeight="1" x14ac:dyDescent="0.2">
      <c r="A82" s="14"/>
      <c r="B82" s="8"/>
      <c r="C82" s="188"/>
      <c r="D82" s="13">
        <v>0</v>
      </c>
      <c r="E82" s="13">
        <v>0</v>
      </c>
      <c r="F82" s="393">
        <f t="shared" si="2"/>
        <v>0</v>
      </c>
      <c r="G82" s="13">
        <v>0</v>
      </c>
      <c r="H82" s="393">
        <f t="shared" si="2"/>
        <v>0</v>
      </c>
      <c r="I82" s="13">
        <v>0</v>
      </c>
      <c r="J82" s="393">
        <f t="shared" si="2"/>
        <v>0</v>
      </c>
      <c r="K82" s="13">
        <v>0</v>
      </c>
      <c r="L82" s="13">
        <v>0</v>
      </c>
      <c r="M82" s="259" t="e">
        <f t="shared" si="3"/>
        <v>#DIV/0!</v>
      </c>
      <c r="N82" s="2"/>
      <c r="O82" s="2"/>
      <c r="P82" s="2"/>
      <c r="Q82" s="2"/>
      <c r="R82" s="2"/>
      <c r="S82" s="2"/>
    </row>
    <row r="83" spans="1:19" ht="13.5" hidden="1" customHeight="1" x14ac:dyDescent="0.2">
      <c r="A83" s="14"/>
      <c r="B83" s="8"/>
      <c r="C83" s="188"/>
      <c r="D83" s="13">
        <v>0</v>
      </c>
      <c r="E83" s="13">
        <v>0</v>
      </c>
      <c r="F83" s="393">
        <f t="shared" si="2"/>
        <v>0</v>
      </c>
      <c r="G83" s="13">
        <v>0</v>
      </c>
      <c r="H83" s="393">
        <f t="shared" si="2"/>
        <v>0</v>
      </c>
      <c r="I83" s="13">
        <v>0</v>
      </c>
      <c r="J83" s="393">
        <f t="shared" si="2"/>
        <v>0</v>
      </c>
      <c r="K83" s="13">
        <v>0</v>
      </c>
      <c r="L83" s="13">
        <v>0</v>
      </c>
      <c r="M83" s="259" t="e">
        <f t="shared" si="3"/>
        <v>#DIV/0!</v>
      </c>
      <c r="N83" s="2"/>
      <c r="O83" s="2"/>
      <c r="P83" s="2"/>
      <c r="Q83" s="2"/>
      <c r="R83" s="2"/>
      <c r="S83" s="2"/>
    </row>
    <row r="84" spans="1:19" ht="13.5" hidden="1" customHeight="1" x14ac:dyDescent="0.2">
      <c r="A84" s="14"/>
      <c r="B84" s="8"/>
      <c r="C84" s="188"/>
      <c r="D84" s="11">
        <v>0</v>
      </c>
      <c r="E84" s="11">
        <v>0</v>
      </c>
      <c r="F84" s="393">
        <f t="shared" si="2"/>
        <v>0</v>
      </c>
      <c r="G84" s="11">
        <v>0</v>
      </c>
      <c r="H84" s="393">
        <f t="shared" si="2"/>
        <v>0</v>
      </c>
      <c r="I84" s="11">
        <v>0</v>
      </c>
      <c r="J84" s="393">
        <f t="shared" si="2"/>
        <v>0</v>
      </c>
      <c r="K84" s="11">
        <v>0</v>
      </c>
      <c r="L84" s="11">
        <v>0</v>
      </c>
      <c r="M84" s="259" t="e">
        <f t="shared" si="3"/>
        <v>#DIV/0!</v>
      </c>
      <c r="N84" s="2"/>
      <c r="O84" s="2"/>
      <c r="P84" s="2"/>
      <c r="Q84" s="2"/>
      <c r="R84" s="2"/>
      <c r="S84" s="2"/>
    </row>
    <row r="85" spans="1:19" ht="13.5" hidden="1" customHeight="1" x14ac:dyDescent="0.2">
      <c r="A85" s="14"/>
      <c r="B85" s="8"/>
      <c r="C85" s="188"/>
      <c r="D85" s="11">
        <v>0</v>
      </c>
      <c r="E85" s="11">
        <v>0</v>
      </c>
      <c r="F85" s="393">
        <f t="shared" si="2"/>
        <v>0</v>
      </c>
      <c r="G85" s="11">
        <v>0</v>
      </c>
      <c r="H85" s="393">
        <f t="shared" si="2"/>
        <v>0</v>
      </c>
      <c r="I85" s="11">
        <v>0</v>
      </c>
      <c r="J85" s="393">
        <f t="shared" si="2"/>
        <v>0</v>
      </c>
      <c r="K85" s="11">
        <v>0</v>
      </c>
      <c r="L85" s="11">
        <v>0</v>
      </c>
      <c r="M85" s="259" t="e">
        <f t="shared" si="3"/>
        <v>#DIV/0!</v>
      </c>
      <c r="N85" s="2"/>
      <c r="O85" s="2"/>
      <c r="P85" s="2"/>
      <c r="Q85" s="2"/>
      <c r="R85" s="2"/>
      <c r="S85" s="2"/>
    </row>
    <row r="86" spans="1:19" ht="13.5" hidden="1" customHeight="1" x14ac:dyDescent="0.2">
      <c r="A86" s="14"/>
      <c r="B86" s="8"/>
      <c r="C86" s="188"/>
      <c r="D86" s="11">
        <v>0</v>
      </c>
      <c r="E86" s="11">
        <v>0</v>
      </c>
      <c r="F86" s="393">
        <f t="shared" si="2"/>
        <v>0</v>
      </c>
      <c r="G86" s="11">
        <v>0</v>
      </c>
      <c r="H86" s="393">
        <f t="shared" si="2"/>
        <v>0</v>
      </c>
      <c r="I86" s="11">
        <v>0</v>
      </c>
      <c r="J86" s="393">
        <f t="shared" si="2"/>
        <v>0</v>
      </c>
      <c r="K86" s="11">
        <v>0</v>
      </c>
      <c r="L86" s="11">
        <v>0</v>
      </c>
      <c r="M86" s="259" t="e">
        <f t="shared" si="3"/>
        <v>#DIV/0!</v>
      </c>
      <c r="N86" s="2"/>
      <c r="O86" s="2"/>
      <c r="P86" s="2"/>
      <c r="Q86" s="2"/>
      <c r="R86" s="2"/>
      <c r="S86" s="2"/>
    </row>
    <row r="87" spans="1:19" ht="13.5" hidden="1" customHeight="1" x14ac:dyDescent="0.2">
      <c r="A87" s="14"/>
      <c r="B87" s="8"/>
      <c r="C87" s="188"/>
      <c r="D87" s="11">
        <v>0</v>
      </c>
      <c r="E87" s="11">
        <v>0</v>
      </c>
      <c r="F87" s="393">
        <f t="shared" si="2"/>
        <v>0</v>
      </c>
      <c r="G87" s="11">
        <v>0</v>
      </c>
      <c r="H87" s="393">
        <f t="shared" si="2"/>
        <v>0</v>
      </c>
      <c r="I87" s="11">
        <v>0</v>
      </c>
      <c r="J87" s="393">
        <f t="shared" si="2"/>
        <v>0</v>
      </c>
      <c r="K87" s="11">
        <v>0</v>
      </c>
      <c r="L87" s="11">
        <v>0</v>
      </c>
      <c r="M87" s="259" t="e">
        <f t="shared" si="3"/>
        <v>#DIV/0!</v>
      </c>
      <c r="N87" s="2"/>
      <c r="O87" s="2"/>
      <c r="P87" s="2"/>
      <c r="Q87" s="2"/>
      <c r="R87" s="2"/>
      <c r="S87" s="2"/>
    </row>
    <row r="88" spans="1:19" ht="13.5" hidden="1" customHeight="1" x14ac:dyDescent="0.2">
      <c r="A88" s="14"/>
      <c r="B88" s="8"/>
      <c r="C88" s="188"/>
      <c r="D88" s="11"/>
      <c r="E88" s="11"/>
      <c r="F88" s="393">
        <f t="shared" si="2"/>
        <v>0</v>
      </c>
      <c r="G88" s="11"/>
      <c r="H88" s="393">
        <f t="shared" si="2"/>
        <v>0</v>
      </c>
      <c r="I88" s="11"/>
      <c r="J88" s="393">
        <f t="shared" si="2"/>
        <v>0</v>
      </c>
      <c r="K88" s="11"/>
      <c r="L88" s="11"/>
      <c r="M88" s="259" t="e">
        <f t="shared" si="3"/>
        <v>#DIV/0!</v>
      </c>
      <c r="N88" s="2"/>
      <c r="O88" s="2"/>
      <c r="P88" s="2"/>
      <c r="Q88" s="2"/>
      <c r="R88" s="2"/>
      <c r="S88" s="2"/>
    </row>
    <row r="89" spans="1:19" ht="13.5" hidden="1" customHeight="1" x14ac:dyDescent="0.2">
      <c r="A89" s="14"/>
      <c r="B89" s="8"/>
      <c r="C89" s="188"/>
      <c r="D89" s="11"/>
      <c r="E89" s="11"/>
      <c r="F89" s="393">
        <f t="shared" si="2"/>
        <v>0</v>
      </c>
      <c r="G89" s="11"/>
      <c r="H89" s="393">
        <f t="shared" si="2"/>
        <v>0</v>
      </c>
      <c r="I89" s="11"/>
      <c r="J89" s="393">
        <f t="shared" si="2"/>
        <v>0</v>
      </c>
      <c r="K89" s="11"/>
      <c r="L89" s="11"/>
      <c r="M89" s="259" t="e">
        <f t="shared" si="3"/>
        <v>#DIV/0!</v>
      </c>
      <c r="N89" s="2"/>
      <c r="O89" s="2"/>
      <c r="P89" s="2"/>
      <c r="Q89" s="2"/>
      <c r="R89" s="2"/>
      <c r="S89" s="2"/>
    </row>
    <row r="90" spans="1:19" ht="13.5" hidden="1" customHeight="1" x14ac:dyDescent="0.2">
      <c r="A90" s="14"/>
      <c r="B90" s="8"/>
      <c r="C90" s="188"/>
      <c r="D90" s="11"/>
      <c r="E90" s="11"/>
      <c r="F90" s="393">
        <f t="shared" si="2"/>
        <v>0</v>
      </c>
      <c r="G90" s="11"/>
      <c r="H90" s="393">
        <f t="shared" si="2"/>
        <v>0</v>
      </c>
      <c r="I90" s="11"/>
      <c r="J90" s="393">
        <f t="shared" si="2"/>
        <v>0</v>
      </c>
      <c r="K90" s="11"/>
      <c r="L90" s="11"/>
      <c r="M90" s="259" t="e">
        <f t="shared" si="3"/>
        <v>#DIV/0!</v>
      </c>
      <c r="N90" s="2"/>
      <c r="O90" s="2"/>
      <c r="P90" s="2"/>
      <c r="Q90" s="2"/>
      <c r="R90" s="2"/>
      <c r="S90" s="2"/>
    </row>
    <row r="91" spans="1:19" ht="13.5" hidden="1" customHeight="1" x14ac:dyDescent="0.2">
      <c r="A91" s="14"/>
      <c r="B91" s="8"/>
      <c r="C91" s="188"/>
      <c r="D91" s="11"/>
      <c r="E91" s="11"/>
      <c r="F91" s="393">
        <f t="shared" si="2"/>
        <v>0</v>
      </c>
      <c r="G91" s="11"/>
      <c r="H91" s="393">
        <f t="shared" si="2"/>
        <v>0</v>
      </c>
      <c r="I91" s="11"/>
      <c r="J91" s="393">
        <f t="shared" si="2"/>
        <v>0</v>
      </c>
      <c r="K91" s="11"/>
      <c r="L91" s="11"/>
      <c r="M91" s="259" t="e">
        <f t="shared" si="3"/>
        <v>#DIV/0!</v>
      </c>
      <c r="N91" s="2"/>
      <c r="O91" s="2"/>
      <c r="P91" s="2"/>
      <c r="Q91" s="2"/>
      <c r="R91" s="2"/>
      <c r="S91" s="2"/>
    </row>
    <row r="92" spans="1:19" ht="13.5" hidden="1" customHeight="1" x14ac:dyDescent="0.2">
      <c r="A92" s="14"/>
      <c r="B92" s="8"/>
      <c r="C92" s="188"/>
      <c r="D92" s="11"/>
      <c r="E92" s="11"/>
      <c r="F92" s="393">
        <f t="shared" si="2"/>
        <v>0</v>
      </c>
      <c r="G92" s="11"/>
      <c r="H92" s="393">
        <f t="shared" si="2"/>
        <v>0</v>
      </c>
      <c r="I92" s="11"/>
      <c r="J92" s="393">
        <f t="shared" si="2"/>
        <v>0</v>
      </c>
      <c r="K92" s="11"/>
      <c r="L92" s="11"/>
      <c r="M92" s="259" t="e">
        <f t="shared" si="3"/>
        <v>#DIV/0!</v>
      </c>
      <c r="N92" s="2"/>
      <c r="O92" s="2"/>
      <c r="P92" s="2"/>
      <c r="Q92" s="2"/>
      <c r="R92" s="2"/>
      <c r="S92" s="2"/>
    </row>
    <row r="93" spans="1:19" ht="7.5" customHeight="1" x14ac:dyDescent="0.2">
      <c r="A93" s="14"/>
      <c r="B93" s="8"/>
      <c r="C93" s="188"/>
      <c r="D93" s="11"/>
      <c r="E93" s="11"/>
      <c r="F93" s="393"/>
      <c r="G93" s="11"/>
      <c r="H93" s="393"/>
      <c r="I93" s="11"/>
      <c r="J93" s="393"/>
      <c r="K93" s="11"/>
      <c r="L93" s="11"/>
      <c r="M93" s="259"/>
      <c r="N93" s="2"/>
      <c r="O93" s="2"/>
      <c r="P93" s="2"/>
      <c r="Q93" s="2"/>
      <c r="R93" s="2"/>
      <c r="S93" s="2"/>
    </row>
    <row r="94" spans="1:19" ht="15" x14ac:dyDescent="0.25">
      <c r="A94" s="14" t="s">
        <v>281</v>
      </c>
      <c r="B94" s="22" t="s">
        <v>11</v>
      </c>
      <c r="C94" s="420">
        <v>850465</v>
      </c>
      <c r="D94" s="38">
        <f>SUM(D95:D99)</f>
        <v>0</v>
      </c>
      <c r="E94" s="38">
        <f>SUM(E95:E99)</f>
        <v>0</v>
      </c>
      <c r="F94" s="393">
        <f t="shared" si="2"/>
        <v>0</v>
      </c>
      <c r="G94" s="38">
        <f>SUM(G95:G99)</f>
        <v>0</v>
      </c>
      <c r="H94" s="393">
        <f t="shared" si="2"/>
        <v>0</v>
      </c>
      <c r="I94" s="38">
        <f>SUM(I95:I99)</f>
        <v>0</v>
      </c>
      <c r="J94" s="393">
        <f t="shared" si="2"/>
        <v>0</v>
      </c>
      <c r="K94" s="38">
        <f>SUM(K95:K99)</f>
        <v>0</v>
      </c>
      <c r="L94" s="38">
        <f>SUM(L95:L99)</f>
        <v>0</v>
      </c>
      <c r="M94" s="259"/>
      <c r="N94" s="2"/>
      <c r="O94" s="2"/>
      <c r="P94" s="2"/>
      <c r="Q94" s="2"/>
      <c r="R94" s="2"/>
      <c r="S94" s="2"/>
    </row>
    <row r="95" spans="1:19" ht="13.5" hidden="1" customHeight="1" x14ac:dyDescent="0.2">
      <c r="A95" s="8" t="s">
        <v>492</v>
      </c>
      <c r="B95" s="19" t="s">
        <v>660</v>
      </c>
      <c r="C95" s="409"/>
      <c r="D95" s="13">
        <v>0</v>
      </c>
      <c r="E95" s="13">
        <v>0</v>
      </c>
      <c r="F95" s="393">
        <f t="shared" si="2"/>
        <v>0</v>
      </c>
      <c r="G95" s="13">
        <v>0</v>
      </c>
      <c r="H95" s="393">
        <f t="shared" si="2"/>
        <v>0</v>
      </c>
      <c r="I95" s="13">
        <v>0</v>
      </c>
      <c r="J95" s="393">
        <f t="shared" si="2"/>
        <v>0</v>
      </c>
      <c r="K95" s="13">
        <v>0</v>
      </c>
      <c r="L95" s="13">
        <v>0</v>
      </c>
      <c r="M95" s="259" t="e">
        <f t="shared" si="3"/>
        <v>#DIV/0!</v>
      </c>
      <c r="N95" s="2"/>
      <c r="O95" s="2"/>
      <c r="P95" s="2"/>
      <c r="Q95" s="2"/>
      <c r="R95" s="2"/>
      <c r="S95" s="2"/>
    </row>
    <row r="96" spans="1:19" ht="13.5" hidden="1" customHeight="1" x14ac:dyDescent="0.2">
      <c r="A96" s="8" t="s">
        <v>492</v>
      </c>
      <c r="B96" s="19" t="s">
        <v>661</v>
      </c>
      <c r="C96" s="409"/>
      <c r="D96" s="13">
        <v>0</v>
      </c>
      <c r="E96" s="13">
        <v>0</v>
      </c>
      <c r="F96" s="393">
        <f t="shared" si="2"/>
        <v>0</v>
      </c>
      <c r="G96" s="13">
        <v>0</v>
      </c>
      <c r="H96" s="393">
        <f t="shared" si="2"/>
        <v>0</v>
      </c>
      <c r="I96" s="13">
        <v>0</v>
      </c>
      <c r="J96" s="393">
        <f t="shared" si="2"/>
        <v>0</v>
      </c>
      <c r="K96" s="13">
        <v>0</v>
      </c>
      <c r="L96" s="13">
        <v>0</v>
      </c>
      <c r="M96" s="259" t="e">
        <f t="shared" si="3"/>
        <v>#DIV/0!</v>
      </c>
      <c r="N96" s="2"/>
      <c r="O96" s="2"/>
      <c r="P96" s="2"/>
      <c r="Q96" s="2"/>
      <c r="R96" s="2"/>
      <c r="S96" s="2"/>
    </row>
    <row r="97" spans="1:19" ht="13.5" hidden="1" customHeight="1" x14ac:dyDescent="0.2">
      <c r="A97" s="8" t="s">
        <v>492</v>
      </c>
      <c r="B97" s="19" t="s">
        <v>662</v>
      </c>
      <c r="C97" s="409"/>
      <c r="D97" s="13">
        <v>0</v>
      </c>
      <c r="E97" s="13">
        <v>0</v>
      </c>
      <c r="F97" s="393">
        <f t="shared" si="2"/>
        <v>0</v>
      </c>
      <c r="G97" s="13">
        <v>0</v>
      </c>
      <c r="H97" s="393">
        <f t="shared" si="2"/>
        <v>0</v>
      </c>
      <c r="I97" s="13">
        <v>0</v>
      </c>
      <c r="J97" s="393">
        <f t="shared" si="2"/>
        <v>0</v>
      </c>
      <c r="K97" s="13">
        <v>0</v>
      </c>
      <c r="L97" s="13">
        <v>0</v>
      </c>
      <c r="M97" s="259" t="e">
        <f t="shared" si="3"/>
        <v>#DIV/0!</v>
      </c>
      <c r="N97" s="2"/>
      <c r="O97" s="2"/>
      <c r="P97" s="2"/>
      <c r="Q97" s="2"/>
      <c r="R97" s="2"/>
      <c r="S97" s="2"/>
    </row>
    <row r="98" spans="1:19" ht="13.5" hidden="1" customHeight="1" x14ac:dyDescent="0.2">
      <c r="A98" s="8" t="s">
        <v>495</v>
      </c>
      <c r="B98" s="19" t="s">
        <v>506</v>
      </c>
      <c r="C98" s="409"/>
      <c r="D98" s="13">
        <v>0</v>
      </c>
      <c r="E98" s="13">
        <v>0</v>
      </c>
      <c r="F98" s="393">
        <f t="shared" si="2"/>
        <v>0</v>
      </c>
      <c r="G98" s="13">
        <v>0</v>
      </c>
      <c r="H98" s="393">
        <f t="shared" si="2"/>
        <v>0</v>
      </c>
      <c r="I98" s="13">
        <v>0</v>
      </c>
      <c r="J98" s="393">
        <f t="shared" si="2"/>
        <v>0</v>
      </c>
      <c r="K98" s="13">
        <v>0</v>
      </c>
      <c r="L98" s="13">
        <v>0</v>
      </c>
      <c r="M98" s="259" t="e">
        <f t="shared" si="3"/>
        <v>#DIV/0!</v>
      </c>
      <c r="N98" s="2"/>
      <c r="O98" s="2"/>
      <c r="P98" s="2"/>
      <c r="Q98" s="2"/>
      <c r="R98" s="2"/>
      <c r="S98" s="2"/>
    </row>
    <row r="99" spans="1:19" hidden="1" x14ac:dyDescent="0.2">
      <c r="A99" s="14"/>
      <c r="B99" s="8" t="s">
        <v>620</v>
      </c>
      <c r="C99" s="188"/>
      <c r="D99" s="13">
        <f>609635-609635</f>
        <v>0</v>
      </c>
      <c r="E99" s="13">
        <f>609635-609635</f>
        <v>0</v>
      </c>
      <c r="F99" s="393">
        <f t="shared" si="2"/>
        <v>0</v>
      </c>
      <c r="G99" s="13">
        <f>609635-609635</f>
        <v>0</v>
      </c>
      <c r="H99" s="393">
        <f t="shared" si="2"/>
        <v>0</v>
      </c>
      <c r="I99" s="13">
        <f>609635-609635</f>
        <v>0</v>
      </c>
      <c r="J99" s="393">
        <f t="shared" si="2"/>
        <v>0</v>
      </c>
      <c r="K99" s="13">
        <f>609635-609635</f>
        <v>0</v>
      </c>
      <c r="L99" s="13">
        <f>609635-609635</f>
        <v>0</v>
      </c>
      <c r="M99" s="259" t="e">
        <f t="shared" si="3"/>
        <v>#DIV/0!</v>
      </c>
      <c r="N99" s="2"/>
      <c r="O99" s="2"/>
      <c r="P99" s="2"/>
      <c r="Q99" s="2"/>
      <c r="R99" s="2"/>
      <c r="S99" s="2"/>
    </row>
    <row r="100" spans="1:19" hidden="1" x14ac:dyDescent="0.2">
      <c r="A100" s="14"/>
      <c r="B100" s="8" t="s">
        <v>480</v>
      </c>
      <c r="C100" s="188"/>
      <c r="D100" s="13">
        <v>0</v>
      </c>
      <c r="E100" s="13">
        <v>0</v>
      </c>
      <c r="F100" s="393">
        <f t="shared" si="2"/>
        <v>0</v>
      </c>
      <c r="G100" s="13">
        <v>0</v>
      </c>
      <c r="H100" s="393">
        <f t="shared" si="2"/>
        <v>0</v>
      </c>
      <c r="I100" s="13">
        <v>0</v>
      </c>
      <c r="J100" s="393">
        <f t="shared" si="2"/>
        <v>0</v>
      </c>
      <c r="K100" s="13">
        <v>0</v>
      </c>
      <c r="L100" s="13">
        <v>0</v>
      </c>
      <c r="M100" s="259" t="e">
        <f t="shared" si="3"/>
        <v>#DIV/0!</v>
      </c>
      <c r="N100" s="2"/>
      <c r="O100" s="2"/>
      <c r="P100" s="2"/>
      <c r="Q100" s="2"/>
      <c r="R100" s="2"/>
      <c r="S100" s="2"/>
    </row>
    <row r="101" spans="1:19" ht="15.75" x14ac:dyDescent="0.2">
      <c r="A101" s="14" t="s">
        <v>160</v>
      </c>
      <c r="B101" s="150" t="s">
        <v>272</v>
      </c>
      <c r="C101" s="437">
        <f>SUM(C102+C105+C106)</f>
        <v>85394</v>
      </c>
      <c r="D101" s="272">
        <f>SUM(D102+D105+D106)</f>
        <v>94210</v>
      </c>
      <c r="E101" s="272">
        <f>SUM(E102+E105+E106)</f>
        <v>94210</v>
      </c>
      <c r="F101" s="393">
        <f t="shared" si="2"/>
        <v>0</v>
      </c>
      <c r="G101" s="272">
        <f>SUM(G102+G105+G106)</f>
        <v>94210</v>
      </c>
      <c r="H101" s="393">
        <f t="shared" si="2"/>
        <v>0</v>
      </c>
      <c r="I101" s="272">
        <f>SUM(I102+I105+I106)</f>
        <v>94210</v>
      </c>
      <c r="J101" s="393">
        <f t="shared" si="2"/>
        <v>0</v>
      </c>
      <c r="K101" s="272">
        <f>SUM(K102+K105+K106)</f>
        <v>94210</v>
      </c>
      <c r="L101" s="272">
        <f>SUM(L102+L105+L106)</f>
        <v>94210</v>
      </c>
      <c r="M101" s="259">
        <f t="shared" si="3"/>
        <v>100</v>
      </c>
      <c r="N101" s="2"/>
      <c r="O101" s="2"/>
      <c r="P101" s="2"/>
      <c r="Q101" s="2"/>
      <c r="R101" s="2"/>
      <c r="S101" s="2"/>
    </row>
    <row r="102" spans="1:19" ht="15" customHeight="1" x14ac:dyDescent="0.2">
      <c r="A102" s="14"/>
      <c r="B102" s="152" t="s">
        <v>299</v>
      </c>
      <c r="C102" s="437">
        <f>SUM(C104)</f>
        <v>85394</v>
      </c>
      <c r="D102" s="273">
        <f>SUM(D104)</f>
        <v>94210</v>
      </c>
      <c r="E102" s="273">
        <f>SUM(E104)</f>
        <v>94210</v>
      </c>
      <c r="F102" s="393">
        <f t="shared" si="2"/>
        <v>0</v>
      </c>
      <c r="G102" s="273">
        <f>SUM(G104)</f>
        <v>94210</v>
      </c>
      <c r="H102" s="393">
        <f t="shared" si="2"/>
        <v>0</v>
      </c>
      <c r="I102" s="273">
        <f>SUM(I104)</f>
        <v>94210</v>
      </c>
      <c r="J102" s="393">
        <f t="shared" si="2"/>
        <v>0</v>
      </c>
      <c r="K102" s="273">
        <f>SUM(K104)</f>
        <v>94210</v>
      </c>
      <c r="L102" s="273">
        <f>SUM(L104)</f>
        <v>94210</v>
      </c>
      <c r="M102" s="259">
        <f t="shared" si="3"/>
        <v>100</v>
      </c>
      <c r="N102" s="2"/>
      <c r="O102" s="2"/>
      <c r="P102" s="2"/>
      <c r="Q102" s="2"/>
      <c r="R102" s="2"/>
      <c r="S102" s="2"/>
    </row>
    <row r="103" spans="1:19" ht="13.5" hidden="1" customHeight="1" x14ac:dyDescent="0.2">
      <c r="A103" s="14"/>
      <c r="B103" s="184" t="s">
        <v>300</v>
      </c>
      <c r="C103" s="433"/>
      <c r="D103" s="151"/>
      <c r="E103" s="151"/>
      <c r="F103" s="393">
        <f t="shared" si="2"/>
        <v>0</v>
      </c>
      <c r="G103" s="151"/>
      <c r="H103" s="393">
        <f t="shared" si="2"/>
        <v>0</v>
      </c>
      <c r="I103" s="151"/>
      <c r="J103" s="393">
        <f t="shared" si="2"/>
        <v>0</v>
      </c>
      <c r="K103" s="151"/>
      <c r="L103" s="151"/>
      <c r="M103" s="259" t="e">
        <f t="shared" si="3"/>
        <v>#DIV/0!</v>
      </c>
      <c r="N103" s="2"/>
      <c r="O103" s="2"/>
      <c r="P103" s="2"/>
      <c r="Q103" s="2"/>
      <c r="R103" s="2"/>
      <c r="S103" s="2"/>
    </row>
    <row r="104" spans="1:19" ht="13.5" customHeight="1" x14ac:dyDescent="0.2">
      <c r="A104" s="14"/>
      <c r="B104" s="184" t="s">
        <v>747</v>
      </c>
      <c r="C104" s="104">
        <v>85394</v>
      </c>
      <c r="D104" s="75">
        <v>94210</v>
      </c>
      <c r="E104" s="75">
        <v>94210</v>
      </c>
      <c r="F104" s="393">
        <f t="shared" si="2"/>
        <v>0</v>
      </c>
      <c r="G104" s="75">
        <v>94210</v>
      </c>
      <c r="H104" s="393">
        <f t="shared" si="2"/>
        <v>0</v>
      </c>
      <c r="I104" s="75">
        <v>94210</v>
      </c>
      <c r="J104" s="393">
        <f t="shared" si="2"/>
        <v>0</v>
      </c>
      <c r="K104" s="75">
        <v>94210</v>
      </c>
      <c r="L104" s="75">
        <v>94210</v>
      </c>
      <c r="M104" s="259">
        <f t="shared" si="3"/>
        <v>100</v>
      </c>
      <c r="N104" s="2"/>
      <c r="O104" s="2"/>
      <c r="P104" s="2"/>
      <c r="Q104" s="2"/>
      <c r="R104" s="2"/>
      <c r="S104" s="2"/>
    </row>
    <row r="105" spans="1:19" ht="15" customHeight="1" x14ac:dyDescent="0.2">
      <c r="A105" s="14"/>
      <c r="B105" s="152" t="s">
        <v>301</v>
      </c>
      <c r="C105" s="438">
        <v>0</v>
      </c>
      <c r="D105" s="151">
        <v>0</v>
      </c>
      <c r="E105" s="151">
        <v>0</v>
      </c>
      <c r="F105" s="393">
        <f t="shared" si="2"/>
        <v>0</v>
      </c>
      <c r="G105" s="151">
        <v>0</v>
      </c>
      <c r="H105" s="393">
        <f t="shared" si="2"/>
        <v>0</v>
      </c>
      <c r="I105" s="151">
        <v>0</v>
      </c>
      <c r="J105" s="393">
        <f t="shared" si="2"/>
        <v>0</v>
      </c>
      <c r="K105" s="151">
        <v>0</v>
      </c>
      <c r="L105" s="151">
        <v>0</v>
      </c>
      <c r="M105" s="259"/>
      <c r="N105" s="2"/>
      <c r="O105" s="2"/>
      <c r="P105" s="2"/>
      <c r="Q105" s="2"/>
      <c r="R105" s="2"/>
      <c r="S105" s="2"/>
    </row>
    <row r="106" spans="1:19" ht="15" customHeight="1" thickBot="1" x14ac:dyDescent="0.25">
      <c r="A106" s="21"/>
      <c r="B106" s="149" t="s">
        <v>302</v>
      </c>
      <c r="C106" s="439">
        <v>0</v>
      </c>
      <c r="D106" s="140">
        <v>0</v>
      </c>
      <c r="E106" s="140">
        <v>0</v>
      </c>
      <c r="F106" s="393">
        <f t="shared" si="2"/>
        <v>0</v>
      </c>
      <c r="G106" s="140">
        <v>0</v>
      </c>
      <c r="H106" s="393">
        <f t="shared" si="2"/>
        <v>0</v>
      </c>
      <c r="I106" s="140">
        <v>0</v>
      </c>
      <c r="J106" s="393">
        <f t="shared" si="2"/>
        <v>0</v>
      </c>
      <c r="K106" s="140">
        <v>0</v>
      </c>
      <c r="L106" s="140">
        <v>0</v>
      </c>
      <c r="M106" s="259"/>
      <c r="N106" s="2"/>
      <c r="O106" s="2"/>
      <c r="P106" s="2"/>
      <c r="Q106" s="2"/>
      <c r="R106" s="2"/>
      <c r="S106" s="2"/>
    </row>
    <row r="107" spans="1:19" ht="20.25" customHeight="1" thickBot="1" x14ac:dyDescent="0.4">
      <c r="A107" s="180"/>
      <c r="B107" s="209" t="s">
        <v>298</v>
      </c>
      <c r="C107" s="435">
        <f>SUM(C46+C101)</f>
        <v>1664288</v>
      </c>
      <c r="D107" s="187">
        <f>SUM(D46+D101)</f>
        <v>1190400</v>
      </c>
      <c r="E107" s="187">
        <f>SUM(E46+E101)</f>
        <v>1262255</v>
      </c>
      <c r="F107" s="394">
        <f>G107-E107</f>
        <v>0</v>
      </c>
      <c r="G107" s="187">
        <f>SUM(G46+G101)</f>
        <v>1262255</v>
      </c>
      <c r="H107" s="394">
        <f>I107-G107</f>
        <v>33597</v>
      </c>
      <c r="I107" s="187">
        <f>SUM(I46+I101)</f>
        <v>1295852</v>
      </c>
      <c r="J107" s="394">
        <f>K107-I107</f>
        <v>0</v>
      </c>
      <c r="K107" s="187">
        <f>SUM(K46+K101)</f>
        <v>1295852</v>
      </c>
      <c r="L107" s="187">
        <f>SUM(L46+L101)</f>
        <v>455352</v>
      </c>
      <c r="M107" s="259">
        <f t="shared" si="3"/>
        <v>35.139197994832742</v>
      </c>
      <c r="N107" s="2"/>
      <c r="O107" s="2"/>
      <c r="P107" s="2"/>
      <c r="Q107" s="2"/>
      <c r="R107" s="2"/>
      <c r="S107" s="2"/>
    </row>
    <row r="108" spans="1:19" ht="15.75" hidden="1" customHeight="1" x14ac:dyDescent="0.2">
      <c r="B108" s="2"/>
      <c r="C108" s="26"/>
      <c r="D108" s="7">
        <f>SUM(D45-D107)</f>
        <v>-294677</v>
      </c>
      <c r="E108" s="7">
        <f>SUM(E45-E107)</f>
        <v>-316532</v>
      </c>
      <c r="F108" s="7"/>
      <c r="G108" s="7">
        <f>SUM(G45-G107)</f>
        <v>-316532</v>
      </c>
      <c r="H108" s="7"/>
      <c r="I108" s="7">
        <f>SUM(I45-I107)</f>
        <v>-350129</v>
      </c>
      <c r="J108" s="7"/>
      <c r="K108" s="7"/>
      <c r="L108" s="7">
        <f>SUM(L45-L107)</f>
        <v>-10578</v>
      </c>
      <c r="M108" s="7"/>
      <c r="N108" s="2"/>
      <c r="O108" s="2"/>
      <c r="P108" s="2"/>
      <c r="Q108" s="2"/>
      <c r="R108" s="2"/>
      <c r="S108" s="2"/>
    </row>
    <row r="109" spans="1:19" s="135" customFormat="1" ht="13.5" hidden="1" customHeight="1" x14ac:dyDescent="0.2">
      <c r="A109" s="82"/>
      <c r="B109" s="135" t="s">
        <v>262</v>
      </c>
      <c r="C109" s="9"/>
      <c r="D109" s="33">
        <f>SUM(D45-D107)</f>
        <v>-294677</v>
      </c>
      <c r="M109" s="7"/>
      <c r="N109" s="82"/>
      <c r="O109" s="82"/>
      <c r="P109" s="82"/>
      <c r="Q109" s="82"/>
      <c r="R109" s="82"/>
      <c r="S109" s="82"/>
    </row>
    <row r="110" spans="1:19" s="135" customFormat="1" ht="13.5" hidden="1" customHeight="1" x14ac:dyDescent="0.2">
      <c r="A110" s="82"/>
      <c r="B110" s="216" t="s">
        <v>500</v>
      </c>
      <c r="C110" s="436"/>
      <c r="D110" s="33" t="e">
        <f>-SUM('8.Önk.'!#REF!)</f>
        <v>#REF!</v>
      </c>
      <c r="E110" s="33"/>
      <c r="F110" s="33"/>
      <c r="G110" s="33"/>
      <c r="H110" s="33"/>
      <c r="I110" s="33"/>
      <c r="J110" s="33"/>
      <c r="K110" s="33"/>
      <c r="L110" s="33"/>
      <c r="M110" s="2"/>
      <c r="N110" s="82"/>
      <c r="O110" s="82"/>
      <c r="P110" s="82"/>
      <c r="Q110" s="82"/>
      <c r="R110" s="82"/>
      <c r="S110" s="82"/>
    </row>
    <row r="111" spans="1:19" s="135" customFormat="1" ht="13.5" hidden="1" customHeight="1" x14ac:dyDescent="0.2">
      <c r="A111" s="82"/>
      <c r="B111" s="135" t="s">
        <v>501</v>
      </c>
      <c r="C111" s="9"/>
      <c r="D111" s="33">
        <f>-SUM('8.Önk.'!X155)</f>
        <v>-19822</v>
      </c>
      <c r="M111" s="2"/>
      <c r="N111" s="82"/>
      <c r="O111" s="82"/>
      <c r="P111" s="82"/>
      <c r="Q111" s="82"/>
      <c r="R111" s="82"/>
      <c r="S111" s="82"/>
    </row>
    <row r="112" spans="1:19" s="135" customFormat="1" ht="13.5" customHeight="1" x14ac:dyDescent="0.2">
      <c r="A112" s="82"/>
      <c r="C112" s="9"/>
      <c r="D112" s="134"/>
      <c r="E112" s="134"/>
      <c r="F112" s="134"/>
      <c r="H112" s="134"/>
      <c r="J112" s="134"/>
      <c r="M112" s="2"/>
      <c r="N112" s="82"/>
      <c r="O112" s="82"/>
      <c r="P112" s="82"/>
      <c r="Q112" s="82"/>
      <c r="R112" s="82"/>
      <c r="S112" s="82"/>
    </row>
    <row r="113" spans="1:19" s="135" customFormat="1" ht="13.5" customHeight="1" x14ac:dyDescent="0.2">
      <c r="A113" s="82"/>
      <c r="C113" s="9"/>
      <c r="D113" s="134"/>
      <c r="M113" s="2"/>
      <c r="N113" s="82"/>
      <c r="O113" s="82"/>
      <c r="P113" s="82"/>
      <c r="Q113" s="82"/>
      <c r="R113" s="82"/>
      <c r="S113" s="82"/>
    </row>
    <row r="114" spans="1:19" s="135" customFormat="1" ht="13.5" customHeight="1" x14ac:dyDescent="0.2">
      <c r="A114" s="82"/>
      <c r="C114" s="9"/>
      <c r="M114" s="2"/>
      <c r="N114" s="82"/>
      <c r="O114" s="82"/>
      <c r="P114" s="82"/>
      <c r="Q114" s="82"/>
      <c r="R114" s="82"/>
      <c r="S114" s="82"/>
    </row>
    <row r="115" spans="1:19" s="135" customFormat="1" ht="13.5" customHeight="1" x14ac:dyDescent="0.2">
      <c r="A115" s="82"/>
      <c r="C115" s="9"/>
      <c r="M115" s="2"/>
      <c r="N115" s="82"/>
      <c r="O115" s="82"/>
      <c r="P115" s="82"/>
      <c r="Q115" s="82"/>
      <c r="R115" s="82"/>
      <c r="S115" s="82"/>
    </row>
    <row r="116" spans="1:19" s="135" customFormat="1" ht="13.5" customHeight="1" x14ac:dyDescent="0.2">
      <c r="A116" s="82"/>
      <c r="C116" s="9"/>
      <c r="M116" s="2"/>
      <c r="N116" s="82"/>
      <c r="O116" s="82"/>
      <c r="P116" s="82"/>
      <c r="Q116" s="82"/>
      <c r="R116" s="82"/>
      <c r="S116" s="82"/>
    </row>
    <row r="117" spans="1:19" s="135" customFormat="1" ht="13.5" customHeight="1" x14ac:dyDescent="0.2">
      <c r="A117" s="82"/>
      <c r="C117" s="9"/>
      <c r="M117" s="2"/>
      <c r="N117" s="82"/>
      <c r="O117" s="82"/>
      <c r="P117" s="82"/>
      <c r="Q117" s="82"/>
      <c r="R117" s="82"/>
      <c r="S117" s="82"/>
    </row>
    <row r="118" spans="1:19" s="135" customFormat="1" ht="13.5" customHeight="1" x14ac:dyDescent="0.2">
      <c r="A118" s="82"/>
      <c r="C118" s="9"/>
      <c r="M118" s="2"/>
      <c r="N118" s="82"/>
      <c r="O118" s="82"/>
      <c r="P118" s="82"/>
      <c r="Q118" s="82"/>
      <c r="R118" s="82"/>
      <c r="S118" s="82"/>
    </row>
    <row r="119" spans="1:19" s="135" customFormat="1" ht="13.5" customHeight="1" x14ac:dyDescent="0.2">
      <c r="A119" s="82"/>
      <c r="C119" s="9"/>
      <c r="M119" s="2"/>
      <c r="N119" s="82"/>
      <c r="O119" s="82"/>
      <c r="P119" s="82"/>
      <c r="Q119" s="82"/>
      <c r="R119" s="82"/>
      <c r="S119" s="82"/>
    </row>
    <row r="120" spans="1:19" s="135" customFormat="1" ht="13.5" customHeight="1" x14ac:dyDescent="0.2">
      <c r="A120" s="82"/>
      <c r="C120" s="9"/>
      <c r="M120" s="2"/>
      <c r="N120" s="82"/>
      <c r="O120" s="82"/>
      <c r="P120" s="82"/>
      <c r="Q120" s="82"/>
      <c r="R120" s="82"/>
      <c r="S120" s="82"/>
    </row>
    <row r="121" spans="1:19" s="135" customFormat="1" ht="13.5" customHeight="1" x14ac:dyDescent="0.2">
      <c r="A121" s="82"/>
      <c r="C121" s="9"/>
      <c r="M121" s="2"/>
      <c r="N121" s="82"/>
      <c r="O121" s="82"/>
      <c r="P121" s="82"/>
      <c r="Q121" s="82"/>
      <c r="R121" s="82"/>
      <c r="S121" s="82"/>
    </row>
    <row r="122" spans="1:19" s="135" customFormat="1" ht="13.5" customHeight="1" x14ac:dyDescent="0.2">
      <c r="A122" s="82"/>
      <c r="C122" s="9"/>
      <c r="M122" s="2"/>
      <c r="N122" s="82"/>
      <c r="O122" s="82"/>
      <c r="P122" s="82"/>
      <c r="Q122" s="82"/>
      <c r="R122" s="82"/>
      <c r="S122" s="82"/>
    </row>
    <row r="123" spans="1:19" s="135" customFormat="1" ht="13.5" customHeight="1" x14ac:dyDescent="0.2">
      <c r="A123" s="82"/>
      <c r="C123" s="9"/>
      <c r="M123" s="2"/>
      <c r="N123" s="82"/>
      <c r="O123" s="82"/>
      <c r="P123" s="82"/>
      <c r="Q123" s="82"/>
      <c r="R123" s="82"/>
      <c r="S123" s="82"/>
    </row>
    <row r="124" spans="1:19" s="135" customFormat="1" ht="13.5" customHeight="1" x14ac:dyDescent="0.2">
      <c r="A124" s="82"/>
      <c r="C124" s="9"/>
      <c r="M124" s="2"/>
      <c r="N124" s="82"/>
      <c r="O124" s="82"/>
      <c r="P124" s="82"/>
      <c r="Q124" s="82"/>
      <c r="R124" s="82"/>
      <c r="S124" s="82"/>
    </row>
    <row r="125" spans="1:19" ht="15.75" customHeight="1" x14ac:dyDescent="0.2">
      <c r="B125" s="2"/>
      <c r="C125" s="26"/>
      <c r="D125" s="155"/>
      <c r="E125" s="155"/>
      <c r="F125" s="155"/>
      <c r="G125" s="155"/>
      <c r="H125" s="155"/>
      <c r="I125" s="155"/>
      <c r="J125" s="155"/>
      <c r="K125" s="155"/>
      <c r="L125" s="155"/>
      <c r="M125" s="2"/>
      <c r="N125" s="2"/>
      <c r="O125" s="2"/>
      <c r="P125" s="2"/>
      <c r="Q125" s="2"/>
      <c r="R125" s="2"/>
      <c r="S125" s="2"/>
    </row>
    <row r="126" spans="1:19" ht="15.75" customHeight="1" x14ac:dyDescent="0.2">
      <c r="B126" s="2"/>
      <c r="C126" s="26"/>
      <c r="D126" s="7"/>
      <c r="E126" s="7"/>
      <c r="F126" s="7"/>
      <c r="G126" s="7"/>
      <c r="H126" s="7"/>
      <c r="I126" s="7"/>
      <c r="J126" s="7"/>
      <c r="K126" s="7"/>
      <c r="L126" s="7"/>
      <c r="M126" s="2"/>
      <c r="N126" s="2"/>
      <c r="O126" s="2"/>
      <c r="P126" s="2"/>
      <c r="Q126" s="2"/>
      <c r="R126" s="2"/>
      <c r="S126" s="2"/>
    </row>
    <row r="127" spans="1:19" ht="15.75" customHeight="1" x14ac:dyDescent="0.2">
      <c r="B127" s="2"/>
      <c r="C127" s="26"/>
      <c r="D127" s="7"/>
      <c r="E127" s="7"/>
      <c r="F127" s="7"/>
      <c r="G127" s="7"/>
      <c r="H127" s="7"/>
      <c r="I127" s="7"/>
      <c r="J127" s="7"/>
      <c r="K127" s="7"/>
      <c r="L127" s="7"/>
      <c r="M127" s="2"/>
      <c r="N127" s="2"/>
      <c r="O127" s="2"/>
      <c r="P127" s="2"/>
      <c r="Q127" s="2"/>
      <c r="R127" s="2"/>
      <c r="S127" s="2"/>
    </row>
    <row r="128" spans="1:19" ht="15.75" customHeight="1" x14ac:dyDescent="0.2">
      <c r="B128" s="2"/>
      <c r="C128" s="2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 x14ac:dyDescent="0.2">
      <c r="B129" s="2"/>
      <c r="C129" s="2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 x14ac:dyDescent="0.2">
      <c r="B130" s="2"/>
      <c r="C130" s="2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 x14ac:dyDescent="0.2">
      <c r="B131" s="2"/>
      <c r="C131" s="2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 x14ac:dyDescent="0.2">
      <c r="B132" s="2"/>
      <c r="C132" s="2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 x14ac:dyDescent="0.2">
      <c r="B133" s="2"/>
      <c r="C133" s="2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 x14ac:dyDescent="0.2">
      <c r="A134"/>
      <c r="B134" s="2"/>
      <c r="C134" s="2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 x14ac:dyDescent="0.2">
      <c r="A135"/>
      <c r="B135" s="2"/>
      <c r="C135" s="2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 x14ac:dyDescent="0.2">
      <c r="A136"/>
      <c r="B136" s="2"/>
      <c r="C136" s="2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 x14ac:dyDescent="0.2">
      <c r="A137"/>
      <c r="B137" s="2"/>
      <c r="C137" s="2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 x14ac:dyDescent="0.2">
      <c r="A138"/>
      <c r="B138" s="2"/>
      <c r="C138" s="2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 x14ac:dyDescent="0.2">
      <c r="A139"/>
      <c r="B139" s="2"/>
      <c r="C139" s="2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 x14ac:dyDescent="0.2">
      <c r="A140"/>
      <c r="B140" s="2"/>
      <c r="C140" s="2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 x14ac:dyDescent="0.2">
      <c r="A141"/>
      <c r="B141" s="2"/>
      <c r="C141" s="2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 x14ac:dyDescent="0.2">
      <c r="A142"/>
      <c r="B142" s="2"/>
      <c r="C142" s="2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 x14ac:dyDescent="0.2">
      <c r="A143"/>
      <c r="B143" s="2"/>
      <c r="C143" s="2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 x14ac:dyDescent="0.2">
      <c r="A144"/>
      <c r="B144" s="2"/>
      <c r="C144" s="2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 x14ac:dyDescent="0.2">
      <c r="A145"/>
      <c r="B145" s="2"/>
      <c r="C145" s="2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 x14ac:dyDescent="0.2">
      <c r="A146"/>
      <c r="B146" s="2"/>
      <c r="C146" s="2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 x14ac:dyDescent="0.2">
      <c r="A147"/>
      <c r="B147" s="2"/>
      <c r="C147" s="2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 x14ac:dyDescent="0.2">
      <c r="A148"/>
      <c r="B148" s="2"/>
      <c r="C148" s="2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 x14ac:dyDescent="0.2">
      <c r="A149"/>
      <c r="B149" s="2"/>
      <c r="C149" s="2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 x14ac:dyDescent="0.2">
      <c r="A150"/>
      <c r="B150" s="2"/>
      <c r="C150" s="2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 x14ac:dyDescent="0.2">
      <c r="A151"/>
      <c r="B151" s="2"/>
      <c r="C151" s="26"/>
      <c r="D151" s="2"/>
      <c r="E151" s="2"/>
      <c r="F151" s="2"/>
      <c r="G151" s="2"/>
      <c r="H151" s="2"/>
      <c r="I151" s="2"/>
      <c r="J151" s="2"/>
      <c r="K151" s="2"/>
      <c r="L151" s="2"/>
      <c r="M151" s="27"/>
      <c r="N151" s="2"/>
      <c r="O151" s="2"/>
      <c r="P151" s="2"/>
      <c r="Q151" s="2"/>
      <c r="R151" s="2"/>
      <c r="S151" s="2"/>
    </row>
    <row r="152" spans="1:19" ht="15.75" customHeight="1" x14ac:dyDescent="0.2">
      <c r="A152"/>
      <c r="B152" s="2"/>
      <c r="C152" s="26"/>
      <c r="D152" s="2"/>
      <c r="E152" s="2"/>
      <c r="F152" s="2"/>
      <c r="G152" s="2"/>
      <c r="H152" s="2"/>
      <c r="I152" s="2"/>
      <c r="J152" s="2"/>
      <c r="K152" s="2"/>
      <c r="L152" s="2"/>
      <c r="M152" s="27"/>
      <c r="N152" s="2"/>
      <c r="O152" s="2"/>
      <c r="P152" s="2"/>
      <c r="Q152" s="2"/>
      <c r="R152" s="2"/>
      <c r="S152" s="2"/>
    </row>
    <row r="153" spans="1:19" ht="15.75" customHeight="1" x14ac:dyDescent="0.2">
      <c r="A153"/>
      <c r="B153" s="2"/>
      <c r="C153" s="26"/>
      <c r="D153" s="2"/>
      <c r="E153" s="2"/>
      <c r="F153" s="2"/>
      <c r="G153" s="2"/>
      <c r="H153" s="2"/>
      <c r="I153" s="2"/>
      <c r="J153" s="2"/>
      <c r="K153" s="2"/>
      <c r="L153" s="2"/>
      <c r="M153" s="27"/>
      <c r="N153" s="2"/>
      <c r="O153" s="2"/>
      <c r="P153" s="2"/>
      <c r="Q153" s="2"/>
      <c r="R153" s="2"/>
      <c r="S153" s="2"/>
    </row>
    <row r="154" spans="1:19" ht="15.75" customHeight="1" x14ac:dyDescent="0.2">
      <c r="A154"/>
      <c r="B154" s="2"/>
      <c r="C154" s="26"/>
      <c r="D154" s="2"/>
      <c r="E154" s="2"/>
      <c r="F154" s="2"/>
      <c r="G154" s="2"/>
      <c r="H154" s="2"/>
      <c r="I154" s="2"/>
      <c r="J154" s="2"/>
      <c r="K154" s="2"/>
      <c r="L154" s="2"/>
      <c r="M154" s="27"/>
      <c r="N154" s="2"/>
      <c r="O154" s="2"/>
      <c r="P154" s="2"/>
      <c r="Q154" s="2"/>
      <c r="R154" s="2"/>
      <c r="S154" s="2"/>
    </row>
    <row r="155" spans="1:19" ht="15.75" customHeight="1" x14ac:dyDescent="0.2">
      <c r="A155"/>
      <c r="B155" s="2"/>
      <c r="C155" s="26"/>
      <c r="D155" s="2"/>
      <c r="E155" s="2"/>
      <c r="F155" s="2"/>
      <c r="G155" s="2"/>
      <c r="H155" s="2"/>
      <c r="I155" s="2"/>
      <c r="J155" s="2"/>
      <c r="K155" s="2"/>
      <c r="L155" s="2"/>
      <c r="M155" s="27"/>
      <c r="N155" s="2"/>
      <c r="O155" s="2"/>
      <c r="P155" s="2"/>
      <c r="Q155" s="2"/>
      <c r="R155" s="2"/>
      <c r="S155" s="2"/>
    </row>
    <row r="156" spans="1:19" ht="15.75" customHeight="1" x14ac:dyDescent="0.2">
      <c r="A156"/>
      <c r="B156" s="2"/>
      <c r="C156" s="26"/>
      <c r="D156" s="2"/>
      <c r="E156" s="2"/>
      <c r="F156" s="2"/>
      <c r="G156" s="2"/>
      <c r="H156" s="2"/>
      <c r="I156" s="2"/>
      <c r="J156" s="2"/>
      <c r="K156" s="2"/>
      <c r="L156" s="2"/>
      <c r="M156" s="27"/>
      <c r="N156" s="2"/>
      <c r="O156" s="2"/>
      <c r="P156" s="2"/>
      <c r="Q156" s="2"/>
      <c r="R156" s="2"/>
      <c r="S156" s="2"/>
    </row>
    <row r="157" spans="1:19" ht="15.75" customHeight="1" x14ac:dyDescent="0.2">
      <c r="A157"/>
      <c r="B157" s="2"/>
      <c r="C157" s="26"/>
      <c r="D157" s="2"/>
      <c r="E157" s="2"/>
      <c r="F157" s="2"/>
      <c r="G157" s="2"/>
      <c r="H157" s="2"/>
      <c r="I157" s="2"/>
      <c r="J157" s="2"/>
      <c r="K157" s="2"/>
      <c r="L157" s="2"/>
      <c r="M157" s="27"/>
      <c r="N157" s="2"/>
      <c r="O157" s="2"/>
      <c r="P157" s="2"/>
      <c r="Q157" s="2"/>
      <c r="R157" s="2"/>
      <c r="S157" s="2"/>
    </row>
    <row r="158" spans="1:19" ht="15.75" customHeight="1" x14ac:dyDescent="0.2">
      <c r="A158"/>
      <c r="B158" s="2"/>
      <c r="C158" s="26"/>
      <c r="D158" s="2"/>
      <c r="E158" s="2"/>
      <c r="F158" s="2"/>
      <c r="G158" s="2"/>
      <c r="H158" s="2"/>
      <c r="I158" s="2"/>
      <c r="J158" s="2"/>
      <c r="K158" s="2"/>
      <c r="L158" s="2"/>
      <c r="M158" s="27"/>
      <c r="N158" s="2"/>
      <c r="O158" s="2"/>
      <c r="P158" s="2"/>
      <c r="Q158" s="2"/>
      <c r="R158" s="2"/>
      <c r="S158" s="2"/>
    </row>
    <row r="159" spans="1:19" ht="15.75" customHeight="1" x14ac:dyDescent="0.2">
      <c r="A159"/>
      <c r="B159" s="2"/>
      <c r="C159" s="26"/>
      <c r="D159" s="2"/>
      <c r="E159" s="2"/>
      <c r="F159" s="2"/>
      <c r="G159" s="2"/>
      <c r="H159" s="2"/>
      <c r="I159" s="2"/>
      <c r="J159" s="2"/>
      <c r="K159" s="2"/>
      <c r="L159" s="2"/>
      <c r="M159" s="27"/>
      <c r="N159" s="2"/>
      <c r="O159" s="2"/>
      <c r="P159" s="2"/>
      <c r="Q159" s="2"/>
      <c r="R159" s="2"/>
      <c r="S159" s="2"/>
    </row>
    <row r="160" spans="1:19" ht="15.75" customHeight="1" x14ac:dyDescent="0.2">
      <c r="A160"/>
      <c r="B160" s="2"/>
      <c r="C160" s="26"/>
      <c r="D160" s="2"/>
      <c r="E160" s="2"/>
      <c r="F160" s="2"/>
      <c r="G160" s="2"/>
      <c r="H160" s="2"/>
      <c r="I160" s="2"/>
      <c r="J160" s="2"/>
      <c r="K160" s="2"/>
      <c r="L160" s="2"/>
      <c r="M160" s="27"/>
      <c r="N160" s="2"/>
      <c r="O160" s="2"/>
      <c r="P160" s="2"/>
      <c r="Q160" s="2"/>
      <c r="R160" s="2"/>
      <c r="S160" s="2"/>
    </row>
    <row r="161" spans="1:19" ht="15.75" customHeight="1" x14ac:dyDescent="0.2">
      <c r="A161"/>
      <c r="B161" s="2"/>
      <c r="C161" s="26"/>
      <c r="D161" s="2"/>
      <c r="E161" s="2"/>
      <c r="F161" s="2"/>
      <c r="G161" s="2"/>
      <c r="H161" s="2"/>
      <c r="I161" s="2"/>
      <c r="J161" s="2"/>
      <c r="K161" s="2"/>
      <c r="L161" s="2"/>
      <c r="M161" s="27"/>
      <c r="N161" s="2"/>
      <c r="O161" s="2"/>
      <c r="P161" s="2"/>
      <c r="Q161" s="2"/>
      <c r="R161" s="2"/>
      <c r="S161" s="2"/>
    </row>
    <row r="162" spans="1:19" ht="15.75" customHeight="1" x14ac:dyDescent="0.2">
      <c r="A162"/>
      <c r="B162" s="2"/>
      <c r="C162" s="26"/>
      <c r="D162" s="2"/>
      <c r="E162" s="2"/>
      <c r="F162" s="2"/>
      <c r="G162" s="2"/>
      <c r="H162" s="2"/>
      <c r="I162" s="2"/>
      <c r="J162" s="2"/>
      <c r="K162" s="2"/>
      <c r="L162" s="2"/>
      <c r="M162" s="27"/>
      <c r="N162" s="2"/>
      <c r="O162" s="2"/>
      <c r="P162" s="2"/>
      <c r="Q162" s="2"/>
      <c r="R162" s="2"/>
      <c r="S162" s="2"/>
    </row>
    <row r="163" spans="1:19" ht="15.75" customHeight="1" x14ac:dyDescent="0.2">
      <c r="A163"/>
      <c r="B163" s="2"/>
      <c r="C163" s="26"/>
      <c r="D163" s="2"/>
      <c r="E163" s="2"/>
      <c r="F163" s="2"/>
      <c r="G163" s="2"/>
      <c r="H163" s="2"/>
      <c r="I163" s="2"/>
      <c r="J163" s="2"/>
      <c r="K163" s="2"/>
      <c r="L163" s="2"/>
      <c r="M163" s="27"/>
      <c r="N163" s="2"/>
      <c r="O163" s="2"/>
      <c r="P163" s="2"/>
      <c r="Q163" s="2"/>
      <c r="R163" s="2"/>
      <c r="S163" s="2"/>
    </row>
    <row r="164" spans="1:19" ht="15.75" customHeight="1" x14ac:dyDescent="0.2">
      <c r="A164"/>
      <c r="B164" s="2"/>
      <c r="C164" s="26"/>
      <c r="D164" s="2"/>
      <c r="E164" s="2"/>
      <c r="F164" s="2"/>
      <c r="G164" s="2"/>
      <c r="H164" s="2"/>
      <c r="I164" s="2"/>
      <c r="J164" s="2"/>
      <c r="K164" s="2"/>
      <c r="L164" s="2"/>
      <c r="M164" s="27"/>
      <c r="N164" s="2"/>
      <c r="O164" s="2"/>
      <c r="P164" s="2"/>
      <c r="Q164" s="2"/>
      <c r="R164" s="2"/>
      <c r="S164" s="2"/>
    </row>
    <row r="165" spans="1:19" ht="15.75" customHeight="1" x14ac:dyDescent="0.2">
      <c r="A165"/>
      <c r="B165" s="2"/>
      <c r="C165" s="26"/>
      <c r="D165" s="2"/>
      <c r="E165" s="2"/>
      <c r="F165" s="2"/>
      <c r="G165" s="2"/>
      <c r="H165" s="2"/>
      <c r="I165" s="2"/>
      <c r="J165" s="2"/>
      <c r="K165" s="2"/>
      <c r="L165" s="2"/>
      <c r="M165" s="27"/>
      <c r="N165" s="2"/>
      <c r="O165" s="2"/>
      <c r="P165" s="2"/>
      <c r="Q165" s="2"/>
      <c r="R165" s="2"/>
      <c r="S165" s="2"/>
    </row>
    <row r="166" spans="1:19" ht="15.75" customHeight="1" x14ac:dyDescent="0.2">
      <c r="A166"/>
      <c r="B166" s="2"/>
      <c r="C166" s="26"/>
      <c r="D166" s="2"/>
      <c r="E166" s="2"/>
      <c r="F166" s="2"/>
      <c r="G166" s="2"/>
      <c r="H166" s="2"/>
      <c r="I166" s="2"/>
      <c r="J166" s="2"/>
      <c r="K166" s="2"/>
      <c r="L166" s="2"/>
      <c r="M166" s="27"/>
      <c r="N166" s="2"/>
      <c r="O166" s="2"/>
      <c r="P166" s="2"/>
      <c r="Q166" s="2"/>
      <c r="R166" s="2"/>
      <c r="S166" s="2"/>
    </row>
    <row r="167" spans="1:19" ht="15.75" customHeight="1" x14ac:dyDescent="0.2">
      <c r="A167"/>
      <c r="B167" s="2"/>
      <c r="C167" s="26"/>
      <c r="D167" s="2"/>
      <c r="E167" s="2"/>
      <c r="F167" s="2"/>
      <c r="G167" s="2"/>
      <c r="H167" s="2"/>
      <c r="I167" s="2"/>
      <c r="J167" s="2"/>
      <c r="K167" s="2"/>
      <c r="L167" s="2"/>
      <c r="M167" s="27"/>
      <c r="N167" s="2"/>
      <c r="O167" s="2"/>
      <c r="P167" s="2"/>
      <c r="Q167" s="2"/>
      <c r="R167" s="2"/>
      <c r="S167" s="2"/>
    </row>
    <row r="168" spans="1:19" ht="15.75" customHeight="1" x14ac:dyDescent="0.2">
      <c r="A168"/>
      <c r="B168" s="2"/>
      <c r="C168" s="26"/>
      <c r="D168" s="2"/>
      <c r="E168" s="2"/>
      <c r="F168" s="2"/>
      <c r="G168" s="2"/>
      <c r="H168" s="2"/>
      <c r="I168" s="2"/>
      <c r="J168" s="2"/>
      <c r="K168" s="2"/>
      <c r="L168" s="2"/>
      <c r="M168" s="27"/>
      <c r="N168" s="2"/>
      <c r="O168" s="2"/>
      <c r="P168" s="2"/>
      <c r="Q168" s="2"/>
      <c r="R168" s="2"/>
      <c r="S168" s="2"/>
    </row>
    <row r="169" spans="1:19" ht="15.75" customHeight="1" x14ac:dyDescent="0.2">
      <c r="A169"/>
      <c r="B169" s="2"/>
      <c r="C169" s="26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"/>
      <c r="O169" s="2"/>
      <c r="P169" s="2"/>
      <c r="Q169" s="2"/>
      <c r="R169" s="2"/>
      <c r="S169" s="2"/>
    </row>
    <row r="170" spans="1:19" ht="15.75" customHeight="1" x14ac:dyDescent="0.2">
      <c r="A170"/>
      <c r="B170" s="2"/>
      <c r="C170" s="26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"/>
      <c r="O170" s="2"/>
      <c r="P170" s="2"/>
      <c r="Q170" s="2"/>
      <c r="R170" s="2"/>
      <c r="S170" s="2"/>
    </row>
    <row r="171" spans="1:19" ht="15.75" customHeight="1" x14ac:dyDescent="0.2">
      <c r="A171"/>
      <c r="B171" s="2"/>
      <c r="C171" s="26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"/>
      <c r="O171" s="2"/>
      <c r="P171" s="2"/>
      <c r="Q171" s="2"/>
      <c r="R171" s="2"/>
      <c r="S171" s="2"/>
    </row>
    <row r="172" spans="1:19" ht="15.75" customHeight="1" x14ac:dyDescent="0.2">
      <c r="A172"/>
      <c r="B172" s="2"/>
      <c r="C172" s="26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"/>
      <c r="O172" s="2"/>
      <c r="P172" s="2"/>
      <c r="Q172" s="2"/>
      <c r="R172" s="2"/>
      <c r="S172" s="2"/>
    </row>
    <row r="173" spans="1:19" ht="15.75" customHeight="1" x14ac:dyDescent="0.2">
      <c r="A173"/>
      <c r="B173" s="2"/>
      <c r="C173" s="26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"/>
      <c r="O173" s="2"/>
      <c r="P173" s="2"/>
      <c r="Q173" s="2"/>
      <c r="R173" s="2"/>
      <c r="S173" s="2"/>
    </row>
    <row r="174" spans="1:19" ht="15.75" customHeight="1" x14ac:dyDescent="0.2">
      <c r="A174"/>
      <c r="B174" s="2"/>
      <c r="C174" s="26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"/>
      <c r="O174" s="2"/>
      <c r="P174" s="2"/>
      <c r="Q174" s="2"/>
      <c r="R174" s="2"/>
      <c r="S174" s="2"/>
    </row>
    <row r="175" spans="1:19" ht="15.75" customHeight="1" x14ac:dyDescent="0.2">
      <c r="A175"/>
      <c r="B175" s="2"/>
      <c r="C175" s="26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"/>
      <c r="O175" s="2"/>
      <c r="P175" s="2"/>
      <c r="Q175" s="2"/>
      <c r="R175" s="2"/>
      <c r="S175" s="2"/>
    </row>
    <row r="176" spans="1:19" ht="15.75" customHeight="1" x14ac:dyDescent="0.2">
      <c r="A176"/>
      <c r="B176" s="2"/>
      <c r="C176" s="26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"/>
      <c r="O176" s="2"/>
      <c r="P176" s="2"/>
      <c r="Q176" s="2"/>
      <c r="R176" s="2"/>
      <c r="S176" s="2"/>
    </row>
    <row r="177" spans="1:19" ht="15.75" customHeight="1" x14ac:dyDescent="0.2">
      <c r="A177"/>
      <c r="B177" s="2"/>
      <c r="C177" s="26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"/>
      <c r="O177" s="2"/>
      <c r="P177" s="2"/>
      <c r="Q177" s="2"/>
      <c r="R177" s="2"/>
      <c r="S177" s="2"/>
    </row>
    <row r="178" spans="1:19" ht="15.75" customHeight="1" x14ac:dyDescent="0.2">
      <c r="A178"/>
      <c r="B178" s="2"/>
      <c r="C178" s="26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"/>
      <c r="O178" s="2"/>
      <c r="P178" s="2"/>
      <c r="Q178" s="2"/>
      <c r="R178" s="2"/>
      <c r="S178" s="2"/>
    </row>
    <row r="179" spans="1:19" ht="15.75" customHeight="1" x14ac:dyDescent="0.2">
      <c r="A179"/>
      <c r="B179" s="2"/>
      <c r="C179" s="26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"/>
      <c r="O179" s="2"/>
      <c r="P179" s="2"/>
      <c r="Q179" s="2"/>
      <c r="R179" s="2"/>
      <c r="S179" s="2"/>
    </row>
    <row r="180" spans="1:19" ht="15.75" customHeight="1" x14ac:dyDescent="0.2">
      <c r="A180"/>
      <c r="B180" s="2"/>
      <c r="C180" s="26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"/>
      <c r="O180" s="2"/>
      <c r="P180" s="2"/>
      <c r="Q180" s="2"/>
      <c r="R180" s="2"/>
      <c r="S180" s="2"/>
    </row>
    <row r="181" spans="1:19" ht="15.75" customHeight="1" x14ac:dyDescent="0.2">
      <c r="A181"/>
      <c r="B181" s="2"/>
      <c r="C181" s="26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"/>
      <c r="O181" s="2"/>
      <c r="P181" s="2"/>
      <c r="Q181" s="2"/>
      <c r="R181" s="2"/>
      <c r="S181" s="2"/>
    </row>
    <row r="182" spans="1:19" ht="15.75" customHeight="1" x14ac:dyDescent="0.2">
      <c r="A182"/>
      <c r="B182" s="2"/>
      <c r="C182" s="26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"/>
      <c r="O182" s="2"/>
      <c r="P182" s="2"/>
      <c r="Q182" s="2"/>
      <c r="R182" s="2"/>
      <c r="S182" s="2"/>
    </row>
    <row r="183" spans="1:19" ht="15.75" customHeight="1" x14ac:dyDescent="0.2">
      <c r="A183"/>
      <c r="B183" s="2"/>
      <c r="C183" s="26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"/>
      <c r="O183" s="2"/>
      <c r="P183" s="2"/>
      <c r="Q183" s="2"/>
      <c r="R183" s="2"/>
      <c r="S183" s="2"/>
    </row>
    <row r="184" spans="1:19" ht="15.75" customHeight="1" x14ac:dyDescent="0.2">
      <c r="A184"/>
      <c r="B184" s="2"/>
      <c r="C184" s="26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"/>
      <c r="O184" s="2"/>
      <c r="P184" s="2"/>
      <c r="Q184" s="2"/>
      <c r="R184" s="2"/>
      <c r="S184" s="2"/>
    </row>
    <row r="185" spans="1:19" ht="15.75" customHeight="1" x14ac:dyDescent="0.2">
      <c r="A185"/>
      <c r="B185" s="2"/>
      <c r="C185" s="26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"/>
      <c r="O185" s="2"/>
      <c r="P185" s="2"/>
      <c r="Q185" s="2"/>
      <c r="R185" s="2"/>
      <c r="S185" s="2"/>
    </row>
    <row r="186" spans="1:19" ht="15.75" customHeight="1" x14ac:dyDescent="0.2">
      <c r="A186"/>
      <c r="B186" s="2"/>
      <c r="C186" s="26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"/>
      <c r="O186" s="2"/>
      <c r="P186" s="2"/>
      <c r="Q186" s="2"/>
      <c r="R186" s="2"/>
      <c r="S186" s="2"/>
    </row>
    <row r="187" spans="1:19" ht="15.75" customHeight="1" x14ac:dyDescent="0.2">
      <c r="A187"/>
      <c r="B187" s="2"/>
      <c r="C187" s="26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"/>
      <c r="O187" s="2"/>
      <c r="P187" s="2"/>
      <c r="Q187" s="2"/>
      <c r="R187" s="2"/>
      <c r="S187" s="2"/>
    </row>
    <row r="188" spans="1:19" ht="15.75" customHeight="1" x14ac:dyDescent="0.2">
      <c r="A188"/>
      <c r="B188" s="2"/>
      <c r="C188" s="26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"/>
      <c r="O188" s="2"/>
      <c r="P188" s="2"/>
      <c r="Q188" s="2"/>
      <c r="R188" s="2"/>
      <c r="S188" s="2"/>
    </row>
    <row r="189" spans="1:19" ht="15.75" customHeight="1" x14ac:dyDescent="0.2">
      <c r="A189"/>
      <c r="B189" s="2"/>
      <c r="C189" s="26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"/>
      <c r="O189" s="2"/>
      <c r="P189" s="2"/>
      <c r="Q189" s="2"/>
      <c r="R189" s="2"/>
      <c r="S189" s="2"/>
    </row>
    <row r="190" spans="1:19" ht="15.75" customHeight="1" x14ac:dyDescent="0.2">
      <c r="A190"/>
      <c r="B190" s="2"/>
      <c r="C190" s="26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"/>
      <c r="O190" s="2"/>
      <c r="P190" s="2"/>
      <c r="Q190" s="2"/>
      <c r="R190" s="2"/>
      <c r="S190" s="2"/>
    </row>
    <row r="191" spans="1:19" ht="15.75" customHeight="1" x14ac:dyDescent="0.2">
      <c r="A191"/>
      <c r="B191" s="2"/>
      <c r="C191" s="26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"/>
      <c r="O191" s="2"/>
      <c r="P191" s="2"/>
      <c r="Q191" s="2"/>
      <c r="R191" s="2"/>
      <c r="S191" s="2"/>
    </row>
    <row r="192" spans="1:19" ht="15.75" customHeight="1" x14ac:dyDescent="0.2">
      <c r="A192"/>
      <c r="B192" s="2"/>
      <c r="C192" s="26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"/>
      <c r="O192" s="2"/>
      <c r="P192" s="2"/>
      <c r="Q192" s="2"/>
      <c r="R192" s="2"/>
      <c r="S192" s="2"/>
    </row>
    <row r="193" spans="1:19" ht="15.75" customHeight="1" x14ac:dyDescent="0.2">
      <c r="A193"/>
      <c r="B193" s="2"/>
      <c r="C193" s="26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"/>
      <c r="O193" s="2"/>
      <c r="P193" s="2"/>
      <c r="Q193" s="2"/>
      <c r="R193" s="2"/>
      <c r="S193" s="2"/>
    </row>
    <row r="194" spans="1:19" ht="15.75" customHeight="1" x14ac:dyDescent="0.2">
      <c r="A194"/>
      <c r="B194" s="2"/>
      <c r="C194" s="26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"/>
      <c r="O194" s="2"/>
      <c r="P194" s="2"/>
      <c r="Q194" s="2"/>
      <c r="R194" s="2"/>
      <c r="S194" s="2"/>
    </row>
    <row r="195" spans="1:19" ht="15.75" customHeight="1" x14ac:dyDescent="0.2">
      <c r="A195"/>
      <c r="B195" s="2"/>
      <c r="C195" s="26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"/>
      <c r="O195" s="2"/>
      <c r="P195" s="2"/>
      <c r="Q195" s="2"/>
      <c r="R195" s="2"/>
      <c r="S195" s="2"/>
    </row>
    <row r="196" spans="1:19" ht="15.75" customHeight="1" x14ac:dyDescent="0.2">
      <c r="A196"/>
      <c r="B196" s="2"/>
      <c r="C196" s="26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"/>
      <c r="O196" s="2"/>
      <c r="P196" s="2"/>
      <c r="Q196" s="2"/>
      <c r="R196" s="2"/>
      <c r="S196" s="2"/>
    </row>
    <row r="197" spans="1:19" ht="15.75" customHeight="1" x14ac:dyDescent="0.2">
      <c r="A197"/>
      <c r="B197" s="2"/>
      <c r="C197" s="26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"/>
      <c r="O197" s="2"/>
      <c r="P197" s="2"/>
      <c r="Q197" s="2"/>
      <c r="R197" s="2"/>
      <c r="S197" s="2"/>
    </row>
    <row r="198" spans="1:19" ht="15.75" customHeight="1" x14ac:dyDescent="0.2">
      <c r="A198"/>
      <c r="B198" s="2"/>
      <c r="C198" s="26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"/>
      <c r="O198" s="2"/>
      <c r="P198" s="2"/>
      <c r="Q198" s="2"/>
      <c r="R198" s="2"/>
      <c r="S198" s="2"/>
    </row>
    <row r="199" spans="1:19" ht="15.75" customHeight="1" x14ac:dyDescent="0.2">
      <c r="A199"/>
      <c r="B199" s="2"/>
      <c r="C199" s="26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"/>
      <c r="O199" s="2"/>
      <c r="P199" s="2"/>
      <c r="Q199" s="2"/>
      <c r="R199" s="2"/>
      <c r="S199" s="2"/>
    </row>
    <row r="200" spans="1:19" ht="15.75" customHeight="1" x14ac:dyDescent="0.2">
      <c r="A200"/>
      <c r="B200" s="2"/>
      <c r="C200" s="26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"/>
      <c r="O200" s="2"/>
      <c r="P200" s="2"/>
      <c r="Q200" s="2"/>
      <c r="R200" s="2"/>
      <c r="S200" s="2"/>
    </row>
    <row r="201" spans="1:19" ht="15.75" customHeight="1" x14ac:dyDescent="0.2">
      <c r="A201"/>
      <c r="B201" s="2"/>
      <c r="C201" s="26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"/>
      <c r="O201" s="2"/>
      <c r="P201" s="2"/>
      <c r="Q201" s="2"/>
      <c r="R201" s="2"/>
      <c r="S201" s="2"/>
    </row>
    <row r="202" spans="1:19" ht="15.75" customHeight="1" x14ac:dyDescent="0.2">
      <c r="A202"/>
      <c r="B202" s="2"/>
      <c r="C202" s="26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"/>
      <c r="O202" s="2"/>
      <c r="P202" s="2"/>
      <c r="Q202" s="2"/>
      <c r="R202" s="2"/>
      <c r="S202" s="2"/>
    </row>
    <row r="203" spans="1:19" ht="15.75" customHeight="1" x14ac:dyDescent="0.2">
      <c r="A203"/>
      <c r="B203" s="2"/>
      <c r="C203" s="26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"/>
      <c r="O203" s="2"/>
      <c r="P203" s="2"/>
      <c r="Q203" s="2"/>
      <c r="R203" s="2"/>
      <c r="S203" s="2"/>
    </row>
    <row r="204" spans="1:19" ht="15.75" customHeight="1" x14ac:dyDescent="0.2">
      <c r="A204"/>
      <c r="B204" s="2"/>
      <c r="C204" s="26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"/>
      <c r="O204" s="2"/>
      <c r="P204" s="2"/>
      <c r="Q204" s="2"/>
      <c r="R204" s="2"/>
      <c r="S204" s="2"/>
    </row>
    <row r="205" spans="1:19" ht="15.75" customHeight="1" x14ac:dyDescent="0.2">
      <c r="A205"/>
      <c r="B205" s="2"/>
      <c r="C205" s="26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"/>
      <c r="O205" s="2"/>
      <c r="P205" s="2"/>
      <c r="Q205" s="2"/>
      <c r="R205" s="2"/>
      <c r="S205" s="2"/>
    </row>
    <row r="206" spans="1:19" ht="15.75" customHeight="1" x14ac:dyDescent="0.2">
      <c r="A206"/>
      <c r="B206" s="2"/>
      <c r="C206" s="26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"/>
      <c r="O206" s="2"/>
      <c r="P206" s="2"/>
      <c r="Q206" s="2"/>
      <c r="R206" s="2"/>
      <c r="S206" s="2"/>
    </row>
    <row r="207" spans="1:19" ht="15.75" customHeight="1" x14ac:dyDescent="0.2">
      <c r="A207"/>
      <c r="B207" s="2"/>
      <c r="C207" s="26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"/>
      <c r="O207" s="2"/>
      <c r="P207" s="2"/>
      <c r="Q207" s="2"/>
      <c r="R207" s="2"/>
      <c r="S207" s="2"/>
    </row>
    <row r="208" spans="1:19" ht="15.75" customHeight="1" x14ac:dyDescent="0.2">
      <c r="A208"/>
      <c r="B208" s="2"/>
      <c r="C208" s="26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"/>
      <c r="O208" s="2"/>
      <c r="P208" s="2"/>
      <c r="Q208" s="2"/>
      <c r="R208" s="2"/>
      <c r="S208" s="2"/>
    </row>
    <row r="209" spans="1:19" ht="15.75" customHeight="1" x14ac:dyDescent="0.2">
      <c r="A209"/>
      <c r="B209" s="2"/>
      <c r="C209" s="26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"/>
      <c r="O209" s="2"/>
      <c r="P209" s="2"/>
      <c r="Q209" s="2"/>
      <c r="R209" s="2"/>
      <c r="S209" s="2"/>
    </row>
    <row r="210" spans="1:19" ht="15.75" customHeight="1" x14ac:dyDescent="0.2">
      <c r="A210"/>
      <c r="B210" s="2"/>
      <c r="C210" s="26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"/>
      <c r="O210" s="2"/>
      <c r="P210" s="2"/>
      <c r="Q210" s="2"/>
      <c r="R210" s="2"/>
      <c r="S210" s="2"/>
    </row>
    <row r="211" spans="1:19" ht="15.75" customHeight="1" x14ac:dyDescent="0.2">
      <c r="A211"/>
      <c r="B211" s="2"/>
      <c r="C211" s="26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"/>
      <c r="O211" s="2"/>
      <c r="P211" s="2"/>
      <c r="Q211" s="2"/>
      <c r="R211" s="2"/>
      <c r="S211" s="2"/>
    </row>
    <row r="212" spans="1:19" ht="15.75" customHeight="1" x14ac:dyDescent="0.2">
      <c r="A212"/>
      <c r="B212" s="2"/>
      <c r="C212" s="26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"/>
      <c r="O212" s="2"/>
      <c r="P212" s="2"/>
      <c r="Q212" s="2"/>
      <c r="R212" s="2"/>
      <c r="S212" s="2"/>
    </row>
    <row r="213" spans="1:19" ht="15.75" customHeight="1" x14ac:dyDescent="0.2">
      <c r="A213"/>
      <c r="B213" s="2"/>
      <c r="C213" s="26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"/>
      <c r="O213" s="2"/>
      <c r="P213" s="2"/>
      <c r="Q213" s="2"/>
      <c r="R213" s="2"/>
      <c r="S213" s="2"/>
    </row>
    <row r="214" spans="1:19" ht="15.75" customHeight="1" x14ac:dyDescent="0.2">
      <c r="A214"/>
      <c r="B214" s="2"/>
      <c r="C214" s="26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"/>
      <c r="O214" s="2"/>
      <c r="P214" s="2"/>
      <c r="Q214" s="2"/>
      <c r="R214" s="2"/>
      <c r="S214" s="2"/>
    </row>
    <row r="215" spans="1:19" ht="15.75" customHeight="1" x14ac:dyDescent="0.2">
      <c r="A215"/>
      <c r="B215" s="2"/>
      <c r="C215" s="26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"/>
      <c r="O215" s="2"/>
      <c r="P215" s="2"/>
      <c r="Q215" s="2"/>
      <c r="R215" s="2"/>
      <c r="S215" s="2"/>
    </row>
    <row r="216" spans="1:19" ht="15.75" customHeight="1" x14ac:dyDescent="0.2">
      <c r="A216"/>
      <c r="B216" s="2"/>
      <c r="C216" s="26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"/>
      <c r="O216" s="2"/>
      <c r="P216" s="2"/>
      <c r="Q216" s="2"/>
      <c r="R216" s="2"/>
      <c r="S216" s="2"/>
    </row>
    <row r="217" spans="1:19" ht="15.75" customHeight="1" x14ac:dyDescent="0.2">
      <c r="A217"/>
      <c r="B217" s="2"/>
      <c r="C217" s="26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"/>
      <c r="O217" s="2"/>
      <c r="P217" s="2"/>
      <c r="Q217" s="2"/>
      <c r="R217" s="2"/>
      <c r="S217" s="2"/>
    </row>
    <row r="218" spans="1:19" ht="15.75" customHeight="1" x14ac:dyDescent="0.2">
      <c r="A218"/>
      <c r="B218" s="2"/>
      <c r="C218" s="26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"/>
      <c r="O218" s="2"/>
      <c r="P218" s="2"/>
      <c r="Q218" s="2"/>
      <c r="R218" s="2"/>
      <c r="S218" s="2"/>
    </row>
    <row r="219" spans="1:19" ht="15.75" customHeight="1" x14ac:dyDescent="0.2">
      <c r="A219"/>
      <c r="B219" s="2"/>
      <c r="C219" s="26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"/>
      <c r="O219" s="2"/>
      <c r="P219" s="2"/>
      <c r="Q219" s="2"/>
      <c r="R219" s="2"/>
      <c r="S219" s="2"/>
    </row>
    <row r="220" spans="1:19" ht="15.75" customHeight="1" x14ac:dyDescent="0.2">
      <c r="A220"/>
      <c r="B220" s="2"/>
      <c r="C220" s="26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"/>
      <c r="O220" s="2"/>
      <c r="P220" s="2"/>
      <c r="Q220" s="2"/>
      <c r="R220" s="2"/>
      <c r="S220" s="2"/>
    </row>
    <row r="221" spans="1:19" ht="15.75" customHeight="1" x14ac:dyDescent="0.2">
      <c r="A221"/>
      <c r="B221" s="2"/>
      <c r="C221" s="26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"/>
      <c r="O221" s="2"/>
      <c r="P221" s="2"/>
      <c r="Q221" s="2"/>
      <c r="R221" s="2"/>
      <c r="S221" s="2"/>
    </row>
    <row r="222" spans="1:19" ht="15.75" customHeight="1" x14ac:dyDescent="0.2">
      <c r="A222"/>
      <c r="B222" s="2"/>
      <c r="C222" s="26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"/>
      <c r="O222" s="2"/>
      <c r="P222" s="2"/>
      <c r="Q222" s="2"/>
      <c r="R222" s="2"/>
      <c r="S222" s="2"/>
    </row>
    <row r="223" spans="1:19" ht="15.75" customHeight="1" x14ac:dyDescent="0.2">
      <c r="A223"/>
      <c r="B223" s="2"/>
      <c r="C223" s="26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"/>
      <c r="O223" s="2"/>
      <c r="P223" s="2"/>
      <c r="Q223" s="2"/>
      <c r="R223" s="2"/>
      <c r="S223" s="2"/>
    </row>
    <row r="224" spans="1:19" ht="15.75" customHeight="1" x14ac:dyDescent="0.2">
      <c r="A224"/>
      <c r="B224" s="2"/>
      <c r="C224" s="26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"/>
      <c r="O224" s="2"/>
      <c r="P224" s="2"/>
      <c r="Q224" s="2"/>
      <c r="R224" s="2"/>
      <c r="S224" s="2"/>
    </row>
    <row r="225" spans="1:19" ht="15.75" customHeight="1" x14ac:dyDescent="0.2">
      <c r="A225"/>
      <c r="B225" s="2"/>
      <c r="C225" s="26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"/>
      <c r="O225" s="2"/>
      <c r="P225" s="2"/>
      <c r="Q225" s="2"/>
      <c r="R225" s="2"/>
      <c r="S225" s="2"/>
    </row>
    <row r="226" spans="1:19" ht="15.75" customHeight="1" x14ac:dyDescent="0.2">
      <c r="A226"/>
      <c r="B226" s="2"/>
      <c r="C226" s="26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"/>
      <c r="O226" s="2"/>
      <c r="P226" s="2"/>
      <c r="Q226" s="2"/>
      <c r="R226" s="2"/>
      <c r="S226" s="2"/>
    </row>
    <row r="227" spans="1:19" ht="15.75" customHeight="1" x14ac:dyDescent="0.2">
      <c r="A227"/>
      <c r="B227" s="2"/>
      <c r="C227" s="26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"/>
      <c r="O227" s="2"/>
      <c r="P227" s="2"/>
      <c r="Q227" s="2"/>
      <c r="R227" s="2"/>
      <c r="S227" s="2"/>
    </row>
    <row r="228" spans="1:19" ht="15.75" customHeight="1" x14ac:dyDescent="0.2">
      <c r="A228"/>
      <c r="B228" s="2"/>
      <c r="C228" s="26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"/>
      <c r="O228" s="2"/>
      <c r="P228" s="2"/>
      <c r="Q228" s="2"/>
      <c r="R228" s="2"/>
      <c r="S228" s="2"/>
    </row>
    <row r="229" spans="1:19" ht="15.75" customHeight="1" x14ac:dyDescent="0.2">
      <c r="A229"/>
      <c r="B229" s="2"/>
      <c r="C229" s="26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"/>
      <c r="O229" s="2"/>
      <c r="P229" s="2"/>
      <c r="Q229" s="2"/>
      <c r="R229" s="2"/>
      <c r="S229" s="2"/>
    </row>
    <row r="230" spans="1:19" ht="15.75" customHeight="1" x14ac:dyDescent="0.2">
      <c r="A230"/>
      <c r="B230" s="2"/>
      <c r="C230" s="26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"/>
      <c r="O230" s="2"/>
      <c r="P230" s="2"/>
      <c r="Q230" s="2"/>
      <c r="R230" s="2"/>
      <c r="S230" s="2"/>
    </row>
    <row r="231" spans="1:19" ht="15.75" customHeight="1" x14ac:dyDescent="0.2">
      <c r="A231"/>
      <c r="B231" s="2"/>
      <c r="C231" s="26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"/>
      <c r="O231" s="2"/>
      <c r="P231" s="2"/>
      <c r="Q231" s="2"/>
      <c r="R231" s="2"/>
      <c r="S231" s="2"/>
    </row>
    <row r="232" spans="1:19" ht="15.75" customHeight="1" x14ac:dyDescent="0.2">
      <c r="A232"/>
      <c r="B232" s="2"/>
      <c r="C232" s="26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"/>
      <c r="O232" s="2"/>
      <c r="P232" s="2"/>
      <c r="Q232" s="2"/>
      <c r="R232" s="2"/>
      <c r="S232" s="2"/>
    </row>
    <row r="233" spans="1:19" ht="15.75" customHeight="1" x14ac:dyDescent="0.2">
      <c r="A233"/>
      <c r="B233" s="2"/>
      <c r="C233" s="26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"/>
      <c r="O233" s="2"/>
      <c r="P233" s="2"/>
      <c r="Q233" s="2"/>
      <c r="R233" s="2"/>
      <c r="S233" s="2"/>
    </row>
    <row r="234" spans="1:19" ht="15.75" customHeight="1" x14ac:dyDescent="0.2">
      <c r="A234"/>
      <c r="B234" s="2"/>
      <c r="C234" s="26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"/>
      <c r="O234" s="2"/>
      <c r="P234" s="2"/>
      <c r="Q234" s="2"/>
      <c r="R234" s="2"/>
      <c r="S234" s="2"/>
    </row>
    <row r="235" spans="1:19" ht="15.75" customHeight="1" x14ac:dyDescent="0.2">
      <c r="A235"/>
      <c r="B235" s="2"/>
      <c r="C235" s="26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"/>
      <c r="O235" s="2"/>
      <c r="P235" s="2"/>
      <c r="Q235" s="2"/>
      <c r="R235" s="2"/>
      <c r="S235" s="2"/>
    </row>
    <row r="236" spans="1:19" ht="15.75" customHeight="1" x14ac:dyDescent="0.2">
      <c r="A236"/>
      <c r="B236" s="2"/>
      <c r="C236" s="26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"/>
      <c r="O236" s="2"/>
      <c r="P236" s="2"/>
      <c r="Q236" s="2"/>
      <c r="R236" s="2"/>
      <c r="S236" s="2"/>
    </row>
    <row r="237" spans="1:19" ht="15.75" customHeight="1" x14ac:dyDescent="0.2">
      <c r="A237"/>
      <c r="B237" s="2"/>
      <c r="C237" s="26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"/>
      <c r="O237" s="2"/>
      <c r="P237" s="2"/>
      <c r="Q237" s="2"/>
      <c r="R237" s="2"/>
      <c r="S237" s="2"/>
    </row>
    <row r="238" spans="1:19" ht="15.75" customHeight="1" x14ac:dyDescent="0.2">
      <c r="A238"/>
      <c r="B238" s="2"/>
      <c r="C238" s="26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"/>
      <c r="O238" s="2"/>
      <c r="P238" s="2"/>
      <c r="Q238" s="2"/>
      <c r="R238" s="2"/>
      <c r="S238" s="2"/>
    </row>
    <row r="239" spans="1:19" ht="15.75" customHeight="1" x14ac:dyDescent="0.2">
      <c r="A239"/>
      <c r="B239" s="2"/>
      <c r="C239" s="26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"/>
      <c r="O239" s="2"/>
      <c r="P239" s="2"/>
      <c r="Q239" s="2"/>
      <c r="R239" s="2"/>
      <c r="S239" s="2"/>
    </row>
    <row r="240" spans="1:19" ht="15.75" customHeight="1" x14ac:dyDescent="0.2">
      <c r="A240"/>
      <c r="B240" s="2"/>
      <c r="C240" s="26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"/>
      <c r="O240" s="2"/>
      <c r="P240" s="2"/>
      <c r="Q240" s="2"/>
      <c r="R240" s="2"/>
      <c r="S240" s="2"/>
    </row>
    <row r="241" spans="1:19" ht="15.75" customHeight="1" x14ac:dyDescent="0.2">
      <c r="A241"/>
      <c r="B241" s="2"/>
      <c r="C241" s="26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"/>
      <c r="O241" s="2"/>
      <c r="P241" s="2"/>
      <c r="Q241" s="2"/>
      <c r="R241" s="2"/>
      <c r="S241" s="2"/>
    </row>
    <row r="242" spans="1:19" ht="15.75" customHeight="1" x14ac:dyDescent="0.2">
      <c r="A242"/>
      <c r="B242" s="2"/>
      <c r="C242" s="26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"/>
      <c r="O242" s="2"/>
      <c r="P242" s="2"/>
      <c r="Q242" s="2"/>
      <c r="R242" s="2"/>
      <c r="S242" s="2"/>
    </row>
    <row r="243" spans="1:19" ht="15.75" customHeight="1" x14ac:dyDescent="0.2">
      <c r="A243"/>
      <c r="B243" s="2"/>
      <c r="C243" s="26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"/>
      <c r="O243" s="2"/>
      <c r="P243" s="2"/>
      <c r="Q243" s="2"/>
      <c r="R243" s="2"/>
      <c r="S243" s="2"/>
    </row>
    <row r="244" spans="1:19" ht="15.75" customHeight="1" x14ac:dyDescent="0.2">
      <c r="A244"/>
      <c r="B244" s="2"/>
      <c r="C244" s="26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"/>
      <c r="O244" s="2"/>
      <c r="P244" s="2"/>
      <c r="Q244" s="2"/>
      <c r="R244" s="2"/>
      <c r="S244" s="2"/>
    </row>
    <row r="245" spans="1:19" ht="15.75" customHeight="1" x14ac:dyDescent="0.2">
      <c r="A245"/>
      <c r="B245" s="2"/>
      <c r="C245" s="26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"/>
      <c r="O245" s="2"/>
      <c r="P245" s="2"/>
      <c r="Q245" s="2"/>
      <c r="R245" s="2"/>
      <c r="S245" s="2"/>
    </row>
    <row r="246" spans="1:19" ht="15.75" customHeight="1" x14ac:dyDescent="0.2">
      <c r="A246"/>
      <c r="B246" s="2"/>
      <c r="C246" s="26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"/>
      <c r="O246" s="2"/>
      <c r="P246" s="2"/>
      <c r="Q246" s="2"/>
      <c r="R246" s="2"/>
      <c r="S246" s="2"/>
    </row>
    <row r="247" spans="1:19" ht="15.75" customHeight="1" x14ac:dyDescent="0.2">
      <c r="A247"/>
      <c r="B247" s="2"/>
      <c r="C247" s="26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"/>
      <c r="O247" s="2"/>
      <c r="P247" s="2"/>
      <c r="Q247" s="2"/>
      <c r="R247" s="2"/>
      <c r="S247" s="2"/>
    </row>
    <row r="248" spans="1:19" ht="15.75" customHeight="1" x14ac:dyDescent="0.2">
      <c r="A248"/>
      <c r="B248" s="2"/>
      <c r="C248" s="26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"/>
      <c r="O248" s="2"/>
      <c r="P248" s="2"/>
      <c r="Q248" s="2"/>
      <c r="R248" s="2"/>
      <c r="S248" s="2"/>
    </row>
    <row r="249" spans="1:19" ht="15.75" customHeight="1" x14ac:dyDescent="0.2">
      <c r="A249"/>
      <c r="B249" s="2"/>
      <c r="C249" s="26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"/>
      <c r="O249" s="2"/>
      <c r="P249" s="2"/>
      <c r="Q249" s="2"/>
      <c r="R249" s="2"/>
      <c r="S249" s="2"/>
    </row>
    <row r="250" spans="1:19" ht="15.75" customHeight="1" x14ac:dyDescent="0.2">
      <c r="A250"/>
      <c r="B250" s="2"/>
      <c r="C250" s="26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"/>
      <c r="O250" s="2"/>
      <c r="P250" s="2"/>
      <c r="Q250" s="2"/>
      <c r="R250" s="2"/>
      <c r="S250" s="2"/>
    </row>
    <row r="251" spans="1:19" ht="15.75" customHeight="1" x14ac:dyDescent="0.2">
      <c r="A251"/>
      <c r="B251" s="2"/>
      <c r="C251" s="26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"/>
      <c r="O251" s="2"/>
      <c r="P251" s="2"/>
      <c r="Q251" s="2"/>
      <c r="R251" s="2"/>
      <c r="S251" s="2"/>
    </row>
    <row r="252" spans="1:19" ht="15.75" customHeight="1" x14ac:dyDescent="0.2">
      <c r="A252"/>
      <c r="B252" s="2"/>
      <c r="C252" s="26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"/>
      <c r="O252" s="2"/>
      <c r="P252" s="2"/>
      <c r="Q252" s="2"/>
      <c r="R252" s="2"/>
      <c r="S252" s="2"/>
    </row>
    <row r="253" spans="1:19" ht="15.75" customHeight="1" x14ac:dyDescent="0.2">
      <c r="A253"/>
      <c r="B253" s="2"/>
      <c r="C253" s="26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"/>
      <c r="O253" s="2"/>
      <c r="P253" s="2"/>
      <c r="Q253" s="2"/>
      <c r="R253" s="2"/>
      <c r="S253" s="2"/>
    </row>
    <row r="254" spans="1:19" ht="15.75" customHeight="1" x14ac:dyDescent="0.2">
      <c r="A254"/>
      <c r="B254" s="2"/>
      <c r="C254" s="26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"/>
      <c r="O254" s="2"/>
      <c r="P254" s="2"/>
      <c r="Q254" s="2"/>
      <c r="R254" s="2"/>
      <c r="S254" s="2"/>
    </row>
    <row r="255" spans="1:19" ht="15.75" customHeight="1" x14ac:dyDescent="0.2">
      <c r="A255"/>
      <c r="B255" s="2"/>
      <c r="C255" s="26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"/>
      <c r="O255" s="2"/>
      <c r="P255" s="2"/>
      <c r="Q255" s="2"/>
      <c r="R255" s="2"/>
      <c r="S255" s="2"/>
    </row>
    <row r="256" spans="1:19" ht="15.75" customHeight="1" x14ac:dyDescent="0.2">
      <c r="A256"/>
      <c r="B256" s="2"/>
      <c r="C256" s="26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"/>
      <c r="O256" s="2"/>
      <c r="P256" s="2"/>
      <c r="Q256" s="2"/>
      <c r="R256" s="2"/>
      <c r="S256" s="2"/>
    </row>
    <row r="257" spans="1:19" ht="15.75" customHeight="1" x14ac:dyDescent="0.2">
      <c r="A257"/>
      <c r="B257" s="2"/>
      <c r="C257" s="26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"/>
      <c r="O257" s="2"/>
      <c r="P257" s="2"/>
      <c r="Q257" s="2"/>
      <c r="R257" s="2"/>
      <c r="S257" s="2"/>
    </row>
    <row r="258" spans="1:19" ht="15.75" customHeight="1" x14ac:dyDescent="0.2">
      <c r="A258"/>
      <c r="B258" s="2"/>
      <c r="C258" s="26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"/>
      <c r="O258" s="2"/>
      <c r="P258" s="2"/>
      <c r="Q258" s="2"/>
      <c r="R258" s="2"/>
      <c r="S258" s="2"/>
    </row>
    <row r="259" spans="1:19" ht="15.75" customHeight="1" x14ac:dyDescent="0.2">
      <c r="A259"/>
      <c r="B259" s="2"/>
      <c r="C259" s="26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"/>
      <c r="O259" s="2"/>
      <c r="P259" s="2"/>
      <c r="Q259" s="2"/>
      <c r="R259" s="2"/>
      <c r="S259" s="2"/>
    </row>
    <row r="260" spans="1:19" ht="15.75" customHeight="1" x14ac:dyDescent="0.2">
      <c r="A260"/>
      <c r="B260" s="2"/>
      <c r="C260" s="26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"/>
      <c r="O260" s="2"/>
      <c r="P260" s="2"/>
      <c r="Q260" s="2"/>
      <c r="R260" s="2"/>
      <c r="S260" s="2"/>
    </row>
    <row r="261" spans="1:19" ht="15.75" customHeight="1" x14ac:dyDescent="0.2">
      <c r="A261"/>
      <c r="B261" s="2"/>
      <c r="C261" s="26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"/>
      <c r="O261" s="2"/>
      <c r="P261" s="2"/>
      <c r="Q261" s="2"/>
      <c r="R261" s="2"/>
      <c r="S261" s="2"/>
    </row>
    <row r="262" spans="1:19" ht="15.75" customHeight="1" x14ac:dyDescent="0.2">
      <c r="A262"/>
      <c r="B262" s="2"/>
      <c r="C262" s="26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"/>
      <c r="O262" s="2"/>
      <c r="P262" s="2"/>
      <c r="Q262" s="2"/>
      <c r="R262" s="2"/>
      <c r="S262" s="2"/>
    </row>
    <row r="263" spans="1:19" ht="15.75" customHeight="1" x14ac:dyDescent="0.2">
      <c r="A263"/>
      <c r="B263" s="2"/>
      <c r="C263" s="26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"/>
      <c r="O263" s="2"/>
      <c r="P263" s="2"/>
      <c r="Q263" s="2"/>
      <c r="R263" s="2"/>
      <c r="S263" s="2"/>
    </row>
    <row r="264" spans="1:19" ht="15.75" customHeight="1" x14ac:dyDescent="0.2">
      <c r="A264"/>
      <c r="B264" s="2"/>
      <c r="C264" s="26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"/>
      <c r="O264" s="2"/>
      <c r="P264" s="2"/>
      <c r="Q264" s="2"/>
      <c r="R264" s="2"/>
      <c r="S264" s="2"/>
    </row>
    <row r="265" spans="1:19" ht="15.75" customHeight="1" x14ac:dyDescent="0.2">
      <c r="A265"/>
      <c r="B265" s="2"/>
      <c r="C265" s="26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"/>
      <c r="O265" s="2"/>
      <c r="P265" s="2"/>
      <c r="Q265" s="2"/>
      <c r="R265" s="2"/>
      <c r="S265" s="2"/>
    </row>
    <row r="266" spans="1:19" ht="15.75" customHeight="1" x14ac:dyDescent="0.2">
      <c r="A266"/>
      <c r="B266" s="2"/>
      <c r="C266" s="26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"/>
      <c r="O266" s="2"/>
      <c r="P266" s="2"/>
      <c r="Q266" s="2"/>
      <c r="R266" s="2"/>
      <c r="S266" s="2"/>
    </row>
    <row r="267" spans="1:19" ht="15.75" customHeight="1" x14ac:dyDescent="0.2">
      <c r="A267"/>
      <c r="B267" s="2"/>
      <c r="C267" s="26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"/>
      <c r="O267" s="2"/>
      <c r="P267" s="2"/>
      <c r="Q267" s="2"/>
      <c r="R267" s="2"/>
      <c r="S267" s="2"/>
    </row>
    <row r="268" spans="1:19" ht="15.75" customHeight="1" x14ac:dyDescent="0.2">
      <c r="A268"/>
      <c r="B268" s="2"/>
      <c r="C268" s="26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"/>
      <c r="O268" s="2"/>
      <c r="P268" s="2"/>
      <c r="Q268" s="2"/>
      <c r="R268" s="2"/>
      <c r="S268" s="2"/>
    </row>
    <row r="269" spans="1:19" ht="15.75" customHeight="1" x14ac:dyDescent="0.2">
      <c r="A269"/>
      <c r="B269" s="2"/>
      <c r="C269" s="26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"/>
      <c r="O269" s="2"/>
      <c r="P269" s="2"/>
      <c r="Q269" s="2"/>
      <c r="R269" s="2"/>
      <c r="S269" s="2"/>
    </row>
    <row r="270" spans="1:19" ht="15.75" customHeight="1" x14ac:dyDescent="0.2">
      <c r="A270"/>
      <c r="B270" s="2"/>
      <c r="C270" s="26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"/>
      <c r="O270" s="2"/>
      <c r="P270" s="2"/>
      <c r="Q270" s="2"/>
      <c r="R270" s="2"/>
      <c r="S270" s="2"/>
    </row>
    <row r="271" spans="1:19" ht="15.75" customHeight="1" x14ac:dyDescent="0.2">
      <c r="A271"/>
      <c r="B271" s="2"/>
      <c r="C271" s="26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"/>
      <c r="O271" s="2"/>
      <c r="P271" s="2"/>
      <c r="Q271" s="2"/>
      <c r="R271" s="2"/>
      <c r="S271" s="2"/>
    </row>
    <row r="272" spans="1:19" ht="15.75" customHeight="1" x14ac:dyDescent="0.2">
      <c r="A272"/>
      <c r="B272" s="2"/>
      <c r="C272" s="26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"/>
      <c r="O272" s="2"/>
      <c r="P272" s="2"/>
      <c r="Q272" s="2"/>
      <c r="R272" s="2"/>
      <c r="S272" s="2"/>
    </row>
    <row r="273" spans="1:19" ht="15.75" customHeight="1" x14ac:dyDescent="0.2">
      <c r="A273"/>
      <c r="B273" s="2"/>
      <c r="C273" s="26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"/>
      <c r="O273" s="2"/>
      <c r="P273" s="2"/>
      <c r="Q273" s="2"/>
      <c r="R273" s="2"/>
      <c r="S273" s="2"/>
    </row>
    <row r="274" spans="1:19" ht="15.75" customHeight="1" x14ac:dyDescent="0.2">
      <c r="A274"/>
      <c r="B274" s="2"/>
      <c r="C274" s="26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"/>
      <c r="O274" s="2"/>
      <c r="P274" s="2"/>
      <c r="Q274" s="2"/>
      <c r="R274" s="2"/>
      <c r="S274" s="2"/>
    </row>
    <row r="275" spans="1:19" ht="15.75" customHeight="1" x14ac:dyDescent="0.2">
      <c r="A275"/>
      <c r="B275" s="2"/>
      <c r="C275" s="26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"/>
      <c r="O275" s="2"/>
      <c r="P275" s="2"/>
      <c r="Q275" s="2"/>
      <c r="R275" s="2"/>
      <c r="S275" s="2"/>
    </row>
    <row r="276" spans="1:19" ht="15.75" customHeight="1" x14ac:dyDescent="0.2">
      <c r="A276"/>
      <c r="B276" s="2"/>
      <c r="C276" s="26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"/>
      <c r="O276" s="2"/>
      <c r="P276" s="2"/>
      <c r="Q276" s="2"/>
      <c r="R276" s="2"/>
      <c r="S276" s="2"/>
    </row>
    <row r="277" spans="1:19" ht="15.75" customHeight="1" x14ac:dyDescent="0.2">
      <c r="A277"/>
      <c r="B277" s="2"/>
      <c r="C277" s="26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"/>
      <c r="O277" s="2"/>
      <c r="P277" s="2"/>
      <c r="Q277" s="2"/>
      <c r="R277" s="2"/>
      <c r="S277" s="2"/>
    </row>
    <row r="278" spans="1:19" ht="15.75" customHeight="1" x14ac:dyDescent="0.2">
      <c r="A278"/>
      <c r="B278" s="2"/>
      <c r="C278" s="26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"/>
      <c r="O278" s="2"/>
      <c r="P278" s="2"/>
      <c r="Q278" s="2"/>
      <c r="R278" s="2"/>
      <c r="S278" s="2"/>
    </row>
    <row r="279" spans="1:19" ht="15.75" customHeight="1" x14ac:dyDescent="0.2">
      <c r="A279"/>
      <c r="B279" s="2"/>
      <c r="C279" s="26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"/>
      <c r="O279" s="2"/>
      <c r="P279" s="2"/>
      <c r="Q279" s="2"/>
      <c r="R279" s="2"/>
      <c r="S279" s="2"/>
    </row>
    <row r="280" spans="1:19" ht="15.75" customHeight="1" x14ac:dyDescent="0.2">
      <c r="A280"/>
      <c r="B280" s="2"/>
      <c r="C280" s="26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"/>
      <c r="O280" s="2"/>
      <c r="P280" s="2"/>
      <c r="Q280" s="2"/>
      <c r="R280" s="2"/>
      <c r="S280" s="2"/>
    </row>
    <row r="281" spans="1:19" ht="15.75" customHeight="1" x14ac:dyDescent="0.2">
      <c r="A281"/>
      <c r="B281" s="2"/>
      <c r="C281" s="26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"/>
      <c r="O281" s="2"/>
      <c r="P281" s="2"/>
      <c r="Q281" s="2"/>
      <c r="R281" s="2"/>
      <c r="S281" s="2"/>
    </row>
    <row r="282" spans="1:19" ht="15.75" customHeight="1" x14ac:dyDescent="0.2">
      <c r="A282"/>
      <c r="B282" s="2"/>
      <c r="C282" s="26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"/>
      <c r="O282" s="2"/>
      <c r="P282" s="2"/>
      <c r="Q282" s="2"/>
      <c r="R282" s="2"/>
      <c r="S282" s="2"/>
    </row>
    <row r="283" spans="1:19" ht="15.75" customHeight="1" x14ac:dyDescent="0.2">
      <c r="A283"/>
      <c r="B283" s="2"/>
      <c r="C283" s="26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"/>
      <c r="O283" s="2"/>
      <c r="P283" s="2"/>
      <c r="Q283" s="2"/>
      <c r="R283" s="2"/>
      <c r="S283" s="2"/>
    </row>
    <row r="284" spans="1:19" ht="15.75" customHeight="1" x14ac:dyDescent="0.2">
      <c r="A284"/>
      <c r="B284" s="2"/>
      <c r="C284" s="26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"/>
      <c r="O284" s="2"/>
      <c r="P284" s="2"/>
      <c r="Q284" s="2"/>
      <c r="R284" s="2"/>
      <c r="S284" s="2"/>
    </row>
    <row r="285" spans="1:19" ht="15.75" customHeight="1" x14ac:dyDescent="0.2">
      <c r="A285"/>
      <c r="B285" s="2"/>
      <c r="C285" s="26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"/>
      <c r="O285" s="2"/>
      <c r="P285" s="2"/>
      <c r="Q285" s="2"/>
      <c r="R285" s="2"/>
      <c r="S285" s="2"/>
    </row>
    <row r="286" spans="1:19" ht="15.75" customHeight="1" x14ac:dyDescent="0.2">
      <c r="A286"/>
      <c r="B286" s="2"/>
      <c r="C286" s="26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"/>
      <c r="O286" s="2"/>
      <c r="P286" s="2"/>
      <c r="Q286" s="2"/>
      <c r="R286" s="2"/>
      <c r="S286" s="2"/>
    </row>
    <row r="287" spans="1:19" ht="15.75" customHeight="1" x14ac:dyDescent="0.2">
      <c r="A287"/>
      <c r="B287" s="2"/>
      <c r="C287" s="26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"/>
      <c r="O287" s="2"/>
      <c r="P287" s="2"/>
      <c r="Q287" s="2"/>
      <c r="R287" s="2"/>
      <c r="S287" s="2"/>
    </row>
    <row r="288" spans="1:19" ht="15.75" customHeight="1" x14ac:dyDescent="0.2">
      <c r="A288"/>
      <c r="B288" s="2"/>
      <c r="C288" s="26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"/>
      <c r="O288" s="2"/>
      <c r="P288" s="2"/>
      <c r="Q288" s="2"/>
      <c r="R288" s="2"/>
      <c r="S288" s="2"/>
    </row>
    <row r="289" spans="1:19" ht="15.75" customHeight="1" x14ac:dyDescent="0.2">
      <c r="A289"/>
      <c r="B289" s="2"/>
      <c r="C289" s="26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"/>
      <c r="O289" s="2"/>
      <c r="P289" s="2"/>
      <c r="Q289" s="2"/>
      <c r="R289" s="2"/>
      <c r="S289" s="2"/>
    </row>
    <row r="290" spans="1:19" ht="15.75" customHeight="1" x14ac:dyDescent="0.2">
      <c r="A290"/>
      <c r="B290" s="2"/>
      <c r="C290" s="26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"/>
      <c r="O290" s="2"/>
      <c r="P290" s="2"/>
      <c r="Q290" s="2"/>
      <c r="R290" s="2"/>
      <c r="S290" s="2"/>
    </row>
    <row r="291" spans="1:19" ht="15.75" customHeight="1" x14ac:dyDescent="0.2">
      <c r="A291"/>
      <c r="B291" s="2"/>
      <c r="C291" s="26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"/>
      <c r="O291" s="2"/>
      <c r="P291" s="2"/>
      <c r="Q291" s="2"/>
      <c r="R291" s="2"/>
      <c r="S291" s="2"/>
    </row>
    <row r="292" spans="1:19" ht="15.75" customHeight="1" x14ac:dyDescent="0.2">
      <c r="A292"/>
      <c r="B292" s="2"/>
      <c r="C292" s="26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"/>
      <c r="O292" s="2"/>
      <c r="P292" s="2"/>
      <c r="Q292" s="2"/>
      <c r="R292" s="2"/>
      <c r="S292" s="2"/>
    </row>
    <row r="293" spans="1:19" ht="15.75" customHeight="1" x14ac:dyDescent="0.2">
      <c r="A293"/>
      <c r="B293" s="2"/>
      <c r="C293" s="26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"/>
      <c r="O293" s="2"/>
      <c r="P293" s="2"/>
      <c r="Q293" s="2"/>
      <c r="R293" s="2"/>
      <c r="S293" s="2"/>
    </row>
    <row r="294" spans="1:19" ht="15.75" customHeight="1" x14ac:dyDescent="0.2">
      <c r="A294"/>
      <c r="B294" s="2"/>
      <c r="C294" s="26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"/>
      <c r="O294" s="2"/>
      <c r="P294" s="2"/>
      <c r="Q294" s="2"/>
      <c r="R294" s="2"/>
      <c r="S294" s="2"/>
    </row>
    <row r="295" spans="1:19" ht="15.75" customHeight="1" x14ac:dyDescent="0.2">
      <c r="A295"/>
      <c r="B295" s="2"/>
      <c r="C295" s="26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"/>
      <c r="O295" s="2"/>
      <c r="P295" s="2"/>
      <c r="Q295" s="2"/>
      <c r="R295" s="2"/>
      <c r="S295" s="2"/>
    </row>
    <row r="296" spans="1:19" ht="15.75" customHeight="1" x14ac:dyDescent="0.2">
      <c r="A296"/>
      <c r="B296" s="2"/>
      <c r="C296" s="26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"/>
      <c r="O296" s="2"/>
      <c r="P296" s="2"/>
      <c r="Q296" s="2"/>
      <c r="R296" s="2"/>
      <c r="S296" s="2"/>
    </row>
    <row r="297" spans="1:19" ht="15.75" customHeight="1" x14ac:dyDescent="0.2">
      <c r="A297"/>
      <c r="B297" s="2"/>
      <c r="C297" s="26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"/>
      <c r="O297" s="2"/>
      <c r="P297" s="2"/>
      <c r="Q297" s="2"/>
      <c r="R297" s="2"/>
      <c r="S297" s="2"/>
    </row>
    <row r="298" spans="1:19" ht="15.75" customHeight="1" x14ac:dyDescent="0.2">
      <c r="A298"/>
      <c r="B298" s="2"/>
      <c r="C298" s="26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"/>
      <c r="O298" s="2"/>
      <c r="P298" s="2"/>
      <c r="Q298" s="2"/>
      <c r="R298" s="2"/>
      <c r="S298" s="2"/>
    </row>
    <row r="299" spans="1:19" ht="15.75" customHeight="1" x14ac:dyDescent="0.2">
      <c r="A299"/>
      <c r="B299" s="2"/>
      <c r="C299" s="26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"/>
      <c r="O299" s="2"/>
      <c r="P299" s="2"/>
      <c r="Q299" s="2"/>
      <c r="R299" s="2"/>
      <c r="S299" s="2"/>
    </row>
    <row r="300" spans="1:19" ht="15.75" customHeight="1" x14ac:dyDescent="0.2">
      <c r="A300"/>
      <c r="B300" s="2"/>
      <c r="C300" s="26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"/>
      <c r="O300" s="2"/>
      <c r="P300" s="2"/>
      <c r="Q300" s="2"/>
      <c r="R300" s="2"/>
      <c r="S300" s="2"/>
    </row>
    <row r="301" spans="1:19" ht="15.75" customHeight="1" x14ac:dyDescent="0.2">
      <c r="A301"/>
      <c r="B301" s="2"/>
      <c r="C301" s="26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"/>
      <c r="O301" s="2"/>
      <c r="P301" s="2"/>
      <c r="Q301" s="2"/>
      <c r="R301" s="2"/>
      <c r="S301" s="2"/>
    </row>
    <row r="302" spans="1:19" ht="15.75" customHeight="1" x14ac:dyDescent="0.2">
      <c r="A302"/>
      <c r="B302" s="2"/>
      <c r="C302" s="26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"/>
      <c r="O302" s="2"/>
      <c r="P302" s="2"/>
      <c r="Q302" s="2"/>
      <c r="R302" s="2"/>
      <c r="S302" s="2"/>
    </row>
    <row r="303" spans="1:19" ht="15.75" customHeight="1" x14ac:dyDescent="0.2">
      <c r="A303"/>
      <c r="B303" s="2"/>
      <c r="C303" s="26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"/>
      <c r="O303" s="2"/>
      <c r="P303" s="2"/>
      <c r="Q303" s="2"/>
      <c r="R303" s="2"/>
      <c r="S303" s="2"/>
    </row>
    <row r="304" spans="1:19" ht="15.75" customHeight="1" x14ac:dyDescent="0.2">
      <c r="A304"/>
      <c r="B304" s="2"/>
      <c r="C304" s="26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"/>
      <c r="O304" s="2"/>
      <c r="P304" s="2"/>
      <c r="Q304" s="2"/>
      <c r="R304" s="2"/>
      <c r="S304" s="2"/>
    </row>
    <row r="305" spans="1:19" ht="15.75" customHeight="1" x14ac:dyDescent="0.2">
      <c r="A305"/>
      <c r="B305" s="2"/>
      <c r="C305" s="26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"/>
      <c r="O305" s="2"/>
      <c r="P305" s="2"/>
      <c r="Q305" s="2"/>
      <c r="R305" s="2"/>
      <c r="S305" s="2"/>
    </row>
    <row r="306" spans="1:19" ht="15.75" customHeight="1" x14ac:dyDescent="0.2">
      <c r="A306"/>
      <c r="B306" s="2"/>
      <c r="C306" s="26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"/>
      <c r="O306" s="2"/>
      <c r="P306" s="2"/>
      <c r="Q306" s="2"/>
      <c r="R306" s="2"/>
      <c r="S306" s="2"/>
    </row>
    <row r="307" spans="1:19" ht="15.75" customHeight="1" x14ac:dyDescent="0.2">
      <c r="A307"/>
      <c r="B307" s="2"/>
      <c r="C307" s="26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"/>
      <c r="O307" s="2"/>
      <c r="P307" s="2"/>
      <c r="Q307" s="2"/>
      <c r="R307" s="2"/>
      <c r="S307" s="2"/>
    </row>
    <row r="308" spans="1:19" ht="15.75" customHeight="1" x14ac:dyDescent="0.2">
      <c r="A308"/>
      <c r="B308" s="2"/>
      <c r="C308" s="26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"/>
      <c r="O308" s="2"/>
      <c r="P308" s="2"/>
      <c r="Q308" s="2"/>
      <c r="R308" s="2"/>
      <c r="S308" s="2"/>
    </row>
    <row r="309" spans="1:19" ht="15.75" customHeight="1" x14ac:dyDescent="0.2">
      <c r="A309"/>
      <c r="B309" s="2"/>
      <c r="C309" s="26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"/>
      <c r="O309" s="2"/>
      <c r="P309" s="2"/>
      <c r="Q309" s="2"/>
      <c r="R309" s="2"/>
      <c r="S309" s="2"/>
    </row>
    <row r="310" spans="1:19" ht="15.75" customHeight="1" x14ac:dyDescent="0.2">
      <c r="A310"/>
      <c r="B310" s="2"/>
      <c r="C310" s="26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"/>
      <c r="O310" s="2"/>
      <c r="P310" s="2"/>
      <c r="Q310" s="2"/>
      <c r="R310" s="2"/>
      <c r="S310" s="2"/>
    </row>
    <row r="311" spans="1:19" ht="15.75" customHeight="1" x14ac:dyDescent="0.2">
      <c r="A311"/>
      <c r="B311" s="2"/>
      <c r="C311" s="26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"/>
      <c r="O311" s="2"/>
      <c r="P311" s="2"/>
      <c r="Q311" s="2"/>
      <c r="R311" s="2"/>
      <c r="S311" s="2"/>
    </row>
    <row r="312" spans="1:19" ht="15.75" customHeight="1" x14ac:dyDescent="0.2">
      <c r="A312"/>
      <c r="B312" s="2"/>
      <c r="C312" s="26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"/>
      <c r="O312" s="2"/>
      <c r="P312" s="2"/>
      <c r="Q312" s="2"/>
      <c r="R312" s="2"/>
      <c r="S312" s="2"/>
    </row>
    <row r="313" spans="1:19" ht="15.75" customHeight="1" x14ac:dyDescent="0.2">
      <c r="A313"/>
      <c r="B313" s="2"/>
      <c r="C313" s="26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"/>
      <c r="O313" s="2"/>
      <c r="P313" s="2"/>
      <c r="Q313" s="2"/>
      <c r="R313" s="2"/>
      <c r="S313" s="2"/>
    </row>
    <row r="314" spans="1:19" ht="15.75" customHeight="1" x14ac:dyDescent="0.2">
      <c r="A314"/>
      <c r="B314" s="2"/>
      <c r="C314" s="26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"/>
      <c r="O314" s="2"/>
      <c r="P314" s="2"/>
      <c r="Q314" s="2"/>
      <c r="R314" s="2"/>
      <c r="S314" s="2"/>
    </row>
    <row r="315" spans="1:19" ht="15.75" customHeight="1" x14ac:dyDescent="0.2">
      <c r="A315"/>
      <c r="B315" s="2"/>
      <c r="C315" s="26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"/>
      <c r="O315" s="2"/>
      <c r="P315" s="2"/>
      <c r="Q315" s="2"/>
      <c r="R315" s="2"/>
      <c r="S315" s="2"/>
    </row>
    <row r="316" spans="1:19" ht="15.75" customHeight="1" x14ac:dyDescent="0.2">
      <c r="A316"/>
      <c r="B316" s="2"/>
      <c r="C316" s="26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"/>
      <c r="O316" s="2"/>
      <c r="P316" s="2"/>
      <c r="Q316" s="2"/>
      <c r="R316" s="2"/>
      <c r="S316" s="2"/>
    </row>
    <row r="317" spans="1:19" ht="15.75" customHeight="1" x14ac:dyDescent="0.2">
      <c r="A317"/>
      <c r="B317" s="2"/>
      <c r="C317" s="26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"/>
      <c r="O317" s="2"/>
      <c r="P317" s="2"/>
      <c r="Q317" s="2"/>
      <c r="R317" s="2"/>
      <c r="S317" s="2"/>
    </row>
    <row r="318" spans="1:19" ht="15.75" customHeight="1" x14ac:dyDescent="0.2">
      <c r="A318"/>
      <c r="B318" s="2"/>
      <c r="C318" s="26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"/>
      <c r="O318" s="2"/>
      <c r="P318" s="2"/>
      <c r="Q318" s="2"/>
      <c r="R318" s="2"/>
      <c r="S318" s="2"/>
    </row>
    <row r="319" spans="1:19" ht="15.75" customHeight="1" x14ac:dyDescent="0.2">
      <c r="A319"/>
      <c r="B319" s="2"/>
      <c r="C319" s="26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"/>
      <c r="O319" s="2"/>
      <c r="P319" s="2"/>
      <c r="Q319" s="2"/>
      <c r="R319" s="2"/>
      <c r="S319" s="2"/>
    </row>
    <row r="320" spans="1:19" ht="15.75" customHeight="1" x14ac:dyDescent="0.2">
      <c r="A320"/>
      <c r="B320" s="2"/>
      <c r="C320" s="26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"/>
      <c r="O320" s="2"/>
      <c r="P320" s="2"/>
      <c r="Q320" s="2"/>
      <c r="R320" s="2"/>
      <c r="S320" s="2"/>
    </row>
    <row r="321" spans="1:19" ht="15.75" customHeight="1" x14ac:dyDescent="0.2">
      <c r="A321"/>
      <c r="B321" s="2"/>
      <c r="C321" s="26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"/>
      <c r="O321" s="2"/>
      <c r="P321" s="2"/>
      <c r="Q321" s="2"/>
      <c r="R321" s="2"/>
      <c r="S321" s="2"/>
    </row>
    <row r="322" spans="1:19" ht="15.75" customHeight="1" x14ac:dyDescent="0.2">
      <c r="A322"/>
      <c r="B322" s="2"/>
      <c r="C322" s="26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"/>
      <c r="O322" s="2"/>
      <c r="P322" s="2"/>
      <c r="Q322" s="2"/>
      <c r="R322" s="2"/>
      <c r="S322" s="2"/>
    </row>
    <row r="323" spans="1:19" ht="15.75" customHeight="1" x14ac:dyDescent="0.2">
      <c r="A323"/>
      <c r="B323" s="2"/>
      <c r="C323" s="26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"/>
      <c r="O323" s="2"/>
      <c r="P323" s="2"/>
      <c r="Q323" s="2"/>
      <c r="R323" s="2"/>
      <c r="S323" s="2"/>
    </row>
    <row r="324" spans="1:19" ht="15.75" customHeight="1" x14ac:dyDescent="0.2">
      <c r="A324"/>
      <c r="B324" s="2"/>
      <c r="C324" s="26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"/>
      <c r="O324" s="2"/>
      <c r="P324" s="2"/>
      <c r="Q324" s="2"/>
      <c r="R324" s="2"/>
      <c r="S324" s="2"/>
    </row>
    <row r="325" spans="1:19" ht="15.75" customHeight="1" x14ac:dyDescent="0.2">
      <c r="A325"/>
      <c r="B325" s="2"/>
      <c r="C325" s="26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"/>
      <c r="O325" s="2"/>
      <c r="P325" s="2"/>
      <c r="Q325" s="2"/>
      <c r="R325" s="2"/>
      <c r="S325" s="2"/>
    </row>
    <row r="326" spans="1:19" ht="15.75" customHeight="1" x14ac:dyDescent="0.2">
      <c r="A326"/>
      <c r="B326" s="2"/>
      <c r="C326" s="26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"/>
      <c r="O326" s="2"/>
      <c r="P326" s="2"/>
      <c r="Q326" s="2"/>
      <c r="R326" s="2"/>
      <c r="S326" s="2"/>
    </row>
    <row r="327" spans="1:19" ht="15.75" customHeight="1" x14ac:dyDescent="0.2">
      <c r="A327"/>
      <c r="B327" s="2"/>
      <c r="C327" s="26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"/>
      <c r="O327" s="2"/>
      <c r="P327" s="2"/>
      <c r="Q327" s="2"/>
      <c r="R327" s="2"/>
      <c r="S327" s="2"/>
    </row>
    <row r="328" spans="1:19" ht="15.75" customHeight="1" x14ac:dyDescent="0.2">
      <c r="A328"/>
      <c r="B328" s="2"/>
      <c r="C328" s="26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"/>
      <c r="O328" s="2"/>
      <c r="P328" s="2"/>
      <c r="Q328" s="2"/>
      <c r="R328" s="2"/>
      <c r="S328" s="2"/>
    </row>
    <row r="329" spans="1:19" ht="15.75" customHeight="1" x14ac:dyDescent="0.2">
      <c r="A329"/>
      <c r="B329" s="2"/>
      <c r="C329" s="26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"/>
      <c r="O329" s="2"/>
      <c r="P329" s="2"/>
      <c r="Q329" s="2"/>
      <c r="R329" s="2"/>
      <c r="S329" s="2"/>
    </row>
    <row r="330" spans="1:19" ht="15.75" customHeight="1" x14ac:dyDescent="0.2">
      <c r="A330"/>
      <c r="B330" s="2"/>
      <c r="C330" s="26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"/>
      <c r="O330" s="2"/>
      <c r="P330" s="2"/>
      <c r="Q330" s="2"/>
      <c r="R330" s="2"/>
      <c r="S330" s="2"/>
    </row>
    <row r="331" spans="1:19" ht="15.75" customHeight="1" x14ac:dyDescent="0.2">
      <c r="A331"/>
      <c r="B331" s="2"/>
      <c r="C331" s="26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"/>
      <c r="O331" s="2"/>
      <c r="P331" s="2"/>
      <c r="Q331" s="2"/>
      <c r="R331" s="2"/>
      <c r="S331" s="2"/>
    </row>
    <row r="332" spans="1:19" ht="15.75" customHeight="1" x14ac:dyDescent="0.2">
      <c r="A332"/>
      <c r="B332" s="2"/>
      <c r="C332" s="26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"/>
      <c r="O332" s="2"/>
      <c r="P332" s="2"/>
      <c r="Q332" s="2"/>
      <c r="R332" s="2"/>
      <c r="S332" s="2"/>
    </row>
    <row r="333" spans="1:19" ht="15.75" customHeight="1" x14ac:dyDescent="0.2">
      <c r="A333"/>
      <c r="B333" s="2"/>
      <c r="C333" s="26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"/>
      <c r="O333" s="2"/>
      <c r="P333" s="2"/>
      <c r="Q333" s="2"/>
      <c r="R333" s="2"/>
      <c r="S333" s="2"/>
    </row>
    <row r="334" spans="1:19" ht="15.75" customHeight="1" x14ac:dyDescent="0.2">
      <c r="A334"/>
      <c r="B334" s="2"/>
      <c r="C334" s="26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"/>
      <c r="O334" s="2"/>
      <c r="P334" s="2"/>
      <c r="Q334" s="2"/>
      <c r="R334" s="2"/>
      <c r="S334" s="2"/>
    </row>
    <row r="335" spans="1:19" ht="15.75" customHeight="1" x14ac:dyDescent="0.2">
      <c r="A335"/>
      <c r="B335" s="2"/>
      <c r="C335" s="26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"/>
      <c r="O335" s="2"/>
      <c r="P335" s="2"/>
      <c r="Q335" s="2"/>
      <c r="R335" s="2"/>
      <c r="S335" s="2"/>
    </row>
    <row r="336" spans="1:19" ht="15.75" customHeight="1" x14ac:dyDescent="0.2">
      <c r="A336"/>
      <c r="B336" s="2"/>
      <c r="C336" s="26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"/>
      <c r="O336" s="2"/>
      <c r="P336" s="2"/>
      <c r="Q336" s="2"/>
      <c r="R336" s="2"/>
      <c r="S336" s="2"/>
    </row>
    <row r="337" spans="1:19" ht="15.75" customHeight="1" x14ac:dyDescent="0.2">
      <c r="A337"/>
      <c r="B337" s="2"/>
      <c r="C337" s="26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"/>
      <c r="O337" s="2"/>
      <c r="P337" s="2"/>
      <c r="Q337" s="2"/>
      <c r="R337" s="2"/>
      <c r="S337" s="2"/>
    </row>
    <row r="338" spans="1:19" ht="15.75" customHeight="1" x14ac:dyDescent="0.2">
      <c r="A338"/>
      <c r="B338" s="2"/>
      <c r="C338" s="26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"/>
      <c r="O338" s="2"/>
      <c r="P338" s="2"/>
      <c r="Q338" s="2"/>
      <c r="R338" s="2"/>
      <c r="S338" s="2"/>
    </row>
    <row r="339" spans="1:19" ht="15.75" customHeight="1" x14ac:dyDescent="0.2">
      <c r="A339"/>
      <c r="B339" s="2"/>
      <c r="C339" s="26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"/>
      <c r="O339" s="2"/>
      <c r="P339" s="2"/>
      <c r="Q339" s="2"/>
      <c r="R339" s="2"/>
      <c r="S339" s="2"/>
    </row>
    <row r="340" spans="1:19" ht="15.75" customHeight="1" x14ac:dyDescent="0.2">
      <c r="A340"/>
      <c r="B340" s="2"/>
      <c r="C340" s="26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"/>
      <c r="O340" s="2"/>
      <c r="P340" s="2"/>
      <c r="Q340" s="2"/>
      <c r="R340" s="2"/>
      <c r="S340" s="2"/>
    </row>
    <row r="341" spans="1:19" ht="15.75" customHeight="1" x14ac:dyDescent="0.2">
      <c r="A341"/>
      <c r="B341" s="2"/>
      <c r="C341" s="26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"/>
      <c r="O341" s="2"/>
      <c r="P341" s="2"/>
      <c r="Q341" s="2"/>
      <c r="R341" s="2"/>
      <c r="S341" s="2"/>
    </row>
    <row r="342" spans="1:19" ht="15.75" customHeight="1" x14ac:dyDescent="0.2">
      <c r="A342"/>
      <c r="B342" s="2"/>
      <c r="C342" s="26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"/>
      <c r="O342" s="2"/>
      <c r="P342" s="2"/>
      <c r="Q342" s="2"/>
      <c r="R342" s="2"/>
      <c r="S342" s="2"/>
    </row>
    <row r="343" spans="1:19" ht="15.75" customHeight="1" x14ac:dyDescent="0.2">
      <c r="A343"/>
      <c r="B343" s="2"/>
      <c r="C343" s="26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"/>
      <c r="O343" s="2"/>
      <c r="P343" s="2"/>
      <c r="Q343" s="2"/>
      <c r="R343" s="2"/>
      <c r="S343" s="2"/>
    </row>
    <row r="344" spans="1:19" ht="15.75" customHeight="1" x14ac:dyDescent="0.2">
      <c r="A344"/>
      <c r="B344" s="2"/>
      <c r="C344" s="26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"/>
      <c r="O344" s="2"/>
      <c r="P344" s="2"/>
      <c r="Q344" s="2"/>
      <c r="R344" s="2"/>
      <c r="S344" s="2"/>
    </row>
    <row r="345" spans="1:19" ht="15.75" customHeight="1" x14ac:dyDescent="0.2">
      <c r="A345"/>
      <c r="B345" s="2"/>
      <c r="C345" s="26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"/>
      <c r="O345" s="2"/>
      <c r="P345" s="2"/>
      <c r="Q345" s="2"/>
      <c r="R345" s="2"/>
      <c r="S345" s="2"/>
    </row>
    <row r="346" spans="1:19" ht="15.75" customHeight="1" x14ac:dyDescent="0.2">
      <c r="A346"/>
      <c r="B346" s="2"/>
      <c r="C346" s="26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"/>
      <c r="O346" s="2"/>
      <c r="P346" s="2"/>
      <c r="Q346" s="2"/>
      <c r="R346" s="2"/>
      <c r="S346" s="2"/>
    </row>
    <row r="347" spans="1:19" ht="15.75" customHeight="1" x14ac:dyDescent="0.2">
      <c r="A347"/>
      <c r="B347" s="2"/>
      <c r="C347" s="26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"/>
      <c r="O347" s="2"/>
      <c r="P347" s="2"/>
      <c r="Q347" s="2"/>
      <c r="R347" s="2"/>
      <c r="S347" s="2"/>
    </row>
    <row r="348" spans="1:19" ht="15.75" customHeight="1" x14ac:dyDescent="0.2">
      <c r="A348"/>
      <c r="B348" s="2"/>
      <c r="C348" s="26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"/>
      <c r="O348" s="2"/>
      <c r="P348" s="2"/>
      <c r="Q348" s="2"/>
      <c r="R348" s="2"/>
      <c r="S348" s="2"/>
    </row>
    <row r="349" spans="1:19" ht="15.75" customHeight="1" x14ac:dyDescent="0.2">
      <c r="A349"/>
      <c r="B349" s="2"/>
      <c r="C349" s="26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"/>
      <c r="O349" s="2"/>
      <c r="P349" s="2"/>
      <c r="Q349" s="2"/>
      <c r="R349" s="2"/>
      <c r="S349" s="2"/>
    </row>
    <row r="350" spans="1:19" ht="15.75" customHeight="1" x14ac:dyDescent="0.2">
      <c r="A350"/>
      <c r="B350" s="2"/>
      <c r="C350" s="26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"/>
      <c r="O350" s="2"/>
      <c r="P350" s="2"/>
      <c r="Q350" s="2"/>
      <c r="R350" s="2"/>
      <c r="S350" s="2"/>
    </row>
    <row r="351" spans="1:19" ht="15.75" customHeight="1" x14ac:dyDescent="0.2">
      <c r="A351"/>
      <c r="B351" s="2"/>
      <c r="C351" s="26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"/>
      <c r="O351" s="2"/>
      <c r="P351" s="2"/>
      <c r="Q351" s="2"/>
      <c r="R351" s="2"/>
      <c r="S351" s="2"/>
    </row>
    <row r="352" spans="1:19" ht="15.75" customHeight="1" x14ac:dyDescent="0.2">
      <c r="A352"/>
      <c r="B352" s="2"/>
      <c r="C352" s="26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"/>
      <c r="O352" s="2"/>
      <c r="P352" s="2"/>
      <c r="Q352" s="2"/>
      <c r="R352" s="2"/>
      <c r="S352" s="2"/>
    </row>
    <row r="353" spans="1:19" ht="15.75" customHeight="1" x14ac:dyDescent="0.2">
      <c r="A353"/>
      <c r="B353" s="2"/>
      <c r="C353" s="26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"/>
      <c r="O353" s="2"/>
      <c r="P353" s="2"/>
      <c r="Q353" s="2"/>
      <c r="R353" s="2"/>
      <c r="S353" s="2"/>
    </row>
    <row r="354" spans="1:19" ht="15.75" customHeight="1" x14ac:dyDescent="0.2">
      <c r="A354"/>
      <c r="B354" s="2"/>
      <c r="C354" s="26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"/>
      <c r="O354" s="2"/>
      <c r="P354" s="2"/>
      <c r="Q354" s="2"/>
      <c r="R354" s="2"/>
      <c r="S354" s="2"/>
    </row>
    <row r="355" spans="1:19" ht="15.75" customHeight="1" x14ac:dyDescent="0.2">
      <c r="A355"/>
      <c r="B355" s="2"/>
      <c r="C355" s="26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"/>
      <c r="O355" s="2"/>
      <c r="P355" s="2"/>
      <c r="Q355" s="2"/>
      <c r="R355" s="2"/>
      <c r="S355" s="2"/>
    </row>
    <row r="356" spans="1:19" ht="15.75" customHeight="1" x14ac:dyDescent="0.2">
      <c r="A356"/>
      <c r="B356" s="2"/>
      <c r="C356" s="26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"/>
      <c r="O356" s="2"/>
      <c r="P356" s="2"/>
      <c r="Q356" s="2"/>
      <c r="R356" s="2"/>
      <c r="S356" s="2"/>
    </row>
    <row r="357" spans="1:19" ht="15.75" customHeight="1" x14ac:dyDescent="0.2">
      <c r="A357"/>
      <c r="B357" s="2"/>
      <c r="C357" s="26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"/>
      <c r="O357" s="2"/>
      <c r="P357" s="2"/>
      <c r="Q357" s="2"/>
      <c r="R357" s="2"/>
      <c r="S357" s="2"/>
    </row>
    <row r="358" spans="1:19" ht="15.75" customHeight="1" x14ac:dyDescent="0.2">
      <c r="A358"/>
      <c r="B358" s="2"/>
      <c r="C358" s="26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"/>
      <c r="O358" s="2"/>
      <c r="P358" s="2"/>
      <c r="Q358" s="2"/>
      <c r="R358" s="2"/>
      <c r="S358" s="2"/>
    </row>
    <row r="359" spans="1:19" ht="15.75" customHeight="1" x14ac:dyDescent="0.2">
      <c r="A359"/>
      <c r="B359" s="2"/>
      <c r="C359" s="26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"/>
      <c r="O359" s="2"/>
      <c r="P359" s="2"/>
      <c r="Q359" s="2"/>
      <c r="R359" s="2"/>
      <c r="S359" s="2"/>
    </row>
    <row r="360" spans="1:19" ht="15.75" customHeight="1" x14ac:dyDescent="0.2">
      <c r="A360"/>
      <c r="B360" s="2"/>
      <c r="C360" s="26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"/>
      <c r="O360" s="2"/>
      <c r="P360" s="2"/>
      <c r="Q360" s="2"/>
      <c r="R360" s="2"/>
      <c r="S360" s="2"/>
    </row>
    <row r="361" spans="1:19" ht="15.75" customHeight="1" x14ac:dyDescent="0.2">
      <c r="A361"/>
      <c r="B361" s="2"/>
      <c r="C361" s="26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"/>
      <c r="O361" s="2"/>
      <c r="P361" s="2"/>
      <c r="Q361" s="2"/>
      <c r="R361" s="2"/>
      <c r="S361" s="2"/>
    </row>
    <row r="362" spans="1:19" ht="15.75" customHeight="1" x14ac:dyDescent="0.2">
      <c r="A362"/>
      <c r="B362" s="2"/>
      <c r="C362" s="26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"/>
      <c r="O362" s="2"/>
      <c r="P362" s="2"/>
      <c r="Q362" s="2"/>
      <c r="R362" s="2"/>
      <c r="S362" s="2"/>
    </row>
    <row r="363" spans="1:19" ht="15.75" customHeight="1" x14ac:dyDescent="0.2">
      <c r="A363"/>
      <c r="B363" s="2"/>
      <c r="C363" s="26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"/>
      <c r="O363" s="2"/>
      <c r="P363" s="2"/>
      <c r="Q363" s="2"/>
      <c r="R363" s="2"/>
      <c r="S363" s="2"/>
    </row>
    <row r="364" spans="1:19" ht="15.75" customHeight="1" x14ac:dyDescent="0.2">
      <c r="A364"/>
      <c r="B364" s="2"/>
      <c r="C364" s="26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"/>
      <c r="O364" s="2"/>
      <c r="P364" s="2"/>
      <c r="Q364" s="2"/>
      <c r="R364" s="2"/>
      <c r="S364" s="2"/>
    </row>
    <row r="365" spans="1:19" ht="15.75" customHeight="1" x14ac:dyDescent="0.2">
      <c r="A365"/>
      <c r="B365" s="2"/>
      <c r="C365" s="26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"/>
      <c r="O365" s="2"/>
      <c r="P365" s="2"/>
      <c r="Q365" s="2"/>
      <c r="R365" s="2"/>
      <c r="S365" s="2"/>
    </row>
    <row r="366" spans="1:19" ht="15.75" customHeight="1" x14ac:dyDescent="0.2">
      <c r="A366"/>
      <c r="B366" s="2"/>
      <c r="C366" s="26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"/>
      <c r="O366" s="2"/>
      <c r="P366" s="2"/>
      <c r="Q366" s="2"/>
      <c r="R366" s="2"/>
      <c r="S366" s="2"/>
    </row>
    <row r="367" spans="1:19" ht="15.75" customHeight="1" x14ac:dyDescent="0.2">
      <c r="A367"/>
      <c r="B367" s="2"/>
      <c r="C367" s="26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"/>
      <c r="O367" s="2"/>
      <c r="P367" s="2"/>
      <c r="Q367" s="2"/>
      <c r="R367" s="2"/>
      <c r="S367" s="2"/>
    </row>
    <row r="368" spans="1:19" ht="15.75" customHeight="1" x14ac:dyDescent="0.2">
      <c r="A368"/>
      <c r="B368" s="2"/>
      <c r="C368" s="26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"/>
      <c r="O368" s="2"/>
      <c r="P368" s="2"/>
      <c r="Q368" s="2"/>
      <c r="R368" s="2"/>
      <c r="S368" s="2"/>
    </row>
    <row r="369" spans="1:19" ht="15.75" customHeight="1" x14ac:dyDescent="0.2">
      <c r="A369"/>
      <c r="B369" s="2"/>
      <c r="C369" s="26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"/>
      <c r="O369" s="2"/>
      <c r="P369" s="2"/>
      <c r="Q369" s="2"/>
      <c r="R369" s="2"/>
      <c r="S369" s="2"/>
    </row>
    <row r="370" spans="1:19" ht="15.75" customHeight="1" x14ac:dyDescent="0.2">
      <c r="A370"/>
      <c r="B370" s="2"/>
      <c r="C370" s="26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"/>
      <c r="O370" s="2"/>
      <c r="P370" s="2"/>
      <c r="Q370" s="2"/>
      <c r="R370" s="2"/>
      <c r="S370" s="2"/>
    </row>
    <row r="371" spans="1:19" ht="15.75" customHeight="1" x14ac:dyDescent="0.2">
      <c r="A371"/>
      <c r="B371" s="2"/>
      <c r="C371" s="26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"/>
      <c r="O371" s="2"/>
      <c r="P371" s="2"/>
      <c r="Q371" s="2"/>
      <c r="R371" s="2"/>
      <c r="S371" s="2"/>
    </row>
    <row r="372" spans="1:19" ht="15.75" customHeight="1" x14ac:dyDescent="0.2">
      <c r="A372"/>
      <c r="B372" s="2"/>
      <c r="C372" s="26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"/>
      <c r="O372" s="2"/>
      <c r="P372" s="2"/>
      <c r="Q372" s="2"/>
      <c r="R372" s="2"/>
      <c r="S372" s="2"/>
    </row>
    <row r="373" spans="1:19" ht="15.75" customHeight="1" x14ac:dyDescent="0.2">
      <c r="A373"/>
      <c r="B373" s="2"/>
      <c r="C373" s="26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"/>
      <c r="O373" s="2"/>
      <c r="P373" s="2"/>
      <c r="Q373" s="2"/>
      <c r="R373" s="2"/>
      <c r="S373" s="2"/>
    </row>
    <row r="374" spans="1:19" ht="15.75" customHeight="1" x14ac:dyDescent="0.2">
      <c r="A374"/>
      <c r="B374" s="2"/>
      <c r="C374" s="26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"/>
      <c r="O374" s="2"/>
      <c r="P374" s="2"/>
      <c r="Q374" s="2"/>
      <c r="R374" s="2"/>
      <c r="S374" s="2"/>
    </row>
    <row r="375" spans="1:19" ht="15.75" customHeight="1" x14ac:dyDescent="0.2">
      <c r="A375"/>
      <c r="B375" s="2"/>
      <c r="C375" s="26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"/>
      <c r="O375" s="2"/>
      <c r="P375" s="2"/>
      <c r="Q375" s="2"/>
      <c r="R375" s="2"/>
      <c r="S375" s="2"/>
    </row>
    <row r="376" spans="1:19" ht="15.75" customHeight="1" x14ac:dyDescent="0.2">
      <c r="A376"/>
      <c r="B376" s="2"/>
      <c r="C376" s="26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"/>
      <c r="O376" s="2"/>
      <c r="P376" s="2"/>
      <c r="Q376" s="2"/>
      <c r="R376" s="2"/>
      <c r="S376" s="2"/>
    </row>
    <row r="377" spans="1:19" ht="15.75" customHeight="1" x14ac:dyDescent="0.2">
      <c r="A377"/>
      <c r="B377" s="2"/>
      <c r="C377" s="26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"/>
      <c r="O377" s="2"/>
      <c r="P377" s="2"/>
      <c r="Q377" s="2"/>
      <c r="R377" s="2"/>
      <c r="S377" s="2"/>
    </row>
    <row r="378" spans="1:19" ht="15.75" customHeight="1" x14ac:dyDescent="0.2">
      <c r="A378"/>
      <c r="B378" s="2"/>
      <c r="C378" s="26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"/>
      <c r="O378" s="2"/>
      <c r="P378" s="2"/>
      <c r="Q378" s="2"/>
      <c r="R378" s="2"/>
      <c r="S378" s="2"/>
    </row>
    <row r="379" spans="1:19" ht="15.75" customHeight="1" x14ac:dyDescent="0.2">
      <c r="A379"/>
      <c r="B379" s="2"/>
      <c r="C379" s="26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"/>
      <c r="O379" s="2"/>
      <c r="P379" s="2"/>
      <c r="Q379" s="2"/>
      <c r="R379" s="2"/>
      <c r="S379" s="2"/>
    </row>
    <row r="380" spans="1:19" ht="15.75" customHeight="1" x14ac:dyDescent="0.2">
      <c r="A380"/>
      <c r="B380" s="2"/>
      <c r="C380" s="26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"/>
      <c r="O380" s="2"/>
      <c r="P380" s="2"/>
      <c r="Q380" s="2"/>
      <c r="R380" s="2"/>
      <c r="S380" s="2"/>
    </row>
    <row r="381" spans="1:19" ht="15.75" customHeight="1" x14ac:dyDescent="0.2">
      <c r="A381"/>
      <c r="B381" s="2"/>
      <c r="C381" s="26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"/>
      <c r="O381" s="2"/>
      <c r="P381" s="2"/>
      <c r="Q381" s="2"/>
      <c r="R381" s="2"/>
      <c r="S381" s="2"/>
    </row>
    <row r="382" spans="1:19" ht="15.75" customHeight="1" x14ac:dyDescent="0.2">
      <c r="A382"/>
      <c r="B382" s="2"/>
      <c r="C382" s="26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"/>
      <c r="O382" s="2"/>
      <c r="P382" s="2"/>
      <c r="Q382" s="2"/>
      <c r="R382" s="2"/>
      <c r="S382" s="2"/>
    </row>
    <row r="383" spans="1:19" ht="15.75" customHeight="1" x14ac:dyDescent="0.2">
      <c r="A383"/>
      <c r="B383" s="2"/>
      <c r="C383" s="26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"/>
      <c r="O383" s="2"/>
      <c r="P383" s="2"/>
      <c r="Q383" s="2"/>
      <c r="R383" s="2"/>
      <c r="S383" s="2"/>
    </row>
    <row r="384" spans="1:19" ht="15.75" customHeight="1" x14ac:dyDescent="0.2">
      <c r="A384"/>
      <c r="B384" s="2"/>
      <c r="C384" s="26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"/>
      <c r="O384" s="2"/>
      <c r="P384" s="2"/>
      <c r="Q384" s="2"/>
      <c r="R384" s="2"/>
      <c r="S384" s="2"/>
    </row>
    <row r="385" spans="1:19" ht="15.75" customHeight="1" x14ac:dyDescent="0.2">
      <c r="A385"/>
      <c r="B385" s="2"/>
      <c r="C385" s="26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"/>
      <c r="O385" s="2"/>
      <c r="P385" s="2"/>
      <c r="Q385" s="2"/>
      <c r="R385" s="2"/>
      <c r="S385" s="2"/>
    </row>
    <row r="386" spans="1:19" ht="15.75" customHeight="1" x14ac:dyDescent="0.2">
      <c r="A386"/>
      <c r="B386" s="2"/>
      <c r="C386" s="26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"/>
      <c r="O386" s="2"/>
      <c r="P386" s="2"/>
      <c r="Q386" s="2"/>
      <c r="R386" s="2"/>
      <c r="S386" s="2"/>
    </row>
    <row r="387" spans="1:19" ht="15.75" customHeight="1" x14ac:dyDescent="0.2">
      <c r="A387"/>
      <c r="B387" s="2"/>
      <c r="C387" s="26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"/>
      <c r="O387" s="2"/>
      <c r="P387" s="2"/>
      <c r="Q387" s="2"/>
      <c r="R387" s="2"/>
      <c r="S387" s="2"/>
    </row>
    <row r="388" spans="1:19" ht="15.75" customHeight="1" x14ac:dyDescent="0.2">
      <c r="A388"/>
      <c r="B388" s="2"/>
      <c r="C388" s="26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"/>
      <c r="O388" s="2"/>
      <c r="P388" s="2"/>
      <c r="Q388" s="2"/>
      <c r="R388" s="2"/>
      <c r="S388" s="2"/>
    </row>
    <row r="389" spans="1:19" ht="15.75" customHeight="1" x14ac:dyDescent="0.2">
      <c r="A389"/>
      <c r="B389" s="2"/>
      <c r="C389" s="26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"/>
      <c r="O389" s="2"/>
      <c r="P389" s="2"/>
      <c r="Q389" s="2"/>
      <c r="R389" s="2"/>
      <c r="S389" s="2"/>
    </row>
    <row r="390" spans="1:19" ht="15.75" customHeight="1" x14ac:dyDescent="0.2">
      <c r="A390"/>
      <c r="B390" s="2"/>
      <c r="C390" s="26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"/>
      <c r="O390" s="2"/>
      <c r="P390" s="2"/>
      <c r="Q390" s="2"/>
      <c r="R390" s="2"/>
      <c r="S390" s="2"/>
    </row>
    <row r="391" spans="1:19" ht="15.75" customHeight="1" x14ac:dyDescent="0.2">
      <c r="A391"/>
      <c r="B391" s="2"/>
      <c r="C391" s="26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"/>
      <c r="O391" s="2"/>
      <c r="P391" s="2"/>
      <c r="Q391" s="2"/>
      <c r="R391" s="2"/>
      <c r="S391" s="2"/>
    </row>
    <row r="392" spans="1:19" ht="15.75" customHeight="1" x14ac:dyDescent="0.2">
      <c r="A392"/>
      <c r="B392" s="2"/>
      <c r="C392" s="26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"/>
      <c r="O392" s="2"/>
      <c r="P392" s="2"/>
      <c r="Q392" s="2"/>
      <c r="R392" s="2"/>
      <c r="S392" s="2"/>
    </row>
    <row r="393" spans="1:19" ht="15.75" customHeight="1" x14ac:dyDescent="0.2">
      <c r="A393"/>
      <c r="B393" s="2"/>
      <c r="C393" s="26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"/>
      <c r="O393" s="2"/>
      <c r="P393" s="2"/>
      <c r="Q393" s="2"/>
      <c r="R393" s="2"/>
      <c r="S393" s="2"/>
    </row>
    <row r="394" spans="1:19" ht="15.75" customHeight="1" x14ac:dyDescent="0.2">
      <c r="A394"/>
      <c r="B394" s="2"/>
      <c r="C394" s="26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"/>
      <c r="O394" s="2"/>
      <c r="P394" s="2"/>
      <c r="Q394" s="2"/>
      <c r="R394" s="2"/>
      <c r="S394" s="2"/>
    </row>
    <row r="395" spans="1:19" ht="15.75" customHeight="1" x14ac:dyDescent="0.2">
      <c r="A395"/>
      <c r="B395" s="2"/>
      <c r="C395" s="26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"/>
      <c r="O395" s="2"/>
      <c r="P395" s="2"/>
      <c r="Q395" s="2"/>
      <c r="R395" s="2"/>
      <c r="S395" s="2"/>
    </row>
    <row r="396" spans="1:19" ht="15.75" customHeight="1" x14ac:dyDescent="0.2">
      <c r="A396"/>
      <c r="B396" s="2"/>
      <c r="C396" s="26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"/>
      <c r="O396" s="2"/>
      <c r="P396" s="2"/>
      <c r="Q396" s="2"/>
      <c r="R396" s="2"/>
      <c r="S396" s="2"/>
    </row>
    <row r="397" spans="1:19" ht="15.75" customHeight="1" x14ac:dyDescent="0.2">
      <c r="A397"/>
      <c r="B397" s="2"/>
      <c r="C397" s="26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"/>
      <c r="O397" s="2"/>
      <c r="P397" s="2"/>
      <c r="Q397" s="2"/>
      <c r="R397" s="2"/>
      <c r="S397" s="2"/>
    </row>
    <row r="398" spans="1:19" ht="15.75" customHeight="1" x14ac:dyDescent="0.2">
      <c r="A398"/>
      <c r="B398" s="2"/>
      <c r="C398" s="26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"/>
      <c r="O398" s="2"/>
      <c r="P398" s="2"/>
      <c r="Q398" s="2"/>
      <c r="R398" s="2"/>
      <c r="S398" s="2"/>
    </row>
    <row r="399" spans="1:19" ht="15.75" customHeight="1" x14ac:dyDescent="0.2">
      <c r="A399"/>
      <c r="B399" s="2"/>
      <c r="C399" s="26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"/>
      <c r="O399" s="2"/>
      <c r="P399" s="2"/>
      <c r="Q399" s="2"/>
      <c r="R399" s="2"/>
      <c r="S399" s="2"/>
    </row>
    <row r="400" spans="1:19" ht="15.75" customHeight="1" x14ac:dyDescent="0.2">
      <c r="A400"/>
      <c r="B400" s="2"/>
      <c r="C400" s="26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"/>
      <c r="O400" s="2"/>
      <c r="P400" s="2"/>
      <c r="Q400" s="2"/>
      <c r="R400" s="2"/>
      <c r="S400" s="2"/>
    </row>
    <row r="401" spans="1:19" ht="15.75" customHeight="1" x14ac:dyDescent="0.2">
      <c r="A401"/>
      <c r="B401" s="2"/>
      <c r="C401" s="26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"/>
      <c r="O401" s="2"/>
      <c r="P401" s="2"/>
      <c r="Q401" s="2"/>
      <c r="R401" s="2"/>
      <c r="S401" s="2"/>
    </row>
    <row r="402" spans="1:19" ht="15.75" customHeight="1" x14ac:dyDescent="0.2">
      <c r="A402"/>
      <c r="B402" s="2"/>
      <c r="C402" s="26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"/>
      <c r="O402" s="2"/>
      <c r="P402" s="2"/>
      <c r="Q402" s="2"/>
      <c r="R402" s="2"/>
      <c r="S402" s="2"/>
    </row>
    <row r="403" spans="1:19" ht="15.75" customHeight="1" x14ac:dyDescent="0.2">
      <c r="A403"/>
      <c r="B403" s="2"/>
      <c r="C403" s="26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"/>
      <c r="O403" s="2"/>
      <c r="P403" s="2"/>
      <c r="Q403" s="2"/>
      <c r="R403" s="2"/>
      <c r="S403" s="2"/>
    </row>
    <row r="404" spans="1:19" ht="15.75" customHeight="1" x14ac:dyDescent="0.2">
      <c r="A404"/>
      <c r="B404" s="2"/>
      <c r="C404" s="26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"/>
      <c r="O404" s="2"/>
      <c r="P404" s="2"/>
      <c r="Q404" s="2"/>
      <c r="R404" s="2"/>
      <c r="S404" s="2"/>
    </row>
    <row r="405" spans="1:19" ht="15.75" customHeight="1" x14ac:dyDescent="0.2">
      <c r="A405"/>
      <c r="B405" s="2"/>
      <c r="C405" s="26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"/>
      <c r="O405" s="2"/>
      <c r="P405" s="2"/>
      <c r="Q405" s="2"/>
      <c r="R405" s="2"/>
      <c r="S405" s="2"/>
    </row>
    <row r="406" spans="1:19" ht="15.75" customHeight="1" x14ac:dyDescent="0.2">
      <c r="A406"/>
      <c r="B406" s="2"/>
      <c r="C406" s="26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"/>
      <c r="O406" s="2"/>
      <c r="P406" s="2"/>
      <c r="Q406" s="2"/>
      <c r="R406" s="2"/>
      <c r="S406" s="2"/>
    </row>
    <row r="407" spans="1:19" ht="15.75" customHeight="1" x14ac:dyDescent="0.2">
      <c r="A407"/>
      <c r="B407" s="2"/>
      <c r="C407" s="26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"/>
      <c r="O407" s="2"/>
      <c r="P407" s="2"/>
      <c r="Q407" s="2"/>
      <c r="R407" s="2"/>
      <c r="S407" s="2"/>
    </row>
    <row r="408" spans="1:19" ht="15.75" customHeight="1" x14ac:dyDescent="0.2">
      <c r="A408"/>
      <c r="B408" s="2"/>
      <c r="C408" s="26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"/>
      <c r="O408" s="2"/>
      <c r="P408" s="2"/>
      <c r="Q408" s="2"/>
      <c r="R408" s="2"/>
      <c r="S408" s="2"/>
    </row>
    <row r="409" spans="1:19" ht="15.75" customHeight="1" x14ac:dyDescent="0.2">
      <c r="A409"/>
      <c r="B409" s="2"/>
      <c r="C409" s="26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"/>
      <c r="O409" s="2"/>
      <c r="P409" s="2"/>
      <c r="Q409" s="2"/>
      <c r="R409" s="2"/>
      <c r="S409" s="2"/>
    </row>
    <row r="410" spans="1:19" ht="15.75" customHeight="1" x14ac:dyDescent="0.2">
      <c r="A410"/>
      <c r="B410" s="2"/>
      <c r="C410" s="26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"/>
      <c r="O410" s="2"/>
      <c r="P410" s="2"/>
      <c r="Q410" s="2"/>
      <c r="R410" s="2"/>
      <c r="S410" s="2"/>
    </row>
    <row r="411" spans="1:19" ht="15.75" customHeight="1" x14ac:dyDescent="0.2">
      <c r="A411"/>
      <c r="B411" s="2"/>
      <c r="C411" s="26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"/>
      <c r="O411" s="2"/>
      <c r="P411" s="2"/>
      <c r="Q411" s="2"/>
      <c r="R411" s="2"/>
      <c r="S411" s="2"/>
    </row>
    <row r="412" spans="1:19" ht="15.75" customHeight="1" x14ac:dyDescent="0.2">
      <c r="A412"/>
      <c r="B412" s="2"/>
      <c r="C412" s="26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"/>
      <c r="O412" s="2"/>
      <c r="P412" s="2"/>
      <c r="Q412" s="2"/>
      <c r="R412" s="2"/>
      <c r="S412" s="2"/>
    </row>
    <row r="413" spans="1:19" ht="15.75" customHeight="1" x14ac:dyDescent="0.2">
      <c r="A413"/>
      <c r="B413" s="2"/>
      <c r="C413" s="26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"/>
      <c r="O413" s="2"/>
      <c r="P413" s="2"/>
      <c r="Q413" s="2"/>
      <c r="R413" s="2"/>
      <c r="S413" s="2"/>
    </row>
    <row r="414" spans="1:19" ht="15.75" customHeight="1" x14ac:dyDescent="0.2">
      <c r="A414"/>
      <c r="B414" s="2"/>
      <c r="C414" s="26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"/>
      <c r="O414" s="2"/>
      <c r="P414" s="2"/>
      <c r="Q414" s="2"/>
      <c r="R414" s="2"/>
      <c r="S414" s="2"/>
    </row>
    <row r="415" spans="1:19" ht="15.75" customHeight="1" x14ac:dyDescent="0.2">
      <c r="A415"/>
      <c r="B415" s="2"/>
      <c r="C415" s="26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"/>
      <c r="O415" s="2"/>
      <c r="P415" s="2"/>
      <c r="Q415" s="2"/>
      <c r="R415" s="2"/>
      <c r="S415" s="2"/>
    </row>
    <row r="416" spans="1:19" ht="15.75" customHeight="1" x14ac:dyDescent="0.2">
      <c r="A416"/>
      <c r="B416" s="2"/>
      <c r="C416" s="26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"/>
      <c r="O416" s="2"/>
      <c r="P416" s="2"/>
      <c r="Q416" s="2"/>
      <c r="R416" s="2"/>
      <c r="S416" s="2"/>
    </row>
    <row r="417" spans="1:19" ht="15.75" customHeight="1" x14ac:dyDescent="0.2">
      <c r="A417"/>
      <c r="B417" s="2"/>
      <c r="C417" s="26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"/>
      <c r="O417" s="2"/>
      <c r="P417" s="2"/>
      <c r="Q417" s="2"/>
      <c r="R417" s="2"/>
      <c r="S417" s="2"/>
    </row>
    <row r="418" spans="1:19" ht="15.75" customHeight="1" x14ac:dyDescent="0.2">
      <c r="A418"/>
      <c r="B418" s="2"/>
      <c r="C418" s="26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"/>
      <c r="O418" s="2"/>
      <c r="P418" s="2"/>
      <c r="Q418" s="2"/>
      <c r="R418" s="2"/>
      <c r="S418" s="2"/>
    </row>
    <row r="419" spans="1:19" ht="15.75" customHeight="1" x14ac:dyDescent="0.2">
      <c r="A419"/>
      <c r="B419" s="2"/>
      <c r="C419" s="26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"/>
      <c r="O419" s="2"/>
      <c r="P419" s="2"/>
      <c r="Q419" s="2"/>
      <c r="R419" s="2"/>
      <c r="S419" s="2"/>
    </row>
    <row r="420" spans="1:19" ht="15.75" customHeight="1" x14ac:dyDescent="0.2">
      <c r="A420"/>
      <c r="B420" s="2"/>
      <c r="C420" s="26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"/>
      <c r="O420" s="2"/>
      <c r="P420" s="2"/>
      <c r="Q420" s="2"/>
      <c r="R420" s="2"/>
      <c r="S420" s="2"/>
    </row>
    <row r="421" spans="1:19" ht="15.75" customHeight="1" x14ac:dyDescent="0.2">
      <c r="A421"/>
      <c r="B421" s="2"/>
      <c r="C421" s="26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"/>
      <c r="O421" s="2"/>
      <c r="P421" s="2"/>
      <c r="Q421" s="2"/>
      <c r="R421" s="2"/>
      <c r="S421" s="2"/>
    </row>
    <row r="422" spans="1:19" ht="15.75" customHeight="1" x14ac:dyDescent="0.2">
      <c r="A422"/>
      <c r="B422" s="2"/>
      <c r="C422" s="26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"/>
      <c r="O422" s="2"/>
      <c r="P422" s="2"/>
      <c r="Q422" s="2"/>
      <c r="R422" s="2"/>
      <c r="S422" s="2"/>
    </row>
    <row r="423" spans="1:19" ht="15.75" customHeight="1" x14ac:dyDescent="0.2">
      <c r="A423"/>
      <c r="B423" s="2"/>
      <c r="C423" s="26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"/>
      <c r="O423" s="2"/>
      <c r="P423" s="2"/>
      <c r="Q423" s="2"/>
      <c r="R423" s="2"/>
      <c r="S423" s="2"/>
    </row>
    <row r="424" spans="1:19" ht="15.75" customHeight="1" x14ac:dyDescent="0.2">
      <c r="A424"/>
      <c r="B424" s="2"/>
      <c r="C424" s="26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"/>
      <c r="O424" s="2"/>
      <c r="P424" s="2"/>
      <c r="Q424" s="2"/>
      <c r="R424" s="2"/>
      <c r="S424" s="2"/>
    </row>
    <row r="425" spans="1:19" ht="15.75" customHeight="1" x14ac:dyDescent="0.2">
      <c r="A425"/>
      <c r="B425" s="2"/>
      <c r="C425" s="26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"/>
      <c r="O425" s="2"/>
      <c r="P425" s="2"/>
      <c r="Q425" s="2"/>
      <c r="R425" s="2"/>
      <c r="S425" s="2"/>
    </row>
    <row r="426" spans="1:19" ht="15.75" customHeight="1" x14ac:dyDescent="0.2">
      <c r="A426"/>
      <c r="B426" s="2"/>
      <c r="C426" s="26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"/>
      <c r="O426" s="2"/>
      <c r="P426" s="2"/>
      <c r="Q426" s="2"/>
      <c r="R426" s="2"/>
      <c r="S426" s="2"/>
    </row>
    <row r="427" spans="1:19" ht="15.75" customHeight="1" x14ac:dyDescent="0.2">
      <c r="A427"/>
      <c r="B427" s="2"/>
      <c r="C427" s="26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"/>
      <c r="O427" s="2"/>
      <c r="P427" s="2"/>
      <c r="Q427" s="2"/>
      <c r="R427" s="2"/>
      <c r="S427" s="2"/>
    </row>
    <row r="428" spans="1:19" ht="15.75" customHeight="1" x14ac:dyDescent="0.2">
      <c r="A428"/>
      <c r="B428" s="2"/>
      <c r="C428" s="26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"/>
      <c r="O428" s="2"/>
      <c r="P428" s="2"/>
      <c r="Q428" s="2"/>
      <c r="R428" s="2"/>
      <c r="S428" s="2"/>
    </row>
    <row r="429" spans="1:19" ht="15.75" customHeight="1" x14ac:dyDescent="0.2">
      <c r="A429"/>
      <c r="B429" s="2"/>
      <c r="C429" s="26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"/>
      <c r="O429" s="2"/>
      <c r="P429" s="2"/>
      <c r="Q429" s="2"/>
      <c r="R429" s="2"/>
      <c r="S429" s="2"/>
    </row>
    <row r="430" spans="1:19" ht="15.75" customHeight="1" x14ac:dyDescent="0.2">
      <c r="A430"/>
      <c r="B430" s="2"/>
      <c r="C430" s="26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"/>
      <c r="O430" s="2"/>
      <c r="P430" s="2"/>
      <c r="Q430" s="2"/>
      <c r="R430" s="2"/>
      <c r="S430" s="2"/>
    </row>
    <row r="431" spans="1:19" ht="15.75" customHeight="1" x14ac:dyDescent="0.2">
      <c r="A431"/>
      <c r="B431" s="2"/>
      <c r="C431" s="26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"/>
      <c r="O431" s="2"/>
      <c r="P431" s="2"/>
      <c r="Q431" s="2"/>
      <c r="R431" s="2"/>
      <c r="S431" s="2"/>
    </row>
    <row r="432" spans="1:19" ht="15.75" customHeight="1" x14ac:dyDescent="0.2">
      <c r="A432"/>
      <c r="B432" s="2"/>
      <c r="C432" s="26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"/>
      <c r="O432" s="2"/>
      <c r="P432" s="2"/>
      <c r="Q432" s="2"/>
      <c r="R432" s="2"/>
      <c r="S432" s="2"/>
    </row>
    <row r="433" spans="1:19" ht="15.75" customHeight="1" x14ac:dyDescent="0.2">
      <c r="A433"/>
      <c r="B433" s="2"/>
      <c r="C433" s="26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"/>
      <c r="O433" s="2"/>
      <c r="P433" s="2"/>
      <c r="Q433" s="2"/>
      <c r="R433" s="2"/>
      <c r="S433" s="2"/>
    </row>
    <row r="434" spans="1:19" ht="15.75" customHeight="1" x14ac:dyDescent="0.2">
      <c r="A434"/>
      <c r="B434" s="2"/>
      <c r="C434" s="26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"/>
      <c r="O434" s="2"/>
      <c r="P434" s="2"/>
      <c r="Q434" s="2"/>
      <c r="R434" s="2"/>
      <c r="S434" s="2"/>
    </row>
    <row r="435" spans="1:19" ht="15.75" customHeight="1" x14ac:dyDescent="0.2">
      <c r="A435"/>
      <c r="B435" s="2"/>
      <c r="C435" s="26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"/>
      <c r="O435" s="2"/>
      <c r="P435" s="2"/>
      <c r="Q435" s="2"/>
      <c r="R435" s="2"/>
      <c r="S435" s="2"/>
    </row>
    <row r="436" spans="1:19" ht="15.75" customHeight="1" x14ac:dyDescent="0.2">
      <c r="A436"/>
      <c r="B436" s="2"/>
      <c r="C436" s="26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"/>
      <c r="O436" s="2"/>
      <c r="P436" s="2"/>
      <c r="Q436" s="2"/>
      <c r="R436" s="2"/>
      <c r="S436" s="2"/>
    </row>
    <row r="437" spans="1:19" ht="15.75" customHeight="1" x14ac:dyDescent="0.2">
      <c r="A437"/>
      <c r="B437" s="2"/>
      <c r="C437" s="26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"/>
      <c r="O437" s="2"/>
      <c r="P437" s="2"/>
      <c r="Q437" s="2"/>
      <c r="R437" s="2"/>
      <c r="S437" s="2"/>
    </row>
    <row r="438" spans="1:19" ht="15.75" customHeight="1" x14ac:dyDescent="0.2">
      <c r="A438"/>
      <c r="B438" s="2"/>
      <c r="C438" s="26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"/>
      <c r="O438" s="2"/>
      <c r="P438" s="2"/>
      <c r="Q438" s="2"/>
      <c r="R438" s="2"/>
      <c r="S438" s="2"/>
    </row>
    <row r="439" spans="1:19" ht="15.75" customHeight="1" x14ac:dyDescent="0.2">
      <c r="A439"/>
      <c r="B439" s="2"/>
      <c r="C439" s="26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"/>
      <c r="O439" s="2"/>
      <c r="P439" s="2"/>
      <c r="Q439" s="2"/>
      <c r="R439" s="2"/>
      <c r="S439" s="2"/>
    </row>
    <row r="440" spans="1:19" ht="15.75" customHeight="1" x14ac:dyDescent="0.2">
      <c r="A440"/>
      <c r="B440" s="2"/>
      <c r="C440" s="26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"/>
      <c r="O440" s="2"/>
      <c r="P440" s="2"/>
      <c r="Q440" s="2"/>
      <c r="R440" s="2"/>
      <c r="S440" s="2"/>
    </row>
    <row r="441" spans="1:19" ht="15.75" customHeight="1" x14ac:dyDescent="0.2">
      <c r="A441"/>
      <c r="B441" s="2"/>
      <c r="C441" s="26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"/>
      <c r="O441" s="2"/>
      <c r="P441" s="2"/>
      <c r="Q441" s="2"/>
      <c r="R441" s="2"/>
      <c r="S441" s="2"/>
    </row>
    <row r="442" spans="1:19" ht="15.75" customHeight="1" x14ac:dyDescent="0.2">
      <c r="A442"/>
      <c r="B442" s="2"/>
      <c r="C442" s="26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"/>
      <c r="O442" s="2"/>
      <c r="P442" s="2"/>
      <c r="Q442" s="2"/>
      <c r="R442" s="2"/>
      <c r="S442" s="2"/>
    </row>
    <row r="443" spans="1:19" ht="15.75" customHeight="1" x14ac:dyDescent="0.2">
      <c r="A443"/>
      <c r="B443" s="2"/>
      <c r="C443" s="26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"/>
      <c r="O443" s="2"/>
      <c r="P443" s="2"/>
      <c r="Q443" s="2"/>
      <c r="R443" s="2"/>
      <c r="S443" s="2"/>
    </row>
    <row r="444" spans="1:19" ht="15.75" customHeight="1" x14ac:dyDescent="0.2">
      <c r="A444"/>
      <c r="B444" s="2"/>
      <c r="C444" s="26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"/>
      <c r="O444" s="2"/>
      <c r="P444" s="2"/>
      <c r="Q444" s="2"/>
      <c r="R444" s="2"/>
      <c r="S444" s="2"/>
    </row>
    <row r="445" spans="1:19" ht="15.75" customHeight="1" x14ac:dyDescent="0.2">
      <c r="A445"/>
      <c r="B445" s="2"/>
      <c r="C445" s="26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"/>
      <c r="O445" s="2"/>
      <c r="P445" s="2"/>
      <c r="Q445" s="2"/>
      <c r="R445" s="2"/>
      <c r="S445" s="2"/>
    </row>
    <row r="446" spans="1:19" ht="15.75" customHeight="1" x14ac:dyDescent="0.2">
      <c r="A446"/>
      <c r="B446" s="2"/>
      <c r="C446" s="26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"/>
      <c r="O446" s="2"/>
      <c r="P446" s="2"/>
      <c r="Q446" s="2"/>
      <c r="R446" s="2"/>
      <c r="S446" s="2"/>
    </row>
    <row r="447" spans="1:19" ht="15.75" customHeight="1" x14ac:dyDescent="0.2">
      <c r="A447"/>
      <c r="B447" s="2"/>
      <c r="C447" s="26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"/>
      <c r="O447" s="2"/>
      <c r="P447" s="2"/>
      <c r="Q447" s="2"/>
      <c r="R447" s="2"/>
      <c r="S447" s="2"/>
    </row>
    <row r="448" spans="1:19" ht="15.75" customHeight="1" x14ac:dyDescent="0.2">
      <c r="A448"/>
      <c r="B448" s="2"/>
      <c r="C448" s="26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"/>
      <c r="O448" s="2"/>
      <c r="P448" s="2"/>
      <c r="Q448" s="2"/>
      <c r="R448" s="2"/>
      <c r="S448" s="2"/>
    </row>
    <row r="449" spans="1:19" ht="15.75" customHeight="1" x14ac:dyDescent="0.2">
      <c r="A449"/>
      <c r="B449" s="2"/>
      <c r="C449" s="26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"/>
      <c r="O449" s="2"/>
      <c r="P449" s="2"/>
      <c r="Q449" s="2"/>
      <c r="R449" s="2"/>
      <c r="S449" s="2"/>
    </row>
    <row r="450" spans="1:19" ht="15.75" customHeight="1" x14ac:dyDescent="0.2">
      <c r="A450"/>
      <c r="B450" s="2"/>
      <c r="C450" s="26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"/>
      <c r="O450" s="2"/>
      <c r="P450" s="2"/>
      <c r="Q450" s="2"/>
      <c r="R450" s="2"/>
      <c r="S450" s="2"/>
    </row>
    <row r="451" spans="1:19" ht="15.75" customHeight="1" x14ac:dyDescent="0.2">
      <c r="A451"/>
      <c r="B451" s="2"/>
      <c r="C451" s="26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"/>
      <c r="O451" s="2"/>
      <c r="P451" s="2"/>
      <c r="Q451" s="2"/>
      <c r="R451" s="2"/>
      <c r="S451" s="2"/>
    </row>
    <row r="452" spans="1:19" ht="15.75" customHeight="1" x14ac:dyDescent="0.2">
      <c r="A452"/>
      <c r="B452" s="2"/>
      <c r="C452" s="26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"/>
      <c r="O452" s="2"/>
      <c r="P452" s="2"/>
      <c r="Q452" s="2"/>
      <c r="R452" s="2"/>
      <c r="S452" s="2"/>
    </row>
    <row r="453" spans="1:19" ht="15.75" customHeight="1" x14ac:dyDescent="0.2">
      <c r="A453"/>
      <c r="B453" s="2"/>
      <c r="C453" s="26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"/>
      <c r="O453" s="2"/>
      <c r="P453" s="2"/>
      <c r="Q453" s="2"/>
      <c r="R453" s="2"/>
      <c r="S453" s="2"/>
    </row>
    <row r="454" spans="1:19" ht="15.75" customHeight="1" x14ac:dyDescent="0.2">
      <c r="A454"/>
      <c r="B454" s="2"/>
      <c r="C454" s="26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"/>
      <c r="O454" s="2"/>
      <c r="P454" s="2"/>
      <c r="Q454" s="2"/>
      <c r="R454" s="2"/>
      <c r="S454" s="2"/>
    </row>
    <row r="455" spans="1:19" ht="15.75" customHeight="1" x14ac:dyDescent="0.2">
      <c r="A455"/>
      <c r="B455" s="2"/>
      <c r="C455" s="26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"/>
      <c r="O455" s="2"/>
      <c r="P455" s="2"/>
      <c r="Q455" s="2"/>
      <c r="R455" s="2"/>
      <c r="S455" s="2"/>
    </row>
    <row r="456" spans="1:19" ht="15.75" customHeight="1" x14ac:dyDescent="0.2">
      <c r="A456"/>
      <c r="B456" s="2"/>
      <c r="C456" s="26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"/>
      <c r="O456" s="2"/>
      <c r="P456" s="2"/>
      <c r="Q456" s="2"/>
      <c r="R456" s="2"/>
      <c r="S456" s="2"/>
    </row>
    <row r="457" spans="1:19" ht="15.75" customHeight="1" x14ac:dyDescent="0.2">
      <c r="A457"/>
      <c r="B457" s="2"/>
      <c r="C457" s="26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"/>
      <c r="O457" s="2"/>
      <c r="P457" s="2"/>
      <c r="Q457" s="2"/>
      <c r="R457" s="2"/>
      <c r="S457" s="2"/>
    </row>
    <row r="458" spans="1:19" ht="15.75" customHeight="1" x14ac:dyDescent="0.2">
      <c r="A458"/>
      <c r="B458" s="2"/>
      <c r="C458" s="26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"/>
      <c r="O458" s="2"/>
      <c r="P458" s="2"/>
      <c r="Q458" s="2"/>
      <c r="R458" s="2"/>
      <c r="S458" s="2"/>
    </row>
    <row r="459" spans="1:19" ht="15.75" customHeight="1" x14ac:dyDescent="0.2">
      <c r="A459"/>
      <c r="B459" s="2"/>
      <c r="C459" s="26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"/>
      <c r="O459" s="2"/>
      <c r="P459" s="2"/>
      <c r="Q459" s="2"/>
      <c r="R459" s="2"/>
      <c r="S459" s="2"/>
    </row>
    <row r="460" spans="1:19" ht="15.75" customHeight="1" x14ac:dyDescent="0.2">
      <c r="A460"/>
      <c r="B460" s="2"/>
      <c r="C460" s="26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"/>
      <c r="O460" s="2"/>
      <c r="P460" s="2"/>
      <c r="Q460" s="2"/>
      <c r="R460" s="2"/>
      <c r="S460" s="2"/>
    </row>
    <row r="461" spans="1:19" ht="15.75" customHeight="1" x14ac:dyDescent="0.2">
      <c r="A461"/>
      <c r="B461" s="2"/>
      <c r="C461" s="26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"/>
      <c r="O461" s="2"/>
      <c r="P461" s="2"/>
      <c r="Q461" s="2"/>
      <c r="R461" s="2"/>
      <c r="S461" s="2"/>
    </row>
    <row r="462" spans="1:19" ht="15.75" customHeight="1" x14ac:dyDescent="0.2">
      <c r="A462"/>
      <c r="B462" s="2"/>
      <c r="C462" s="26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"/>
      <c r="O462" s="2"/>
      <c r="P462" s="2"/>
      <c r="Q462" s="2"/>
      <c r="R462" s="2"/>
      <c r="S462" s="2"/>
    </row>
    <row r="463" spans="1:19" ht="15.75" customHeight="1" x14ac:dyDescent="0.2">
      <c r="A463"/>
      <c r="B463" s="2"/>
      <c r="C463" s="26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"/>
      <c r="O463" s="2"/>
      <c r="P463" s="2"/>
      <c r="Q463" s="2"/>
      <c r="R463" s="2"/>
      <c r="S463" s="2"/>
    </row>
    <row r="464" spans="1:19" ht="15.75" customHeight="1" x14ac:dyDescent="0.2">
      <c r="A464"/>
      <c r="B464" s="2"/>
      <c r="C464" s="26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"/>
      <c r="O464" s="2"/>
      <c r="P464" s="2"/>
      <c r="Q464" s="2"/>
      <c r="R464" s="2"/>
      <c r="S464" s="2"/>
    </row>
    <row r="465" spans="1:19" ht="15.75" customHeight="1" x14ac:dyDescent="0.2">
      <c r="A465"/>
      <c r="B465" s="2"/>
      <c r="C465" s="26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"/>
      <c r="O465" s="2"/>
      <c r="P465" s="2"/>
      <c r="Q465" s="2"/>
      <c r="R465" s="2"/>
      <c r="S465" s="2"/>
    </row>
    <row r="466" spans="1:19" ht="15.75" customHeight="1" x14ac:dyDescent="0.2">
      <c r="A466"/>
      <c r="B466" s="2"/>
      <c r="C466" s="26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"/>
      <c r="O466" s="2"/>
      <c r="P466" s="2"/>
      <c r="Q466" s="2"/>
      <c r="R466" s="2"/>
      <c r="S466" s="2"/>
    </row>
    <row r="467" spans="1:19" ht="15.75" customHeight="1" x14ac:dyDescent="0.2">
      <c r="A467"/>
      <c r="B467" s="2"/>
      <c r="C467" s="26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"/>
      <c r="O467" s="2"/>
      <c r="P467" s="2"/>
      <c r="Q467" s="2"/>
      <c r="R467" s="2"/>
      <c r="S467" s="2"/>
    </row>
    <row r="468" spans="1:19" ht="15.75" customHeight="1" x14ac:dyDescent="0.2">
      <c r="A468"/>
      <c r="B468" s="2"/>
      <c r="C468" s="26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"/>
      <c r="O468" s="2"/>
      <c r="P468" s="2"/>
      <c r="Q468" s="2"/>
      <c r="R468" s="2"/>
      <c r="S468" s="2"/>
    </row>
    <row r="469" spans="1:19" ht="15.75" customHeight="1" x14ac:dyDescent="0.2">
      <c r="A469"/>
      <c r="B469" s="2"/>
      <c r="C469" s="26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"/>
      <c r="O469" s="2"/>
      <c r="P469" s="2"/>
      <c r="Q469" s="2"/>
      <c r="R469" s="2"/>
      <c r="S469" s="2"/>
    </row>
    <row r="470" spans="1:19" ht="15.75" customHeight="1" x14ac:dyDescent="0.2">
      <c r="A470"/>
      <c r="B470" s="2"/>
      <c r="C470" s="26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"/>
      <c r="O470" s="2"/>
      <c r="P470" s="2"/>
      <c r="Q470" s="2"/>
      <c r="R470" s="2"/>
      <c r="S470" s="2"/>
    </row>
    <row r="471" spans="1:19" ht="15.75" customHeight="1" x14ac:dyDescent="0.2">
      <c r="A471"/>
      <c r="B471" s="2"/>
      <c r="C471" s="26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"/>
      <c r="O471" s="2"/>
      <c r="P471" s="2"/>
      <c r="Q471" s="2"/>
      <c r="R471" s="2"/>
      <c r="S471" s="2"/>
    </row>
    <row r="472" spans="1:19" ht="15.75" customHeight="1" x14ac:dyDescent="0.2">
      <c r="A472"/>
      <c r="B472" s="2"/>
      <c r="C472" s="26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"/>
      <c r="O472" s="2"/>
      <c r="P472" s="2"/>
      <c r="Q472" s="2"/>
      <c r="R472" s="2"/>
      <c r="S472" s="2"/>
    </row>
    <row r="473" spans="1:19" ht="15.75" customHeight="1" x14ac:dyDescent="0.2">
      <c r="A473"/>
      <c r="B473" s="2"/>
      <c r="C473" s="26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"/>
      <c r="O473" s="2"/>
      <c r="P473" s="2"/>
      <c r="Q473" s="2"/>
      <c r="R473" s="2"/>
      <c r="S473" s="2"/>
    </row>
    <row r="474" spans="1:19" ht="15.75" customHeight="1" x14ac:dyDescent="0.2">
      <c r="A474"/>
      <c r="B474" s="2"/>
      <c r="C474" s="26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"/>
      <c r="O474" s="2"/>
      <c r="P474" s="2"/>
      <c r="Q474" s="2"/>
      <c r="R474" s="2"/>
      <c r="S474" s="2"/>
    </row>
    <row r="475" spans="1:19" ht="15.75" customHeight="1" x14ac:dyDescent="0.2">
      <c r="A475"/>
      <c r="B475" s="2"/>
      <c r="C475" s="26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"/>
      <c r="O475" s="2"/>
      <c r="P475" s="2"/>
      <c r="Q475" s="2"/>
      <c r="R475" s="2"/>
      <c r="S475" s="2"/>
    </row>
    <row r="476" spans="1:19" ht="15.75" customHeight="1" x14ac:dyDescent="0.2">
      <c r="A476"/>
      <c r="B476" s="2"/>
      <c r="C476" s="26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"/>
      <c r="O476" s="2"/>
      <c r="P476" s="2"/>
      <c r="Q476" s="2"/>
      <c r="R476" s="2"/>
      <c r="S476" s="2"/>
    </row>
    <row r="477" spans="1:19" ht="15.75" customHeight="1" x14ac:dyDescent="0.2">
      <c r="A477"/>
      <c r="B477" s="2"/>
      <c r="C477" s="26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"/>
      <c r="O477" s="2"/>
      <c r="P477" s="2"/>
      <c r="Q477" s="2"/>
      <c r="R477" s="2"/>
      <c r="S477" s="2"/>
    </row>
    <row r="478" spans="1:19" ht="15.75" customHeight="1" x14ac:dyDescent="0.2">
      <c r="A478"/>
      <c r="B478" s="2"/>
      <c r="C478" s="26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"/>
      <c r="O478" s="2"/>
      <c r="P478" s="2"/>
      <c r="Q478" s="2"/>
      <c r="R478" s="2"/>
      <c r="S478" s="2"/>
    </row>
    <row r="479" spans="1:19" ht="15.75" customHeight="1" x14ac:dyDescent="0.2">
      <c r="A479"/>
      <c r="B479" s="2"/>
      <c r="C479" s="26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"/>
      <c r="O479" s="2"/>
      <c r="P479" s="2"/>
      <c r="Q479" s="2"/>
      <c r="R479" s="2"/>
      <c r="S479" s="2"/>
    </row>
    <row r="480" spans="1:19" ht="15.75" customHeight="1" x14ac:dyDescent="0.2">
      <c r="A480"/>
      <c r="B480" s="2"/>
      <c r="C480" s="26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"/>
      <c r="O480" s="2"/>
      <c r="P480" s="2"/>
      <c r="Q480" s="2"/>
      <c r="R480" s="2"/>
      <c r="S480" s="2"/>
    </row>
    <row r="481" spans="1:19" ht="15.75" customHeight="1" x14ac:dyDescent="0.2">
      <c r="A481"/>
      <c r="B481" s="2"/>
      <c r="C481" s="26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"/>
      <c r="O481" s="2"/>
      <c r="P481" s="2"/>
      <c r="Q481" s="2"/>
      <c r="R481" s="2"/>
      <c r="S481" s="2"/>
    </row>
    <row r="482" spans="1:19" ht="15.75" customHeight="1" x14ac:dyDescent="0.2">
      <c r="A482"/>
      <c r="B482" s="2"/>
      <c r="C482" s="26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"/>
      <c r="O482" s="2"/>
      <c r="P482" s="2"/>
      <c r="Q482" s="2"/>
      <c r="R482" s="2"/>
      <c r="S482" s="2"/>
    </row>
    <row r="483" spans="1:19" ht="15.75" customHeight="1" x14ac:dyDescent="0.2">
      <c r="A483"/>
      <c r="B483" s="2"/>
      <c r="C483" s="26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"/>
      <c r="O483" s="2"/>
      <c r="P483" s="2"/>
      <c r="Q483" s="2"/>
      <c r="R483" s="2"/>
      <c r="S483" s="2"/>
    </row>
    <row r="484" spans="1:19" ht="15.75" customHeight="1" x14ac:dyDescent="0.2">
      <c r="A484"/>
      <c r="B484" s="2"/>
      <c r="C484" s="26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"/>
      <c r="O484" s="2"/>
      <c r="P484" s="2"/>
      <c r="Q484" s="2"/>
      <c r="R484" s="2"/>
      <c r="S484" s="2"/>
    </row>
    <row r="485" spans="1:19" ht="15.75" customHeight="1" x14ac:dyDescent="0.2">
      <c r="A485"/>
      <c r="B485" s="2"/>
      <c r="C485" s="26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"/>
      <c r="O485" s="2"/>
      <c r="P485" s="2"/>
      <c r="Q485" s="2"/>
      <c r="R485" s="2"/>
      <c r="S485" s="2"/>
    </row>
    <row r="486" spans="1:19" ht="15.75" customHeight="1" x14ac:dyDescent="0.2">
      <c r="A486"/>
      <c r="B486" s="2"/>
      <c r="C486" s="26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"/>
      <c r="O486" s="2"/>
      <c r="P486" s="2"/>
      <c r="Q486" s="2"/>
      <c r="R486" s="2"/>
      <c r="S486" s="2"/>
    </row>
    <row r="487" spans="1:19" ht="15.75" customHeight="1" x14ac:dyDescent="0.2">
      <c r="A487"/>
      <c r="B487" s="2"/>
      <c r="C487" s="26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"/>
      <c r="O487" s="2"/>
      <c r="P487" s="2"/>
      <c r="Q487" s="2"/>
      <c r="R487" s="2"/>
      <c r="S487" s="2"/>
    </row>
    <row r="488" spans="1:19" ht="15.75" customHeight="1" x14ac:dyDescent="0.2">
      <c r="A488"/>
      <c r="B488" s="2"/>
      <c r="C488" s="26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"/>
      <c r="O488" s="2"/>
      <c r="P488" s="2"/>
      <c r="Q488" s="2"/>
      <c r="R488" s="2"/>
      <c r="S488" s="2"/>
    </row>
    <row r="489" spans="1:19" ht="15.75" customHeight="1" x14ac:dyDescent="0.2">
      <c r="A489"/>
      <c r="B489" s="2"/>
      <c r="C489" s="26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"/>
      <c r="O489" s="2"/>
      <c r="P489" s="2"/>
      <c r="Q489" s="2"/>
      <c r="R489" s="2"/>
      <c r="S489" s="2"/>
    </row>
    <row r="490" spans="1:19" ht="15.75" customHeight="1" x14ac:dyDescent="0.2">
      <c r="A490"/>
      <c r="B490" s="2"/>
      <c r="C490" s="26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"/>
      <c r="O490" s="2"/>
      <c r="P490" s="2"/>
      <c r="Q490" s="2"/>
      <c r="R490" s="2"/>
      <c r="S490" s="2"/>
    </row>
    <row r="491" spans="1:19" ht="15.75" customHeight="1" x14ac:dyDescent="0.2">
      <c r="A491"/>
      <c r="B491" s="2"/>
      <c r="C491" s="26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"/>
      <c r="O491" s="2"/>
      <c r="P491" s="2"/>
      <c r="Q491" s="2"/>
      <c r="R491" s="2"/>
      <c r="S491" s="2"/>
    </row>
    <row r="492" spans="1:19" ht="15.75" customHeight="1" x14ac:dyDescent="0.2">
      <c r="A492"/>
      <c r="B492" s="2"/>
      <c r="C492" s="26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"/>
      <c r="O492" s="2"/>
      <c r="P492" s="2"/>
      <c r="Q492" s="2"/>
      <c r="R492" s="2"/>
      <c r="S492" s="2"/>
    </row>
    <row r="493" spans="1:19" ht="15.75" customHeight="1" x14ac:dyDescent="0.2">
      <c r="A493"/>
      <c r="B493" s="2"/>
      <c r="C493" s="26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"/>
      <c r="O493" s="2"/>
      <c r="P493" s="2"/>
      <c r="Q493" s="2"/>
      <c r="R493" s="2"/>
      <c r="S493" s="2"/>
    </row>
    <row r="494" spans="1:19" ht="15.75" customHeight="1" x14ac:dyDescent="0.2">
      <c r="A494"/>
      <c r="B494" s="2"/>
      <c r="C494" s="26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"/>
      <c r="O494" s="2"/>
      <c r="P494" s="2"/>
      <c r="Q494" s="2"/>
      <c r="R494" s="2"/>
      <c r="S494" s="2"/>
    </row>
    <row r="495" spans="1:19" ht="15.75" customHeight="1" x14ac:dyDescent="0.2">
      <c r="A495"/>
      <c r="B495" s="2"/>
      <c r="C495" s="26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"/>
      <c r="O495" s="2"/>
      <c r="P495" s="2"/>
      <c r="Q495" s="2"/>
      <c r="R495" s="2"/>
      <c r="S495" s="2"/>
    </row>
    <row r="496" spans="1:19" ht="15.75" customHeight="1" x14ac:dyDescent="0.2">
      <c r="A496"/>
      <c r="B496" s="2"/>
      <c r="C496" s="26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"/>
      <c r="O496" s="2"/>
      <c r="P496" s="2"/>
      <c r="Q496" s="2"/>
      <c r="R496" s="2"/>
      <c r="S496" s="2"/>
    </row>
    <row r="497" spans="1:19" ht="15.75" customHeight="1" x14ac:dyDescent="0.2">
      <c r="A497"/>
      <c r="B497" s="2"/>
      <c r="C497" s="26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"/>
      <c r="O497" s="2"/>
      <c r="P497" s="2"/>
      <c r="Q497" s="2"/>
      <c r="R497" s="2"/>
      <c r="S497" s="2"/>
    </row>
    <row r="498" spans="1:19" ht="15.75" customHeight="1" x14ac:dyDescent="0.2">
      <c r="A498"/>
      <c r="B498" s="2"/>
      <c r="C498" s="26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"/>
      <c r="O498" s="2"/>
      <c r="P498" s="2"/>
      <c r="Q498" s="2"/>
      <c r="R498" s="2"/>
      <c r="S498" s="2"/>
    </row>
    <row r="499" spans="1:19" ht="15.75" customHeight="1" x14ac:dyDescent="0.2">
      <c r="A499"/>
      <c r="B499" s="2"/>
      <c r="C499" s="26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"/>
      <c r="O499" s="2"/>
      <c r="P499" s="2"/>
      <c r="Q499" s="2"/>
      <c r="R499" s="2"/>
      <c r="S499" s="2"/>
    </row>
    <row r="500" spans="1:19" ht="15.75" customHeight="1" x14ac:dyDescent="0.2">
      <c r="A500"/>
      <c r="B500" s="2"/>
      <c r="C500" s="26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"/>
      <c r="O500" s="2"/>
      <c r="P500" s="2"/>
      <c r="Q500" s="2"/>
      <c r="R500" s="2"/>
      <c r="S500" s="2"/>
    </row>
    <row r="501" spans="1:19" ht="15.75" customHeight="1" x14ac:dyDescent="0.2">
      <c r="A501"/>
      <c r="B501" s="2"/>
      <c r="C501" s="26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"/>
      <c r="O501" s="2"/>
      <c r="P501" s="2"/>
      <c r="Q501" s="2"/>
      <c r="R501" s="2"/>
      <c r="S501" s="2"/>
    </row>
    <row r="502" spans="1:19" ht="15.75" customHeight="1" x14ac:dyDescent="0.2">
      <c r="A502"/>
      <c r="B502" s="2"/>
      <c r="C502" s="26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"/>
      <c r="O502" s="2"/>
      <c r="P502" s="2"/>
      <c r="Q502" s="2"/>
      <c r="R502" s="2"/>
      <c r="S502" s="2"/>
    </row>
    <row r="503" spans="1:19" ht="15.75" customHeight="1" x14ac:dyDescent="0.2">
      <c r="A503"/>
      <c r="B503" s="2"/>
      <c r="C503" s="26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"/>
      <c r="O503" s="2"/>
      <c r="P503" s="2"/>
      <c r="Q503" s="2"/>
      <c r="R503" s="2"/>
      <c r="S503" s="2"/>
    </row>
    <row r="504" spans="1:19" ht="15.75" customHeight="1" x14ac:dyDescent="0.2">
      <c r="A504"/>
      <c r="B504" s="2"/>
      <c r="C504" s="26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"/>
      <c r="O504" s="2"/>
      <c r="P504" s="2"/>
      <c r="Q504" s="2"/>
      <c r="R504" s="2"/>
      <c r="S504" s="2"/>
    </row>
    <row r="505" spans="1:19" ht="15.75" customHeight="1" x14ac:dyDescent="0.2">
      <c r="A505"/>
      <c r="B505" s="2"/>
      <c r="C505" s="26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"/>
      <c r="O505" s="2"/>
      <c r="P505" s="2"/>
      <c r="Q505" s="2"/>
      <c r="R505" s="2"/>
      <c r="S505" s="2"/>
    </row>
    <row r="506" spans="1:19" ht="15.75" customHeight="1" x14ac:dyDescent="0.2">
      <c r="A506"/>
      <c r="B506" s="2"/>
      <c r="C506" s="26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"/>
      <c r="O506" s="2"/>
      <c r="P506" s="2"/>
      <c r="Q506" s="2"/>
      <c r="R506" s="2"/>
      <c r="S506" s="2"/>
    </row>
    <row r="507" spans="1:19" ht="15.75" customHeight="1" x14ac:dyDescent="0.2">
      <c r="A507"/>
      <c r="B507" s="2"/>
      <c r="C507" s="26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"/>
      <c r="O507" s="2"/>
      <c r="P507" s="2"/>
      <c r="Q507" s="2"/>
      <c r="R507" s="2"/>
      <c r="S507" s="2"/>
    </row>
    <row r="508" spans="1:19" ht="15.75" customHeight="1" x14ac:dyDescent="0.2">
      <c r="A508"/>
      <c r="B508" s="2"/>
      <c r="C508" s="26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"/>
      <c r="O508" s="2"/>
      <c r="P508" s="2"/>
      <c r="Q508" s="2"/>
      <c r="R508" s="2"/>
      <c r="S508" s="2"/>
    </row>
    <row r="509" spans="1:19" ht="15.75" customHeight="1" x14ac:dyDescent="0.2">
      <c r="A509"/>
      <c r="B509" s="2"/>
      <c r="C509" s="26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"/>
      <c r="O509" s="2"/>
      <c r="P509" s="2"/>
      <c r="Q509" s="2"/>
      <c r="R509" s="2"/>
      <c r="S509" s="2"/>
    </row>
    <row r="510" spans="1:19" ht="15.75" customHeight="1" x14ac:dyDescent="0.2">
      <c r="A510"/>
      <c r="B510" s="2"/>
      <c r="C510" s="26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"/>
      <c r="O510" s="2"/>
      <c r="P510" s="2"/>
      <c r="Q510" s="2"/>
      <c r="R510" s="2"/>
      <c r="S510" s="2"/>
    </row>
    <row r="511" spans="1:19" ht="15.75" customHeight="1" x14ac:dyDescent="0.2">
      <c r="A511"/>
      <c r="B511" s="2"/>
      <c r="C511" s="26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"/>
      <c r="O511" s="2"/>
      <c r="P511" s="2"/>
      <c r="Q511" s="2"/>
      <c r="R511" s="2"/>
      <c r="S511" s="2"/>
    </row>
    <row r="512" spans="1:19" ht="15.75" customHeight="1" x14ac:dyDescent="0.2">
      <c r="A512"/>
      <c r="B512" s="2"/>
      <c r="C512" s="26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"/>
      <c r="O512" s="2"/>
      <c r="P512" s="2"/>
      <c r="Q512" s="2"/>
      <c r="R512" s="2"/>
      <c r="S512" s="2"/>
    </row>
    <row r="513" spans="1:19" ht="15.75" customHeight="1" x14ac:dyDescent="0.2">
      <c r="A513"/>
      <c r="B513" s="2"/>
      <c r="C513" s="26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"/>
      <c r="O513" s="2"/>
      <c r="P513" s="2"/>
      <c r="Q513" s="2"/>
      <c r="R513" s="2"/>
      <c r="S513" s="2"/>
    </row>
    <row r="514" spans="1:19" ht="15.75" customHeight="1" x14ac:dyDescent="0.2">
      <c r="A514"/>
      <c r="B514" s="2"/>
      <c r="C514" s="26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"/>
      <c r="O514" s="2"/>
      <c r="P514" s="2"/>
      <c r="Q514" s="2"/>
      <c r="R514" s="2"/>
      <c r="S514" s="2"/>
    </row>
    <row r="515" spans="1:19" ht="15.75" customHeight="1" x14ac:dyDescent="0.2">
      <c r="A515"/>
      <c r="B515" s="2"/>
      <c r="C515" s="26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"/>
      <c r="O515" s="2"/>
      <c r="P515" s="2"/>
      <c r="Q515" s="2"/>
      <c r="R515" s="2"/>
      <c r="S515" s="2"/>
    </row>
    <row r="516" spans="1:19" ht="15.75" customHeight="1" x14ac:dyDescent="0.2">
      <c r="A516"/>
      <c r="B516" s="2"/>
      <c r="C516" s="26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"/>
      <c r="O516" s="2"/>
      <c r="P516" s="2"/>
      <c r="Q516" s="2"/>
      <c r="R516" s="2"/>
      <c r="S516" s="2"/>
    </row>
    <row r="517" spans="1:19" ht="15.75" customHeight="1" x14ac:dyDescent="0.2">
      <c r="A517"/>
      <c r="B517" s="2"/>
      <c r="C517" s="26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"/>
      <c r="O517" s="2"/>
      <c r="P517" s="2"/>
      <c r="Q517" s="2"/>
      <c r="R517" s="2"/>
      <c r="S517" s="2"/>
    </row>
    <row r="518" spans="1:19" ht="15.75" customHeight="1" x14ac:dyDescent="0.2">
      <c r="A518"/>
      <c r="B518" s="2"/>
      <c r="C518" s="26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"/>
      <c r="O518" s="2"/>
      <c r="P518" s="2"/>
      <c r="Q518" s="2"/>
      <c r="R518" s="2"/>
      <c r="S518" s="2"/>
    </row>
    <row r="519" spans="1:19" ht="15.75" customHeight="1" x14ac:dyDescent="0.2">
      <c r="A519"/>
      <c r="B519" s="2"/>
      <c r="C519" s="26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"/>
      <c r="O519" s="2"/>
      <c r="P519" s="2"/>
      <c r="Q519" s="2"/>
      <c r="R519" s="2"/>
      <c r="S519" s="2"/>
    </row>
    <row r="520" spans="1:19" ht="15.75" customHeight="1" x14ac:dyDescent="0.2">
      <c r="A520"/>
      <c r="B520" s="2"/>
      <c r="C520" s="26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"/>
      <c r="O520" s="2"/>
      <c r="P520" s="2"/>
      <c r="Q520" s="2"/>
      <c r="R520" s="2"/>
      <c r="S520" s="2"/>
    </row>
    <row r="521" spans="1:19" ht="15.75" customHeight="1" x14ac:dyDescent="0.2">
      <c r="A521"/>
      <c r="B521" s="2"/>
      <c r="C521" s="26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"/>
      <c r="O521" s="2"/>
      <c r="P521" s="2"/>
      <c r="Q521" s="2"/>
      <c r="R521" s="2"/>
      <c r="S521" s="2"/>
    </row>
    <row r="522" spans="1:19" ht="15.75" customHeight="1" x14ac:dyDescent="0.2">
      <c r="A522"/>
      <c r="B522" s="2"/>
      <c r="C522" s="26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"/>
      <c r="O522" s="2"/>
      <c r="P522" s="2"/>
      <c r="Q522" s="2"/>
      <c r="R522" s="2"/>
      <c r="S522" s="2"/>
    </row>
    <row r="523" spans="1:19" ht="15.75" customHeight="1" x14ac:dyDescent="0.2">
      <c r="A523"/>
      <c r="B523" s="2"/>
      <c r="C523" s="26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"/>
      <c r="O523" s="2"/>
      <c r="P523" s="2"/>
      <c r="Q523" s="2"/>
      <c r="R523" s="2"/>
      <c r="S523" s="2"/>
    </row>
    <row r="524" spans="1:19" ht="15.75" customHeight="1" x14ac:dyDescent="0.2">
      <c r="A524"/>
      <c r="B524" s="2"/>
      <c r="C524" s="26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"/>
      <c r="O524" s="2"/>
      <c r="P524" s="2"/>
      <c r="Q524" s="2"/>
      <c r="R524" s="2"/>
      <c r="S524" s="2"/>
    </row>
    <row r="525" spans="1:19" ht="15.75" customHeight="1" x14ac:dyDescent="0.2">
      <c r="A525"/>
      <c r="B525" s="2"/>
      <c r="C525" s="26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"/>
      <c r="O525" s="2"/>
      <c r="P525" s="2"/>
      <c r="Q525" s="2"/>
      <c r="R525" s="2"/>
      <c r="S525" s="2"/>
    </row>
    <row r="526" spans="1:19" ht="15.75" customHeight="1" x14ac:dyDescent="0.2">
      <c r="A526"/>
      <c r="B526" s="2"/>
      <c r="C526" s="26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"/>
      <c r="O526" s="2"/>
      <c r="P526" s="2"/>
      <c r="Q526" s="2"/>
      <c r="R526" s="2"/>
      <c r="S526" s="2"/>
    </row>
    <row r="527" spans="1:19" ht="15.75" customHeight="1" x14ac:dyDescent="0.2">
      <c r="A527"/>
      <c r="B527" s="2"/>
      <c r="C527" s="26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"/>
      <c r="O527" s="2"/>
      <c r="P527" s="2"/>
      <c r="Q527" s="2"/>
      <c r="R527" s="2"/>
      <c r="S527" s="2"/>
    </row>
    <row r="528" spans="1:19" ht="15.75" customHeight="1" x14ac:dyDescent="0.2">
      <c r="A528"/>
      <c r="B528" s="2"/>
      <c r="C528" s="26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"/>
      <c r="O528" s="2"/>
      <c r="P528" s="2"/>
      <c r="Q528" s="2"/>
      <c r="R528" s="2"/>
      <c r="S528" s="2"/>
    </row>
    <row r="529" spans="1:19" ht="15.75" customHeight="1" x14ac:dyDescent="0.2">
      <c r="A529"/>
      <c r="B529" s="2"/>
      <c r="C529" s="26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"/>
      <c r="O529" s="2"/>
      <c r="P529" s="2"/>
      <c r="Q529" s="2"/>
      <c r="R529" s="2"/>
      <c r="S529" s="2"/>
    </row>
    <row r="530" spans="1:19" ht="15.75" customHeight="1" x14ac:dyDescent="0.2">
      <c r="A530"/>
      <c r="B530" s="2"/>
      <c r="C530" s="26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"/>
      <c r="O530" s="2"/>
      <c r="P530" s="2"/>
      <c r="Q530" s="2"/>
      <c r="R530" s="2"/>
      <c r="S530" s="2"/>
    </row>
    <row r="531" spans="1:19" ht="15.75" customHeight="1" x14ac:dyDescent="0.2">
      <c r="A531"/>
      <c r="B531" s="2"/>
      <c r="C531" s="26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"/>
      <c r="O531" s="2"/>
      <c r="P531" s="2"/>
      <c r="Q531" s="2"/>
      <c r="R531" s="2"/>
      <c r="S531" s="2"/>
    </row>
    <row r="532" spans="1:19" ht="15.75" customHeight="1" x14ac:dyDescent="0.2">
      <c r="A532"/>
      <c r="B532" s="2"/>
      <c r="C532" s="26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"/>
      <c r="O532" s="2"/>
      <c r="P532" s="2"/>
      <c r="Q532" s="2"/>
      <c r="R532" s="2"/>
      <c r="S532" s="2"/>
    </row>
    <row r="533" spans="1:19" ht="15.75" customHeight="1" x14ac:dyDescent="0.2">
      <c r="A533"/>
      <c r="B533" s="2"/>
      <c r="C533" s="26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"/>
      <c r="O533" s="2"/>
      <c r="P533" s="2"/>
      <c r="Q533" s="2"/>
      <c r="R533" s="2"/>
      <c r="S533" s="2"/>
    </row>
    <row r="534" spans="1:19" ht="15.75" customHeight="1" x14ac:dyDescent="0.2">
      <c r="A534"/>
      <c r="B534" s="2"/>
      <c r="C534" s="26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"/>
      <c r="O534" s="2"/>
      <c r="P534" s="2"/>
      <c r="Q534" s="2"/>
      <c r="R534" s="2"/>
      <c r="S534" s="2"/>
    </row>
    <row r="535" spans="1:19" ht="15.75" customHeight="1" x14ac:dyDescent="0.2">
      <c r="A535"/>
      <c r="B535" s="2"/>
      <c r="C535" s="26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"/>
      <c r="O535" s="2"/>
      <c r="P535" s="2"/>
      <c r="Q535" s="2"/>
      <c r="R535" s="2"/>
      <c r="S535" s="2"/>
    </row>
    <row r="536" spans="1:19" ht="15.75" customHeight="1" x14ac:dyDescent="0.2">
      <c r="A536"/>
      <c r="B536" s="2"/>
      <c r="C536" s="26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"/>
      <c r="O536" s="2"/>
      <c r="P536" s="2"/>
      <c r="Q536" s="2"/>
      <c r="R536" s="2"/>
      <c r="S536" s="2"/>
    </row>
    <row r="537" spans="1:19" ht="15.75" customHeight="1" x14ac:dyDescent="0.2">
      <c r="A537"/>
      <c r="B537" s="2"/>
      <c r="C537" s="26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"/>
      <c r="O537" s="2"/>
      <c r="P537" s="2"/>
      <c r="Q537" s="2"/>
      <c r="R537" s="2"/>
      <c r="S537" s="2"/>
    </row>
    <row r="538" spans="1:19" ht="15.75" customHeight="1" x14ac:dyDescent="0.2">
      <c r="A538"/>
      <c r="B538" s="2"/>
      <c r="C538" s="26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"/>
      <c r="O538" s="2"/>
      <c r="P538" s="2"/>
      <c r="Q538" s="2"/>
      <c r="R538" s="2"/>
      <c r="S538" s="2"/>
    </row>
    <row r="539" spans="1:19" ht="15.75" customHeight="1" x14ac:dyDescent="0.2">
      <c r="A539"/>
      <c r="B539" s="2"/>
      <c r="C539" s="26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"/>
      <c r="O539" s="2"/>
      <c r="P539" s="2"/>
      <c r="Q539" s="2"/>
      <c r="R539" s="2"/>
      <c r="S539" s="2"/>
    </row>
    <row r="540" spans="1:19" ht="15.75" customHeight="1" x14ac:dyDescent="0.2">
      <c r="A540"/>
      <c r="B540" s="2"/>
      <c r="C540" s="26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"/>
      <c r="O540" s="2"/>
      <c r="P540" s="2"/>
      <c r="Q540" s="2"/>
      <c r="R540" s="2"/>
      <c r="S540" s="2"/>
    </row>
    <row r="541" spans="1:19" ht="15.75" customHeight="1" x14ac:dyDescent="0.2">
      <c r="A541"/>
      <c r="B541" s="2"/>
      <c r="C541" s="26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"/>
      <c r="O541" s="2"/>
      <c r="P541" s="2"/>
      <c r="Q541" s="2"/>
      <c r="R541" s="2"/>
      <c r="S541" s="2"/>
    </row>
    <row r="542" spans="1:19" ht="15.75" customHeight="1" x14ac:dyDescent="0.2">
      <c r="A542"/>
      <c r="B542" s="2"/>
      <c r="C542" s="26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"/>
      <c r="O542" s="2"/>
      <c r="P542" s="2"/>
      <c r="Q542" s="2"/>
      <c r="R542" s="2"/>
      <c r="S542" s="2"/>
    </row>
    <row r="543" spans="1:19" ht="15.75" customHeight="1" x14ac:dyDescent="0.2">
      <c r="A543"/>
      <c r="B543" s="2"/>
      <c r="C543" s="26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"/>
      <c r="O543" s="2"/>
      <c r="P543" s="2"/>
      <c r="Q543" s="2"/>
      <c r="R543" s="2"/>
      <c r="S543" s="2"/>
    </row>
    <row r="544" spans="1:19" ht="15.75" customHeight="1" x14ac:dyDescent="0.2">
      <c r="A544"/>
      <c r="B544" s="2"/>
      <c r="C544" s="26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"/>
      <c r="O544" s="2"/>
      <c r="P544" s="2"/>
      <c r="Q544" s="2"/>
      <c r="R544" s="2"/>
      <c r="S544" s="2"/>
    </row>
    <row r="545" spans="1:19" ht="15.75" customHeight="1" x14ac:dyDescent="0.2">
      <c r="A545"/>
      <c r="B545" s="2"/>
      <c r="C545" s="26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"/>
      <c r="O545" s="2"/>
      <c r="P545" s="2"/>
      <c r="Q545" s="2"/>
      <c r="R545" s="2"/>
      <c r="S545" s="2"/>
    </row>
    <row r="546" spans="1:19" ht="15.75" customHeight="1" x14ac:dyDescent="0.2">
      <c r="A546"/>
      <c r="B546" s="2"/>
      <c r="C546" s="26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"/>
      <c r="O546" s="2"/>
      <c r="P546" s="2"/>
      <c r="Q546" s="2"/>
      <c r="R546" s="2"/>
      <c r="S546" s="2"/>
    </row>
    <row r="547" spans="1:19" ht="15.75" customHeight="1" x14ac:dyDescent="0.2">
      <c r="A547"/>
      <c r="B547" s="2"/>
      <c r="C547" s="26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"/>
      <c r="O547" s="2"/>
      <c r="P547" s="2"/>
      <c r="Q547" s="2"/>
      <c r="R547" s="2"/>
      <c r="S547" s="2"/>
    </row>
    <row r="548" spans="1:19" ht="15.75" customHeight="1" x14ac:dyDescent="0.2">
      <c r="A548"/>
      <c r="B548" s="2"/>
      <c r="C548" s="26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"/>
      <c r="O548" s="2"/>
      <c r="P548" s="2"/>
      <c r="Q548" s="2"/>
      <c r="R548" s="2"/>
      <c r="S548" s="2"/>
    </row>
    <row r="549" spans="1:19" ht="15.75" customHeight="1" x14ac:dyDescent="0.2">
      <c r="A549"/>
      <c r="B549" s="2"/>
      <c r="C549" s="26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"/>
      <c r="O549" s="2"/>
      <c r="P549" s="2"/>
      <c r="Q549" s="2"/>
      <c r="R549" s="2"/>
      <c r="S549" s="2"/>
    </row>
    <row r="550" spans="1:19" ht="15.75" customHeight="1" x14ac:dyDescent="0.2">
      <c r="A550"/>
      <c r="B550" s="2"/>
      <c r="C550" s="26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"/>
      <c r="O550" s="2"/>
      <c r="P550" s="2"/>
      <c r="Q550" s="2"/>
      <c r="R550" s="2"/>
      <c r="S550" s="2"/>
    </row>
    <row r="551" spans="1:19" ht="15.75" customHeight="1" x14ac:dyDescent="0.2">
      <c r="A551"/>
      <c r="B551" s="2"/>
      <c r="C551" s="26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"/>
      <c r="O551" s="2"/>
      <c r="P551" s="2"/>
      <c r="Q551" s="2"/>
      <c r="R551" s="2"/>
      <c r="S551" s="2"/>
    </row>
    <row r="552" spans="1:19" ht="15.75" customHeight="1" x14ac:dyDescent="0.2">
      <c r="A552"/>
      <c r="B552" s="2"/>
      <c r="C552" s="26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"/>
      <c r="O552" s="2"/>
      <c r="P552" s="2"/>
      <c r="Q552" s="2"/>
      <c r="R552" s="2"/>
      <c r="S552" s="2"/>
    </row>
    <row r="553" spans="1:19" ht="15.75" customHeight="1" x14ac:dyDescent="0.2">
      <c r="A553"/>
      <c r="B553" s="2"/>
      <c r="C553" s="26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"/>
      <c r="O553" s="2"/>
      <c r="P553" s="2"/>
      <c r="Q553" s="2"/>
      <c r="R553" s="2"/>
      <c r="S553" s="2"/>
    </row>
    <row r="554" spans="1:19" ht="15.75" customHeight="1" x14ac:dyDescent="0.2">
      <c r="A554"/>
      <c r="B554" s="2"/>
      <c r="C554" s="26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"/>
      <c r="O554" s="2"/>
      <c r="P554" s="2"/>
      <c r="Q554" s="2"/>
      <c r="R554" s="2"/>
      <c r="S554" s="2"/>
    </row>
    <row r="555" spans="1:19" ht="15.75" customHeight="1" x14ac:dyDescent="0.2">
      <c r="A555"/>
      <c r="B555" s="2"/>
      <c r="C555" s="26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"/>
      <c r="O555" s="2"/>
      <c r="P555" s="2"/>
      <c r="Q555" s="2"/>
      <c r="R555" s="2"/>
      <c r="S555" s="2"/>
    </row>
    <row r="556" spans="1:19" ht="15.75" customHeight="1" x14ac:dyDescent="0.2">
      <c r="A556"/>
      <c r="B556" s="2"/>
      <c r="C556" s="26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"/>
      <c r="O556" s="2"/>
      <c r="P556" s="2"/>
      <c r="Q556" s="2"/>
      <c r="R556" s="2"/>
      <c r="S556" s="2"/>
    </row>
    <row r="557" spans="1:19" ht="15.75" customHeight="1" x14ac:dyDescent="0.2">
      <c r="A557"/>
      <c r="B557" s="2"/>
      <c r="C557" s="26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"/>
      <c r="O557" s="2"/>
      <c r="P557" s="2"/>
      <c r="Q557" s="2"/>
      <c r="R557" s="2"/>
      <c r="S557" s="2"/>
    </row>
    <row r="558" spans="1:19" ht="15.75" customHeight="1" x14ac:dyDescent="0.2">
      <c r="A558"/>
      <c r="B558" s="2"/>
      <c r="C558" s="26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"/>
      <c r="O558" s="2"/>
      <c r="P558" s="2"/>
      <c r="Q558" s="2"/>
      <c r="R558" s="2"/>
      <c r="S558" s="2"/>
    </row>
    <row r="559" spans="1:19" ht="15.75" customHeight="1" x14ac:dyDescent="0.2">
      <c r="A559"/>
      <c r="B559" s="2"/>
      <c r="C559" s="26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"/>
      <c r="O559" s="2"/>
      <c r="P559" s="2"/>
      <c r="Q559" s="2"/>
      <c r="R559" s="2"/>
      <c r="S559" s="2"/>
    </row>
    <row r="560" spans="1:19" ht="15.75" customHeight="1" x14ac:dyDescent="0.2">
      <c r="A560"/>
      <c r="B560" s="2"/>
      <c r="C560" s="26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"/>
      <c r="O560" s="2"/>
      <c r="P560" s="2"/>
      <c r="Q560" s="2"/>
      <c r="R560" s="2"/>
      <c r="S560" s="2"/>
    </row>
    <row r="561" spans="1:19" ht="15.75" customHeight="1" x14ac:dyDescent="0.2">
      <c r="A561"/>
      <c r="B561" s="2"/>
      <c r="C561" s="26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"/>
      <c r="O561" s="2"/>
      <c r="P561" s="2"/>
      <c r="Q561" s="2"/>
      <c r="R561" s="2"/>
      <c r="S561" s="2"/>
    </row>
    <row r="562" spans="1:19" ht="15.75" customHeight="1" x14ac:dyDescent="0.2">
      <c r="A562"/>
      <c r="B562" s="2"/>
      <c r="C562" s="26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"/>
      <c r="O562" s="2"/>
      <c r="P562" s="2"/>
      <c r="Q562" s="2"/>
      <c r="R562" s="2"/>
      <c r="S562" s="2"/>
    </row>
    <row r="563" spans="1:19" ht="15.75" customHeight="1" x14ac:dyDescent="0.2">
      <c r="A563"/>
      <c r="B563" s="2"/>
      <c r="C563" s="26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"/>
      <c r="O563" s="2"/>
      <c r="P563" s="2"/>
      <c r="Q563" s="2"/>
      <c r="R563" s="2"/>
      <c r="S563" s="2"/>
    </row>
    <row r="564" spans="1:19" ht="15.75" customHeight="1" x14ac:dyDescent="0.2">
      <c r="A564"/>
      <c r="B564" s="2"/>
      <c r="C564" s="26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"/>
      <c r="O564" s="2"/>
      <c r="P564" s="2"/>
      <c r="Q564" s="2"/>
      <c r="R564" s="2"/>
      <c r="S564" s="2"/>
    </row>
    <row r="565" spans="1:19" ht="15.75" customHeight="1" x14ac:dyDescent="0.2">
      <c r="A565"/>
      <c r="B565" s="2"/>
      <c r="C565" s="26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"/>
      <c r="O565" s="2"/>
      <c r="P565" s="2"/>
      <c r="Q565" s="2"/>
      <c r="R565" s="2"/>
      <c r="S565" s="2"/>
    </row>
    <row r="566" spans="1:19" ht="15.75" customHeight="1" x14ac:dyDescent="0.2">
      <c r="A566"/>
      <c r="B566" s="2"/>
      <c r="C566" s="26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"/>
      <c r="O566" s="2"/>
      <c r="P566" s="2"/>
      <c r="Q566" s="2"/>
      <c r="R566" s="2"/>
      <c r="S566" s="2"/>
    </row>
    <row r="567" spans="1:19" ht="15.75" customHeight="1" x14ac:dyDescent="0.2">
      <c r="A567"/>
      <c r="B567" s="2"/>
      <c r="C567" s="26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"/>
      <c r="O567" s="2"/>
      <c r="P567" s="2"/>
      <c r="Q567" s="2"/>
      <c r="R567" s="2"/>
      <c r="S567" s="2"/>
    </row>
    <row r="568" spans="1:19" ht="15.75" customHeight="1" x14ac:dyDescent="0.2">
      <c r="A568"/>
      <c r="B568" s="2"/>
      <c r="C568" s="26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"/>
      <c r="O568" s="2"/>
      <c r="P568" s="2"/>
      <c r="Q568" s="2"/>
      <c r="R568" s="2"/>
      <c r="S568" s="2"/>
    </row>
    <row r="569" spans="1:19" ht="15.75" customHeight="1" x14ac:dyDescent="0.2">
      <c r="A569"/>
      <c r="B569" s="2"/>
      <c r="C569" s="26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"/>
      <c r="O569" s="2"/>
      <c r="P569" s="2"/>
      <c r="Q569" s="2"/>
      <c r="R569" s="2"/>
      <c r="S569" s="2"/>
    </row>
    <row r="570" spans="1:19" ht="15.75" customHeight="1" x14ac:dyDescent="0.2">
      <c r="A570"/>
      <c r="B570" s="2"/>
      <c r="C570" s="26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"/>
      <c r="O570" s="2"/>
      <c r="P570" s="2"/>
      <c r="Q570" s="2"/>
      <c r="R570" s="2"/>
      <c r="S570" s="2"/>
    </row>
    <row r="571" spans="1:19" ht="15.75" customHeight="1" x14ac:dyDescent="0.2">
      <c r="A571"/>
      <c r="B571" s="2"/>
      <c r="C571" s="26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"/>
      <c r="O571" s="2"/>
      <c r="P571" s="2"/>
      <c r="Q571" s="2"/>
      <c r="R571" s="2"/>
      <c r="S571" s="2"/>
    </row>
    <row r="572" spans="1:19" ht="15.75" customHeight="1" x14ac:dyDescent="0.2">
      <c r="A572"/>
      <c r="B572" s="2"/>
      <c r="C572" s="26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"/>
      <c r="O572" s="2"/>
      <c r="P572" s="2"/>
      <c r="Q572" s="2"/>
      <c r="R572" s="2"/>
      <c r="S572" s="2"/>
    </row>
    <row r="573" spans="1:19" ht="15.75" customHeight="1" x14ac:dyDescent="0.2">
      <c r="A573"/>
      <c r="B573" s="2"/>
      <c r="C573" s="26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"/>
      <c r="O573" s="2"/>
      <c r="P573" s="2"/>
      <c r="Q573" s="2"/>
      <c r="R573" s="2"/>
      <c r="S573" s="2"/>
    </row>
    <row r="574" spans="1:19" ht="15.75" customHeight="1" x14ac:dyDescent="0.2">
      <c r="A574"/>
      <c r="B574" s="2"/>
      <c r="C574" s="26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"/>
      <c r="O574" s="2"/>
      <c r="P574" s="2"/>
      <c r="Q574" s="2"/>
      <c r="R574" s="2"/>
      <c r="S574" s="2"/>
    </row>
    <row r="575" spans="1:19" ht="15.75" customHeight="1" x14ac:dyDescent="0.2">
      <c r="A575"/>
      <c r="B575" s="2"/>
      <c r="C575" s="26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"/>
      <c r="O575" s="2"/>
      <c r="P575" s="2"/>
      <c r="Q575" s="2"/>
      <c r="R575" s="2"/>
      <c r="S575" s="2"/>
    </row>
    <row r="576" spans="1:19" ht="15.75" customHeight="1" x14ac:dyDescent="0.2">
      <c r="A576"/>
      <c r="B576" s="2"/>
      <c r="C576" s="26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"/>
      <c r="O576" s="2"/>
      <c r="P576" s="2"/>
      <c r="Q576" s="2"/>
      <c r="R576" s="2"/>
      <c r="S576" s="2"/>
    </row>
    <row r="577" spans="1:19" ht="15.75" customHeight="1" x14ac:dyDescent="0.2">
      <c r="A577"/>
      <c r="B577" s="2"/>
      <c r="C577" s="26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"/>
      <c r="O577" s="2"/>
      <c r="P577" s="2"/>
      <c r="Q577" s="2"/>
      <c r="R577" s="2"/>
      <c r="S577" s="2"/>
    </row>
    <row r="578" spans="1:19" ht="15.75" customHeight="1" x14ac:dyDescent="0.2">
      <c r="A578"/>
      <c r="B578" s="2"/>
      <c r="C578" s="26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"/>
      <c r="O578" s="2"/>
      <c r="P578" s="2"/>
      <c r="Q578" s="2"/>
      <c r="R578" s="2"/>
      <c r="S578" s="2"/>
    </row>
    <row r="579" spans="1:19" ht="15.75" customHeight="1" x14ac:dyDescent="0.2">
      <c r="A579"/>
      <c r="B579" s="2"/>
      <c r="C579" s="26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"/>
      <c r="O579" s="2"/>
      <c r="P579" s="2"/>
      <c r="Q579" s="2"/>
      <c r="R579" s="2"/>
      <c r="S579" s="2"/>
    </row>
    <row r="580" spans="1:19" ht="15.75" customHeight="1" x14ac:dyDescent="0.2">
      <c r="A580"/>
      <c r="B580" s="2"/>
      <c r="C580" s="26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"/>
      <c r="O580" s="2"/>
      <c r="P580" s="2"/>
      <c r="Q580" s="2"/>
      <c r="R580" s="2"/>
      <c r="S580" s="2"/>
    </row>
    <row r="581" spans="1:19" ht="15.75" customHeight="1" x14ac:dyDescent="0.2">
      <c r="A581"/>
      <c r="B581" s="2"/>
      <c r="C581" s="26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"/>
      <c r="O581" s="2"/>
      <c r="P581" s="2"/>
      <c r="Q581" s="2"/>
      <c r="R581" s="2"/>
      <c r="S581" s="2"/>
    </row>
    <row r="582" spans="1:19" ht="15.75" customHeight="1" x14ac:dyDescent="0.2">
      <c r="A582"/>
      <c r="B582" s="2"/>
      <c r="C582" s="26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"/>
      <c r="O582" s="2"/>
      <c r="P582" s="2"/>
      <c r="Q582" s="2"/>
      <c r="R582" s="2"/>
      <c r="S582" s="2"/>
    </row>
    <row r="583" spans="1:19" ht="15.75" customHeight="1" x14ac:dyDescent="0.2">
      <c r="A583"/>
      <c r="B583" s="2"/>
      <c r="C583" s="26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"/>
      <c r="O583" s="2"/>
      <c r="P583" s="2"/>
      <c r="Q583" s="2"/>
      <c r="R583" s="2"/>
      <c r="S583" s="2"/>
    </row>
    <row r="584" spans="1:19" ht="15.75" customHeight="1" x14ac:dyDescent="0.2">
      <c r="A584"/>
      <c r="B584" s="2"/>
      <c r="C584" s="26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"/>
      <c r="O584" s="2"/>
      <c r="P584" s="2"/>
      <c r="Q584" s="2"/>
      <c r="R584" s="2"/>
      <c r="S584" s="2"/>
    </row>
    <row r="585" spans="1:19" ht="15.75" customHeight="1" x14ac:dyDescent="0.2">
      <c r="A585"/>
      <c r="B585" s="2"/>
      <c r="C585" s="26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"/>
      <c r="O585" s="2"/>
      <c r="P585" s="2"/>
      <c r="Q585" s="2"/>
      <c r="R585" s="2"/>
      <c r="S585" s="2"/>
    </row>
    <row r="586" spans="1:19" ht="15.75" customHeight="1" x14ac:dyDescent="0.2">
      <c r="A586"/>
      <c r="B586" s="2"/>
      <c r="C586" s="26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"/>
      <c r="O586" s="2"/>
      <c r="P586" s="2"/>
      <c r="Q586" s="2"/>
      <c r="R586" s="2"/>
      <c r="S586" s="2"/>
    </row>
    <row r="587" spans="1:19" ht="15.75" customHeight="1" x14ac:dyDescent="0.2">
      <c r="A587"/>
      <c r="B587" s="2"/>
      <c r="C587" s="26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"/>
      <c r="O587" s="2"/>
      <c r="P587" s="2"/>
      <c r="Q587" s="2"/>
      <c r="R587" s="2"/>
      <c r="S587" s="2"/>
    </row>
    <row r="588" spans="1:19" ht="15.75" customHeight="1" x14ac:dyDescent="0.2">
      <c r="A588"/>
      <c r="B588" s="2"/>
      <c r="C588" s="26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"/>
      <c r="O588" s="2"/>
      <c r="P588" s="2"/>
      <c r="Q588" s="2"/>
      <c r="R588" s="2"/>
      <c r="S588" s="2"/>
    </row>
    <row r="589" spans="1:19" ht="15.75" customHeight="1" x14ac:dyDescent="0.2">
      <c r="A589"/>
      <c r="B589" s="2"/>
      <c r="C589" s="26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"/>
      <c r="O589" s="2"/>
      <c r="P589" s="2"/>
      <c r="Q589" s="2"/>
      <c r="R589" s="2"/>
      <c r="S589" s="2"/>
    </row>
    <row r="590" spans="1:19" ht="15.75" customHeight="1" x14ac:dyDescent="0.2">
      <c r="A590"/>
      <c r="B590" s="2"/>
      <c r="C590" s="26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"/>
      <c r="O590" s="2"/>
      <c r="P590" s="2"/>
      <c r="Q590" s="2"/>
      <c r="R590" s="2"/>
      <c r="S590" s="2"/>
    </row>
    <row r="591" spans="1:19" ht="15.75" customHeight="1" x14ac:dyDescent="0.2">
      <c r="A591"/>
      <c r="B591" s="2"/>
      <c r="C591" s="26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"/>
      <c r="O591" s="2"/>
      <c r="P591" s="2"/>
      <c r="Q591" s="2"/>
      <c r="R591" s="2"/>
      <c r="S591" s="2"/>
    </row>
    <row r="592" spans="1:19" ht="15.75" customHeight="1" x14ac:dyDescent="0.2">
      <c r="A592"/>
      <c r="B592" s="2"/>
      <c r="C592" s="26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"/>
      <c r="O592" s="2"/>
      <c r="P592" s="2"/>
      <c r="Q592" s="2"/>
      <c r="R592" s="2"/>
      <c r="S592" s="2"/>
    </row>
    <row r="593" spans="1:19" ht="15.75" customHeight="1" x14ac:dyDescent="0.2">
      <c r="A593"/>
      <c r="B593" s="2"/>
      <c r="C593" s="26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"/>
      <c r="O593" s="2"/>
      <c r="P593" s="2"/>
      <c r="Q593" s="2"/>
      <c r="R593" s="2"/>
      <c r="S593" s="2"/>
    </row>
    <row r="594" spans="1:19" ht="15.75" customHeight="1" x14ac:dyDescent="0.2">
      <c r="A594"/>
      <c r="B594" s="2"/>
      <c r="C594" s="26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"/>
      <c r="O594" s="2"/>
      <c r="P594" s="2"/>
      <c r="Q594" s="2"/>
      <c r="R594" s="2"/>
      <c r="S594" s="2"/>
    </row>
    <row r="595" spans="1:19" ht="15.75" customHeight="1" x14ac:dyDescent="0.2">
      <c r="A595"/>
      <c r="B595" s="2"/>
      <c r="C595" s="26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"/>
      <c r="O595" s="2"/>
      <c r="P595" s="2"/>
      <c r="Q595" s="2"/>
      <c r="R595" s="2"/>
      <c r="S595" s="2"/>
    </row>
    <row r="596" spans="1:19" ht="15.75" customHeight="1" x14ac:dyDescent="0.2">
      <c r="A596"/>
      <c r="B596" s="2"/>
      <c r="C596" s="26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"/>
      <c r="O596" s="2"/>
      <c r="P596" s="2"/>
      <c r="Q596" s="2"/>
      <c r="R596" s="2"/>
      <c r="S596" s="2"/>
    </row>
    <row r="597" spans="1:19" ht="15.75" customHeight="1" x14ac:dyDescent="0.2">
      <c r="A597"/>
      <c r="B597" s="2"/>
      <c r="C597" s="26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"/>
      <c r="O597" s="2"/>
      <c r="P597" s="2"/>
      <c r="Q597" s="2"/>
      <c r="R597" s="2"/>
      <c r="S597" s="2"/>
    </row>
    <row r="598" spans="1:19" ht="15.75" customHeight="1" x14ac:dyDescent="0.2">
      <c r="A598"/>
      <c r="B598" s="2"/>
      <c r="C598" s="26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"/>
      <c r="O598" s="2"/>
      <c r="P598" s="2"/>
      <c r="Q598" s="2"/>
      <c r="R598" s="2"/>
      <c r="S598" s="2"/>
    </row>
    <row r="599" spans="1:19" ht="15.75" customHeight="1" x14ac:dyDescent="0.2">
      <c r="A599"/>
      <c r="B599" s="2"/>
      <c r="C599" s="26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"/>
      <c r="O599" s="2"/>
      <c r="P599" s="2"/>
      <c r="Q599" s="2"/>
      <c r="R599" s="2"/>
      <c r="S599" s="2"/>
    </row>
    <row r="600" spans="1:19" ht="15.75" customHeight="1" x14ac:dyDescent="0.2">
      <c r="A600"/>
      <c r="B600" s="2"/>
      <c r="C600" s="26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"/>
      <c r="O600" s="2"/>
      <c r="P600" s="2"/>
      <c r="Q600" s="2"/>
      <c r="R600" s="2"/>
      <c r="S600" s="2"/>
    </row>
    <row r="601" spans="1:19" ht="15.75" customHeight="1" x14ac:dyDescent="0.2">
      <c r="A601"/>
      <c r="B601" s="2"/>
      <c r="C601" s="26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"/>
      <c r="O601" s="2"/>
      <c r="P601" s="2"/>
      <c r="Q601" s="2"/>
      <c r="R601" s="2"/>
      <c r="S601" s="2"/>
    </row>
    <row r="602" spans="1:19" ht="15.75" customHeight="1" x14ac:dyDescent="0.2">
      <c r="A602"/>
      <c r="B602" s="2"/>
      <c r="C602" s="26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"/>
      <c r="O602" s="2"/>
      <c r="P602" s="2"/>
      <c r="Q602" s="2"/>
      <c r="R602" s="2"/>
      <c r="S602" s="2"/>
    </row>
    <row r="603" spans="1:19" ht="15.75" customHeight="1" x14ac:dyDescent="0.2">
      <c r="A603"/>
      <c r="B603" s="2"/>
      <c r="C603" s="26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"/>
      <c r="O603" s="2"/>
      <c r="P603" s="2"/>
      <c r="Q603" s="2"/>
      <c r="R603" s="2"/>
      <c r="S603" s="2"/>
    </row>
    <row r="604" spans="1:19" ht="15.75" customHeight="1" x14ac:dyDescent="0.2">
      <c r="A604"/>
      <c r="B604" s="2"/>
      <c r="C604" s="26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"/>
      <c r="O604" s="2"/>
      <c r="P604" s="2"/>
      <c r="Q604" s="2"/>
      <c r="R604" s="2"/>
      <c r="S604" s="2"/>
    </row>
    <row r="605" spans="1:19" ht="15.75" customHeight="1" x14ac:dyDescent="0.2">
      <c r="A605"/>
      <c r="B605" s="2"/>
      <c r="C605" s="26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"/>
      <c r="O605" s="2"/>
      <c r="P605" s="2"/>
      <c r="Q605" s="2"/>
      <c r="R605" s="2"/>
      <c r="S605" s="2"/>
    </row>
    <row r="606" spans="1:19" ht="15.75" customHeight="1" x14ac:dyDescent="0.2">
      <c r="A606"/>
      <c r="B606" s="2"/>
      <c r="C606" s="26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"/>
      <c r="O606" s="2"/>
      <c r="P606" s="2"/>
      <c r="Q606" s="2"/>
      <c r="R606" s="2"/>
      <c r="S606" s="2"/>
    </row>
    <row r="607" spans="1:19" ht="15.75" customHeight="1" x14ac:dyDescent="0.2">
      <c r="A607"/>
      <c r="B607" s="2"/>
      <c r="C607" s="26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"/>
      <c r="O607" s="2"/>
      <c r="P607" s="2"/>
      <c r="Q607" s="2"/>
      <c r="R607" s="2"/>
      <c r="S607" s="2"/>
    </row>
    <row r="608" spans="1:19" ht="15.75" customHeight="1" x14ac:dyDescent="0.2">
      <c r="A608"/>
      <c r="B608" s="2"/>
      <c r="C608" s="26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"/>
      <c r="O608" s="2"/>
      <c r="P608" s="2"/>
      <c r="Q608" s="2"/>
      <c r="R608" s="2"/>
      <c r="S608" s="2"/>
    </row>
    <row r="609" spans="1:19" ht="15.75" customHeight="1" x14ac:dyDescent="0.2">
      <c r="A609"/>
      <c r="B609" s="2"/>
      <c r="C609" s="26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"/>
      <c r="O609" s="2"/>
      <c r="P609" s="2"/>
      <c r="Q609" s="2"/>
      <c r="R609" s="2"/>
      <c r="S609" s="2"/>
    </row>
    <row r="610" spans="1:19" ht="15.75" customHeight="1" x14ac:dyDescent="0.2">
      <c r="A610"/>
      <c r="B610" s="2"/>
      <c r="C610" s="26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"/>
      <c r="O610" s="2"/>
      <c r="P610" s="2"/>
      <c r="Q610" s="2"/>
      <c r="R610" s="2"/>
      <c r="S610" s="2"/>
    </row>
    <row r="611" spans="1:19" ht="15.75" customHeight="1" x14ac:dyDescent="0.2">
      <c r="A611"/>
      <c r="B611" s="2"/>
      <c r="C611" s="26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"/>
      <c r="O611" s="2"/>
      <c r="P611" s="2"/>
      <c r="Q611" s="2"/>
      <c r="R611" s="2"/>
      <c r="S611" s="2"/>
    </row>
    <row r="612" spans="1:19" ht="15.75" customHeight="1" x14ac:dyDescent="0.2">
      <c r="A612"/>
      <c r="B612" s="2"/>
      <c r="C612" s="26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"/>
      <c r="O612" s="2"/>
      <c r="P612" s="2"/>
      <c r="Q612" s="2"/>
      <c r="R612" s="2"/>
      <c r="S612" s="2"/>
    </row>
    <row r="613" spans="1:19" ht="15.75" customHeight="1" x14ac:dyDescent="0.2">
      <c r="A613"/>
      <c r="B613" s="2"/>
      <c r="C613" s="26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"/>
      <c r="O613" s="2"/>
      <c r="P613" s="2"/>
      <c r="Q613" s="2"/>
      <c r="R613" s="2"/>
      <c r="S613" s="2"/>
    </row>
    <row r="614" spans="1:19" ht="15.75" customHeight="1" x14ac:dyDescent="0.2">
      <c r="A614"/>
      <c r="B614" s="2"/>
      <c r="C614" s="26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"/>
      <c r="O614" s="2"/>
      <c r="P614" s="2"/>
      <c r="Q614" s="2"/>
      <c r="R614" s="2"/>
      <c r="S614" s="2"/>
    </row>
    <row r="615" spans="1:19" ht="15.75" customHeight="1" x14ac:dyDescent="0.2">
      <c r="A615"/>
      <c r="B615" s="2"/>
      <c r="C615" s="26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"/>
      <c r="O615" s="2"/>
      <c r="P615" s="2"/>
      <c r="Q615" s="2"/>
      <c r="R615" s="2"/>
      <c r="S615" s="2"/>
    </row>
    <row r="616" spans="1:19" ht="15.75" customHeight="1" x14ac:dyDescent="0.2">
      <c r="A616"/>
      <c r="B616" s="2"/>
      <c r="C616" s="26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"/>
      <c r="O616" s="2"/>
      <c r="P616" s="2"/>
      <c r="Q616" s="2"/>
      <c r="R616" s="2"/>
      <c r="S616" s="2"/>
    </row>
    <row r="617" spans="1:19" ht="15.75" customHeight="1" x14ac:dyDescent="0.2">
      <c r="A617"/>
      <c r="B617" s="2"/>
      <c r="C617" s="26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"/>
      <c r="O617" s="2"/>
      <c r="P617" s="2"/>
      <c r="Q617" s="2"/>
      <c r="R617" s="2"/>
      <c r="S617" s="2"/>
    </row>
    <row r="618" spans="1:19" ht="15.75" customHeight="1" x14ac:dyDescent="0.2">
      <c r="A618"/>
      <c r="B618" s="2"/>
      <c r="C618" s="26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"/>
      <c r="O618" s="2"/>
      <c r="P618" s="2"/>
      <c r="Q618" s="2"/>
      <c r="R618" s="2"/>
      <c r="S618" s="2"/>
    </row>
    <row r="619" spans="1:19" ht="15.75" customHeight="1" x14ac:dyDescent="0.2">
      <c r="A619"/>
      <c r="B619" s="2"/>
      <c r="C619" s="26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"/>
      <c r="O619" s="2"/>
      <c r="P619" s="2"/>
      <c r="Q619" s="2"/>
      <c r="R619" s="2"/>
      <c r="S619" s="2"/>
    </row>
    <row r="620" spans="1:19" ht="15.75" customHeight="1" x14ac:dyDescent="0.2">
      <c r="A620"/>
      <c r="B620" s="2"/>
      <c r="C620" s="26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"/>
      <c r="O620" s="2"/>
      <c r="P620" s="2"/>
      <c r="Q620" s="2"/>
      <c r="R620" s="2"/>
      <c r="S620" s="2"/>
    </row>
    <row r="621" spans="1:19" ht="15.75" customHeight="1" x14ac:dyDescent="0.2">
      <c r="A621"/>
      <c r="B621" s="2"/>
      <c r="C621" s="26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"/>
      <c r="O621" s="2"/>
      <c r="P621" s="2"/>
      <c r="Q621" s="2"/>
      <c r="R621" s="2"/>
      <c r="S621" s="2"/>
    </row>
    <row r="622" spans="1:19" ht="15.75" customHeight="1" x14ac:dyDescent="0.2">
      <c r="A622"/>
      <c r="B622" s="2"/>
      <c r="C622" s="26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"/>
      <c r="O622" s="2"/>
      <c r="P622" s="2"/>
      <c r="Q622" s="2"/>
      <c r="R622" s="2"/>
      <c r="S622" s="2"/>
    </row>
    <row r="623" spans="1:19" ht="15.75" customHeight="1" x14ac:dyDescent="0.2">
      <c r="A623"/>
      <c r="B623" s="2"/>
      <c r="C623" s="26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"/>
      <c r="O623" s="2"/>
      <c r="P623" s="2"/>
      <c r="Q623" s="2"/>
      <c r="R623" s="2"/>
      <c r="S623" s="2"/>
    </row>
    <row r="624" spans="1:19" ht="15.75" customHeight="1" x14ac:dyDescent="0.2">
      <c r="A624"/>
      <c r="B624" s="2"/>
      <c r="C624" s="26"/>
      <c r="D624" s="27"/>
      <c r="E624" s="27"/>
      <c r="F624" s="27"/>
      <c r="G624" s="27"/>
      <c r="H624" s="27"/>
      <c r="I624" s="27"/>
      <c r="J624" s="27"/>
      <c r="K624" s="27"/>
      <c r="L624" s="27"/>
      <c r="N624" s="2"/>
      <c r="O624" s="2"/>
      <c r="P624" s="2"/>
      <c r="Q624" s="2"/>
      <c r="R624" s="2"/>
      <c r="S624" s="2"/>
    </row>
    <row r="625" spans="1:19" ht="15.75" customHeight="1" x14ac:dyDescent="0.2">
      <c r="A625"/>
      <c r="B625" s="2"/>
      <c r="C625" s="26"/>
      <c r="D625" s="27"/>
      <c r="E625" s="27"/>
      <c r="F625" s="27"/>
      <c r="G625" s="27"/>
      <c r="H625" s="27"/>
      <c r="I625" s="27"/>
      <c r="J625" s="27"/>
      <c r="K625" s="27"/>
      <c r="L625" s="27"/>
      <c r="N625" s="2"/>
      <c r="O625" s="2"/>
      <c r="P625" s="2"/>
      <c r="Q625" s="2"/>
      <c r="R625" s="2"/>
      <c r="S625" s="2"/>
    </row>
    <row r="626" spans="1:19" ht="15.75" customHeight="1" x14ac:dyDescent="0.2">
      <c r="A626"/>
      <c r="B626" s="2"/>
      <c r="C626" s="26"/>
      <c r="D626" s="27"/>
      <c r="E626" s="27"/>
      <c r="F626" s="27"/>
      <c r="G626" s="27"/>
      <c r="H626" s="27"/>
      <c r="I626" s="27"/>
      <c r="J626" s="27"/>
      <c r="K626" s="27"/>
      <c r="L626" s="27"/>
      <c r="N626" s="2"/>
      <c r="O626" s="2"/>
      <c r="P626" s="2"/>
      <c r="Q626" s="2"/>
      <c r="R626" s="2"/>
      <c r="S626" s="2"/>
    </row>
    <row r="627" spans="1:19" ht="15.75" customHeight="1" x14ac:dyDescent="0.2">
      <c r="A627"/>
      <c r="B627" s="2"/>
      <c r="C627" s="26"/>
      <c r="D627" s="27"/>
      <c r="E627" s="27"/>
      <c r="F627" s="27"/>
      <c r="G627" s="27"/>
      <c r="H627" s="27"/>
      <c r="I627" s="27"/>
      <c r="J627" s="27"/>
      <c r="K627" s="27"/>
      <c r="L627" s="27"/>
      <c r="N627" s="2"/>
      <c r="O627" s="2"/>
      <c r="P627" s="2"/>
      <c r="Q627" s="2"/>
      <c r="R627" s="2"/>
      <c r="S627" s="2"/>
    </row>
    <row r="628" spans="1:19" ht="15.75" customHeight="1" x14ac:dyDescent="0.2">
      <c r="A628"/>
      <c r="B628" s="2"/>
      <c r="C628" s="26"/>
      <c r="D628" s="27"/>
      <c r="E628" s="27"/>
      <c r="F628" s="27"/>
      <c r="G628" s="27"/>
      <c r="H628" s="27"/>
      <c r="I628" s="27"/>
      <c r="J628" s="27"/>
      <c r="K628" s="27"/>
      <c r="L628" s="27"/>
      <c r="M628"/>
      <c r="N628" s="2"/>
      <c r="O628" s="2"/>
      <c r="P628" s="2"/>
      <c r="Q628" s="2"/>
      <c r="R628" s="2"/>
      <c r="S628" s="2"/>
    </row>
    <row r="629" spans="1:19" ht="15.75" customHeight="1" x14ac:dyDescent="0.2">
      <c r="A629"/>
      <c r="B629" s="2"/>
      <c r="C629" s="26"/>
      <c r="D629" s="27"/>
      <c r="E629" s="27"/>
      <c r="F629" s="27"/>
      <c r="G629" s="27"/>
      <c r="H629" s="27"/>
      <c r="I629" s="27"/>
      <c r="J629" s="27"/>
      <c r="K629" s="27"/>
      <c r="L629" s="27"/>
      <c r="M629"/>
      <c r="N629" s="2"/>
      <c r="O629" s="2"/>
      <c r="P629" s="2"/>
      <c r="Q629" s="2"/>
      <c r="R629" s="2"/>
      <c r="S629" s="2"/>
    </row>
    <row r="630" spans="1:19" ht="15.75" customHeight="1" x14ac:dyDescent="0.2">
      <c r="A630"/>
      <c r="B630" s="2"/>
      <c r="C630" s="26"/>
      <c r="D630" s="27"/>
      <c r="E630" s="27"/>
      <c r="F630" s="27"/>
      <c r="G630" s="27"/>
      <c r="H630" s="27"/>
      <c r="I630" s="27"/>
      <c r="J630" s="27"/>
      <c r="K630" s="27"/>
      <c r="L630" s="27"/>
      <c r="M630"/>
      <c r="N630" s="2"/>
      <c r="O630" s="2"/>
      <c r="P630" s="2"/>
      <c r="Q630" s="2"/>
      <c r="R630" s="2"/>
      <c r="S630" s="2"/>
    </row>
    <row r="631" spans="1:19" ht="15.75" customHeight="1" x14ac:dyDescent="0.2">
      <c r="A631"/>
      <c r="B631" s="2"/>
      <c r="C631" s="26"/>
      <c r="D631" s="27"/>
      <c r="E631" s="27"/>
      <c r="F631" s="27"/>
      <c r="G631" s="27"/>
      <c r="H631" s="27"/>
      <c r="I631" s="27"/>
      <c r="J631" s="27"/>
      <c r="K631" s="27"/>
      <c r="L631" s="27"/>
      <c r="M631"/>
      <c r="N631" s="2"/>
      <c r="O631" s="2"/>
      <c r="P631" s="2"/>
      <c r="Q631" s="2"/>
      <c r="R631" s="2"/>
      <c r="S631" s="2"/>
    </row>
    <row r="632" spans="1:19" ht="15.75" customHeight="1" x14ac:dyDescent="0.2">
      <c r="A632"/>
      <c r="B632" s="2"/>
      <c r="C632" s="26"/>
      <c r="D632" s="27"/>
      <c r="E632" s="27"/>
      <c r="F632" s="27"/>
      <c r="G632" s="27"/>
      <c r="H632" s="27"/>
      <c r="I632" s="27"/>
      <c r="J632" s="27"/>
      <c r="K632" s="27"/>
      <c r="L632" s="27"/>
      <c r="M632"/>
      <c r="N632" s="2"/>
      <c r="O632" s="2"/>
      <c r="P632" s="2"/>
      <c r="Q632" s="2"/>
      <c r="R632" s="2"/>
      <c r="S632" s="2"/>
    </row>
    <row r="633" spans="1:19" ht="15.75" customHeight="1" x14ac:dyDescent="0.2">
      <c r="A633"/>
      <c r="B633" s="2"/>
      <c r="C633" s="26"/>
      <c r="D633" s="27"/>
      <c r="E633" s="27"/>
      <c r="F633" s="27"/>
      <c r="G633" s="27"/>
      <c r="H633" s="27"/>
      <c r="I633" s="27"/>
      <c r="J633" s="27"/>
      <c r="K633" s="27"/>
      <c r="L633" s="27"/>
      <c r="M633"/>
      <c r="N633" s="2"/>
      <c r="O633" s="2"/>
      <c r="P633" s="2"/>
      <c r="Q633" s="2"/>
      <c r="R633" s="2"/>
      <c r="S633" s="2"/>
    </row>
    <row r="634" spans="1:19" ht="15.75" customHeight="1" x14ac:dyDescent="0.2">
      <c r="A634"/>
      <c r="B634" s="2"/>
      <c r="C634" s="26"/>
      <c r="D634" s="27"/>
      <c r="E634" s="27"/>
      <c r="F634" s="27"/>
      <c r="G634" s="27"/>
      <c r="H634" s="27"/>
      <c r="I634" s="27"/>
      <c r="J634" s="27"/>
      <c r="K634" s="27"/>
      <c r="L634" s="27"/>
      <c r="M634"/>
      <c r="N634" s="2"/>
      <c r="O634" s="2"/>
      <c r="P634" s="2"/>
      <c r="Q634" s="2"/>
      <c r="R634" s="2"/>
      <c r="S634" s="2"/>
    </row>
    <row r="635" spans="1:19" ht="15.75" customHeight="1" x14ac:dyDescent="0.2">
      <c r="A635"/>
      <c r="B635" s="2"/>
      <c r="C635" s="26"/>
      <c r="D635" s="27"/>
      <c r="E635" s="27"/>
      <c r="F635" s="27"/>
      <c r="G635" s="27"/>
      <c r="H635" s="27"/>
      <c r="I635" s="27"/>
      <c r="J635" s="27"/>
      <c r="K635" s="27"/>
      <c r="L635" s="27"/>
      <c r="M635"/>
      <c r="N635" s="2"/>
      <c r="O635" s="2"/>
      <c r="P635" s="2"/>
      <c r="Q635" s="2"/>
      <c r="R635" s="2"/>
      <c r="S635" s="2"/>
    </row>
    <row r="636" spans="1:19" ht="15.75" customHeight="1" x14ac:dyDescent="0.2">
      <c r="A636"/>
      <c r="B636" s="2"/>
      <c r="C636" s="26"/>
      <c r="D636" s="27"/>
      <c r="E636" s="27"/>
      <c r="F636" s="27"/>
      <c r="G636" s="27"/>
      <c r="H636" s="27"/>
      <c r="I636" s="27"/>
      <c r="J636" s="27"/>
      <c r="K636" s="27"/>
      <c r="L636" s="27"/>
      <c r="M636"/>
      <c r="N636" s="2"/>
      <c r="O636" s="2"/>
      <c r="P636" s="2"/>
      <c r="Q636" s="2"/>
      <c r="R636" s="2"/>
      <c r="S636" s="2"/>
    </row>
    <row r="637" spans="1:19" ht="15.75" customHeight="1" x14ac:dyDescent="0.2">
      <c r="A637"/>
      <c r="B637" s="2"/>
      <c r="C637" s="26"/>
      <c r="D637" s="27"/>
      <c r="E637" s="27"/>
      <c r="F637" s="27"/>
      <c r="G637" s="27"/>
      <c r="H637" s="27"/>
      <c r="I637" s="27"/>
      <c r="J637" s="27"/>
      <c r="K637" s="27"/>
      <c r="L637" s="27"/>
      <c r="M637"/>
      <c r="N637" s="2"/>
      <c r="O637" s="2"/>
      <c r="P637" s="2"/>
      <c r="Q637" s="2"/>
      <c r="R637" s="2"/>
      <c r="S637" s="2"/>
    </row>
    <row r="638" spans="1:19" ht="15.75" customHeight="1" x14ac:dyDescent="0.2">
      <c r="A638"/>
      <c r="B638" s="2"/>
      <c r="C638" s="26"/>
      <c r="D638" s="27"/>
      <c r="E638" s="27"/>
      <c r="F638" s="27"/>
      <c r="G638" s="27"/>
      <c r="H638" s="27"/>
      <c r="I638" s="27"/>
      <c r="J638" s="27"/>
      <c r="K638" s="27"/>
      <c r="L638" s="27"/>
      <c r="M638"/>
      <c r="N638" s="2"/>
      <c r="O638" s="2"/>
      <c r="P638" s="2"/>
      <c r="Q638" s="2"/>
      <c r="R638" s="2"/>
      <c r="S638" s="2"/>
    </row>
    <row r="639" spans="1:19" ht="15.75" customHeight="1" x14ac:dyDescent="0.2">
      <c r="A639"/>
      <c r="B639" s="2"/>
      <c r="C639" s="26"/>
      <c r="D639" s="27"/>
      <c r="E639" s="27"/>
      <c r="F639" s="27"/>
      <c r="G639" s="27"/>
      <c r="H639" s="27"/>
      <c r="I639" s="27"/>
      <c r="J639" s="27"/>
      <c r="K639" s="27"/>
      <c r="L639" s="27"/>
      <c r="M639"/>
      <c r="N639" s="2"/>
      <c r="O639" s="2"/>
      <c r="P639" s="2"/>
      <c r="Q639" s="2"/>
      <c r="R639" s="2"/>
      <c r="S639" s="2"/>
    </row>
    <row r="640" spans="1:19" ht="15.75" customHeight="1" x14ac:dyDescent="0.2">
      <c r="A640"/>
      <c r="B640" s="2"/>
      <c r="C640" s="26"/>
      <c r="D640" s="27"/>
      <c r="E640" s="27"/>
      <c r="F640" s="27"/>
      <c r="G640" s="27"/>
      <c r="H640" s="27"/>
      <c r="I640" s="27"/>
      <c r="J640" s="27"/>
      <c r="K640" s="27"/>
      <c r="L640" s="27"/>
      <c r="M640"/>
      <c r="N640" s="2"/>
      <c r="O640" s="2"/>
      <c r="P640" s="2"/>
      <c r="Q640" s="2"/>
      <c r="R640" s="2"/>
      <c r="S640" s="2"/>
    </row>
    <row r="641" spans="1:19" ht="15.75" customHeight="1" x14ac:dyDescent="0.2">
      <c r="A641"/>
      <c r="B641" s="2"/>
      <c r="C641" s="26"/>
      <c r="D641" s="27"/>
      <c r="E641" s="27"/>
      <c r="F641" s="27"/>
      <c r="G641" s="27"/>
      <c r="H641" s="27"/>
      <c r="I641" s="27"/>
      <c r="J641" s="27"/>
      <c r="K641" s="27"/>
      <c r="L641" s="27"/>
      <c r="M641"/>
      <c r="N641" s="2"/>
      <c r="O641" s="2"/>
      <c r="P641" s="2"/>
      <c r="Q641" s="2"/>
      <c r="R641" s="2"/>
      <c r="S641" s="2"/>
    </row>
    <row r="642" spans="1:19" ht="15.75" customHeight="1" x14ac:dyDescent="0.2">
      <c r="A642"/>
      <c r="M642"/>
    </row>
    <row r="643" spans="1:19" ht="15.75" customHeight="1" x14ac:dyDescent="0.2">
      <c r="A643"/>
      <c r="M643"/>
    </row>
    <row r="644" spans="1:19" ht="15.75" customHeight="1" x14ac:dyDescent="0.2">
      <c r="A644"/>
      <c r="M644"/>
    </row>
    <row r="645" spans="1:19" ht="15.75" customHeight="1" x14ac:dyDescent="0.2">
      <c r="A645"/>
      <c r="M645"/>
    </row>
    <row r="646" spans="1:19" ht="15.75" customHeight="1" x14ac:dyDescent="0.2">
      <c r="A646"/>
      <c r="D646"/>
      <c r="E646"/>
      <c r="F646"/>
      <c r="G646"/>
      <c r="H646"/>
      <c r="I646"/>
      <c r="J646"/>
      <c r="K646"/>
      <c r="L646"/>
      <c r="M646"/>
    </row>
    <row r="647" spans="1:19" ht="15.75" customHeight="1" x14ac:dyDescent="0.2">
      <c r="A647"/>
      <c r="D647"/>
      <c r="E647"/>
      <c r="F647"/>
      <c r="G647"/>
      <c r="H647"/>
      <c r="I647"/>
      <c r="J647"/>
      <c r="K647"/>
      <c r="L647"/>
      <c r="M647"/>
    </row>
    <row r="648" spans="1:19" ht="15.75" customHeight="1" x14ac:dyDescent="0.2">
      <c r="A648"/>
      <c r="D648"/>
      <c r="E648"/>
      <c r="F648"/>
      <c r="G648"/>
      <c r="H648"/>
      <c r="I648"/>
      <c r="J648"/>
      <c r="K648"/>
      <c r="L648"/>
      <c r="M648"/>
    </row>
    <row r="649" spans="1:19" ht="15.75" customHeight="1" x14ac:dyDescent="0.2">
      <c r="A649"/>
      <c r="D649"/>
      <c r="E649"/>
      <c r="F649"/>
      <c r="G649"/>
      <c r="H649"/>
      <c r="I649"/>
      <c r="J649"/>
      <c r="K649"/>
      <c r="L649"/>
      <c r="M649"/>
    </row>
    <row r="650" spans="1:19" ht="15.75" customHeight="1" x14ac:dyDescent="0.2">
      <c r="A650"/>
      <c r="D650"/>
      <c r="E650"/>
      <c r="F650"/>
      <c r="G650"/>
      <c r="H650"/>
      <c r="I650"/>
      <c r="J650"/>
      <c r="K650"/>
      <c r="L650"/>
      <c r="M650"/>
    </row>
    <row r="651" spans="1:19" ht="15.75" customHeight="1" x14ac:dyDescent="0.2">
      <c r="A651"/>
      <c r="D651"/>
      <c r="E651"/>
      <c r="F651"/>
      <c r="G651"/>
      <c r="H651"/>
      <c r="I651"/>
      <c r="J651"/>
      <c r="K651"/>
      <c r="L651"/>
      <c r="M651"/>
    </row>
    <row r="652" spans="1:19" ht="15.75" customHeight="1" x14ac:dyDescent="0.2">
      <c r="A652"/>
      <c r="D652"/>
      <c r="E652"/>
      <c r="F652"/>
      <c r="G652"/>
      <c r="H652"/>
      <c r="I652"/>
      <c r="J652"/>
      <c r="K652"/>
      <c r="L652"/>
      <c r="M652"/>
    </row>
    <row r="653" spans="1:19" ht="15.75" customHeight="1" x14ac:dyDescent="0.2">
      <c r="A653"/>
      <c r="D653"/>
      <c r="E653"/>
      <c r="F653"/>
      <c r="G653"/>
      <c r="H653"/>
      <c r="I653"/>
      <c r="J653"/>
      <c r="K653"/>
      <c r="L653"/>
      <c r="M653"/>
    </row>
    <row r="654" spans="1:19" ht="15.75" customHeight="1" x14ac:dyDescent="0.2">
      <c r="A654"/>
      <c r="D654"/>
      <c r="E654"/>
      <c r="F654"/>
      <c r="G654"/>
      <c r="H654"/>
      <c r="I654"/>
      <c r="J654"/>
      <c r="K654"/>
      <c r="L654"/>
      <c r="M654"/>
    </row>
    <row r="655" spans="1:19" ht="15.75" customHeight="1" x14ac:dyDescent="0.2">
      <c r="A655"/>
      <c r="D655"/>
      <c r="E655"/>
      <c r="F655"/>
      <c r="G655"/>
      <c r="H655"/>
      <c r="I655"/>
      <c r="J655"/>
      <c r="K655"/>
      <c r="L655"/>
      <c r="M655"/>
    </row>
    <row r="656" spans="1:19" ht="15.75" customHeight="1" x14ac:dyDescent="0.2">
      <c r="A656"/>
      <c r="D656"/>
      <c r="E656"/>
      <c r="F656"/>
      <c r="G656"/>
      <c r="H656"/>
      <c r="I656"/>
      <c r="J656"/>
      <c r="K656"/>
      <c r="L656"/>
      <c r="M656"/>
    </row>
    <row r="657" spans="3:3" customFormat="1" ht="15.75" customHeight="1" x14ac:dyDescent="0.2">
      <c r="C657" s="9"/>
    </row>
    <row r="658" spans="3:3" customFormat="1" ht="15.75" customHeight="1" x14ac:dyDescent="0.2">
      <c r="C658" s="9"/>
    </row>
    <row r="659" spans="3:3" customFormat="1" ht="15.75" customHeight="1" x14ac:dyDescent="0.2">
      <c r="C659" s="9"/>
    </row>
    <row r="660" spans="3:3" customFormat="1" ht="15.75" customHeight="1" x14ac:dyDescent="0.2">
      <c r="C660" s="9"/>
    </row>
    <row r="661" spans="3:3" customFormat="1" ht="15.75" customHeight="1" x14ac:dyDescent="0.2">
      <c r="C661" s="9"/>
    </row>
    <row r="662" spans="3:3" customFormat="1" ht="15.75" customHeight="1" x14ac:dyDescent="0.2">
      <c r="C662" s="9"/>
    </row>
    <row r="663" spans="3:3" customFormat="1" ht="15.75" customHeight="1" x14ac:dyDescent="0.2">
      <c r="C663" s="9"/>
    </row>
    <row r="664" spans="3:3" customFormat="1" ht="15.75" customHeight="1" x14ac:dyDescent="0.2">
      <c r="C664" s="9"/>
    </row>
    <row r="665" spans="3:3" customFormat="1" ht="15.75" customHeight="1" x14ac:dyDescent="0.2">
      <c r="C665" s="9"/>
    </row>
    <row r="666" spans="3:3" customFormat="1" ht="15.75" customHeight="1" x14ac:dyDescent="0.2">
      <c r="C666" s="9"/>
    </row>
    <row r="667" spans="3:3" customFormat="1" ht="15.75" customHeight="1" x14ac:dyDescent="0.2">
      <c r="C667" s="9"/>
    </row>
    <row r="668" spans="3:3" customFormat="1" ht="15.75" customHeight="1" x14ac:dyDescent="0.2">
      <c r="C668" s="9"/>
    </row>
    <row r="669" spans="3:3" customFormat="1" ht="15.75" customHeight="1" x14ac:dyDescent="0.2">
      <c r="C669" s="9"/>
    </row>
    <row r="670" spans="3:3" customFormat="1" ht="15.75" customHeight="1" x14ac:dyDescent="0.2">
      <c r="C670" s="9"/>
    </row>
    <row r="671" spans="3:3" customFormat="1" ht="15.75" customHeight="1" x14ac:dyDescent="0.2">
      <c r="C671" s="9"/>
    </row>
    <row r="672" spans="3:3" customFormat="1" ht="15.75" customHeight="1" x14ac:dyDescent="0.2">
      <c r="C672" s="9"/>
    </row>
    <row r="673" spans="3:3" customFormat="1" ht="15.75" customHeight="1" x14ac:dyDescent="0.2">
      <c r="C673" s="9"/>
    </row>
    <row r="674" spans="3:3" customFormat="1" ht="15.75" customHeight="1" x14ac:dyDescent="0.2">
      <c r="C674" s="9"/>
    </row>
    <row r="675" spans="3:3" customFormat="1" ht="15.75" customHeight="1" x14ac:dyDescent="0.2">
      <c r="C675" s="9"/>
    </row>
    <row r="676" spans="3:3" customFormat="1" ht="15.75" customHeight="1" x14ac:dyDescent="0.2">
      <c r="C676" s="9"/>
    </row>
    <row r="677" spans="3:3" customFormat="1" ht="15.75" customHeight="1" x14ac:dyDescent="0.2">
      <c r="C677" s="9"/>
    </row>
    <row r="678" spans="3:3" customFormat="1" ht="15.75" customHeight="1" x14ac:dyDescent="0.2">
      <c r="C678" s="9"/>
    </row>
    <row r="679" spans="3:3" customFormat="1" ht="15.75" customHeight="1" x14ac:dyDescent="0.2">
      <c r="C679" s="9"/>
    </row>
    <row r="680" spans="3:3" customFormat="1" ht="15.75" customHeight="1" x14ac:dyDescent="0.2">
      <c r="C680" s="9"/>
    </row>
    <row r="681" spans="3:3" customFormat="1" ht="15.75" customHeight="1" x14ac:dyDescent="0.2">
      <c r="C681" s="9"/>
    </row>
    <row r="682" spans="3:3" customFormat="1" ht="15.75" customHeight="1" x14ac:dyDescent="0.2">
      <c r="C682" s="9"/>
    </row>
    <row r="683" spans="3:3" customFormat="1" ht="15.75" customHeight="1" x14ac:dyDescent="0.2">
      <c r="C683" s="9"/>
    </row>
    <row r="684" spans="3:3" customFormat="1" ht="15.75" customHeight="1" x14ac:dyDescent="0.2">
      <c r="C684" s="9"/>
    </row>
    <row r="685" spans="3:3" customFormat="1" ht="15.75" customHeight="1" x14ac:dyDescent="0.2">
      <c r="C685" s="9"/>
    </row>
    <row r="686" spans="3:3" customFormat="1" ht="15.75" customHeight="1" x14ac:dyDescent="0.2">
      <c r="C686" s="9"/>
    </row>
    <row r="687" spans="3:3" customFormat="1" ht="15.75" customHeight="1" x14ac:dyDescent="0.2">
      <c r="C687" s="9"/>
    </row>
    <row r="688" spans="3:3" customFormat="1" ht="15.75" customHeight="1" x14ac:dyDescent="0.2">
      <c r="C688" s="9"/>
    </row>
    <row r="689" spans="3:3" customFormat="1" ht="15.75" customHeight="1" x14ac:dyDescent="0.2">
      <c r="C689" s="9"/>
    </row>
    <row r="690" spans="3:3" customFormat="1" ht="15.75" customHeight="1" x14ac:dyDescent="0.2">
      <c r="C690" s="9"/>
    </row>
    <row r="691" spans="3:3" customFormat="1" ht="15.75" customHeight="1" x14ac:dyDescent="0.2">
      <c r="C691" s="9"/>
    </row>
    <row r="692" spans="3:3" customFormat="1" ht="15.75" customHeight="1" x14ac:dyDescent="0.2">
      <c r="C692" s="9"/>
    </row>
    <row r="693" spans="3:3" customFormat="1" ht="15.75" customHeight="1" x14ac:dyDescent="0.2">
      <c r="C693" s="9"/>
    </row>
    <row r="694" spans="3:3" customFormat="1" ht="15.75" customHeight="1" x14ac:dyDescent="0.2">
      <c r="C694" s="9"/>
    </row>
    <row r="695" spans="3:3" customFormat="1" ht="15.75" customHeight="1" x14ac:dyDescent="0.2">
      <c r="C695" s="9"/>
    </row>
    <row r="696" spans="3:3" customFormat="1" ht="15.75" customHeight="1" x14ac:dyDescent="0.2">
      <c r="C696" s="9"/>
    </row>
    <row r="697" spans="3:3" customFormat="1" ht="15.75" customHeight="1" x14ac:dyDescent="0.2">
      <c r="C697" s="9"/>
    </row>
    <row r="698" spans="3:3" customFormat="1" ht="15.75" customHeight="1" x14ac:dyDescent="0.2">
      <c r="C698" s="9"/>
    </row>
    <row r="699" spans="3:3" customFormat="1" ht="15.75" customHeight="1" x14ac:dyDescent="0.2">
      <c r="C699" s="9"/>
    </row>
    <row r="700" spans="3:3" customFormat="1" ht="15.75" customHeight="1" x14ac:dyDescent="0.2">
      <c r="C700" s="9"/>
    </row>
    <row r="701" spans="3:3" customFormat="1" ht="15.75" customHeight="1" x14ac:dyDescent="0.2">
      <c r="C701" s="9"/>
    </row>
    <row r="702" spans="3:3" customFormat="1" ht="15.75" customHeight="1" x14ac:dyDescent="0.2">
      <c r="C702" s="9"/>
    </row>
    <row r="703" spans="3:3" customFormat="1" ht="15.75" customHeight="1" x14ac:dyDescent="0.2">
      <c r="C703" s="9"/>
    </row>
    <row r="704" spans="3:3" customFormat="1" ht="15.75" customHeight="1" x14ac:dyDescent="0.2">
      <c r="C704" s="9"/>
    </row>
    <row r="705" spans="3:3" customFormat="1" ht="15.75" customHeight="1" x14ac:dyDescent="0.2">
      <c r="C705" s="9"/>
    </row>
    <row r="706" spans="3:3" customFormat="1" ht="15.75" customHeight="1" x14ac:dyDescent="0.2">
      <c r="C706" s="9"/>
    </row>
    <row r="707" spans="3:3" customFormat="1" ht="15.75" customHeight="1" x14ac:dyDescent="0.2">
      <c r="C707" s="9"/>
    </row>
    <row r="708" spans="3:3" customFormat="1" ht="15.75" customHeight="1" x14ac:dyDescent="0.2">
      <c r="C708" s="9"/>
    </row>
    <row r="709" spans="3:3" customFormat="1" ht="15.75" customHeight="1" x14ac:dyDescent="0.2">
      <c r="C709" s="9"/>
    </row>
    <row r="710" spans="3:3" customFormat="1" ht="15.75" customHeight="1" x14ac:dyDescent="0.2">
      <c r="C710" s="9"/>
    </row>
    <row r="711" spans="3:3" customFormat="1" ht="15.75" customHeight="1" x14ac:dyDescent="0.2">
      <c r="C711" s="9"/>
    </row>
    <row r="712" spans="3:3" customFormat="1" ht="15.75" customHeight="1" x14ac:dyDescent="0.2">
      <c r="C712" s="9"/>
    </row>
    <row r="713" spans="3:3" customFormat="1" ht="15.75" customHeight="1" x14ac:dyDescent="0.2">
      <c r="C713" s="9"/>
    </row>
    <row r="714" spans="3:3" customFormat="1" ht="15.75" customHeight="1" x14ac:dyDescent="0.2">
      <c r="C714" s="9"/>
    </row>
    <row r="715" spans="3:3" customFormat="1" ht="15.75" customHeight="1" x14ac:dyDescent="0.2">
      <c r="C715" s="9"/>
    </row>
    <row r="716" spans="3:3" customFormat="1" ht="15.75" customHeight="1" x14ac:dyDescent="0.2">
      <c r="C716" s="9"/>
    </row>
    <row r="717" spans="3:3" customFormat="1" ht="15.75" customHeight="1" x14ac:dyDescent="0.2">
      <c r="C717" s="9"/>
    </row>
    <row r="718" spans="3:3" customFormat="1" ht="15.75" customHeight="1" x14ac:dyDescent="0.2">
      <c r="C718" s="9"/>
    </row>
    <row r="719" spans="3:3" customFormat="1" ht="15.75" customHeight="1" x14ac:dyDescent="0.2">
      <c r="C719" s="9"/>
    </row>
    <row r="720" spans="3:3" customFormat="1" ht="15.75" customHeight="1" x14ac:dyDescent="0.2">
      <c r="C720" s="9"/>
    </row>
    <row r="721" spans="3:13" customFormat="1" ht="15.75" customHeight="1" x14ac:dyDescent="0.2">
      <c r="C721" s="9"/>
    </row>
    <row r="722" spans="3:13" customFormat="1" ht="15.75" customHeight="1" x14ac:dyDescent="0.2">
      <c r="C722" s="9"/>
    </row>
    <row r="723" spans="3:13" customFormat="1" ht="15.75" customHeight="1" x14ac:dyDescent="0.2">
      <c r="C723" s="9"/>
    </row>
    <row r="724" spans="3:13" customFormat="1" ht="15.75" customHeight="1" x14ac:dyDescent="0.2">
      <c r="C724" s="9"/>
    </row>
    <row r="725" spans="3:13" customFormat="1" ht="15.75" customHeight="1" x14ac:dyDescent="0.2">
      <c r="C725" s="9"/>
    </row>
    <row r="726" spans="3:13" customFormat="1" ht="15.75" customHeight="1" x14ac:dyDescent="0.2">
      <c r="C726" s="9"/>
    </row>
    <row r="727" spans="3:13" customFormat="1" ht="15.75" customHeight="1" x14ac:dyDescent="0.2">
      <c r="C727" s="9"/>
    </row>
    <row r="728" spans="3:13" customFormat="1" ht="15.75" customHeight="1" x14ac:dyDescent="0.2">
      <c r="C728" s="9"/>
      <c r="M728" s="33"/>
    </row>
    <row r="729" spans="3:13" customFormat="1" ht="15.75" customHeight="1" x14ac:dyDescent="0.2">
      <c r="C729" s="9"/>
      <c r="M729" s="33"/>
    </row>
    <row r="730" spans="3:13" customFormat="1" ht="15.75" customHeight="1" x14ac:dyDescent="0.2">
      <c r="C730" s="9"/>
      <c r="M730" s="33"/>
    </row>
    <row r="731" spans="3:13" customFormat="1" ht="15.75" customHeight="1" x14ac:dyDescent="0.2">
      <c r="C731" s="9"/>
      <c r="M731" s="33"/>
    </row>
    <row r="732" spans="3:13" customFormat="1" ht="15.75" customHeight="1" x14ac:dyDescent="0.2">
      <c r="C732" s="9"/>
      <c r="M732" s="33"/>
    </row>
    <row r="733" spans="3:13" customFormat="1" ht="15.75" customHeight="1" x14ac:dyDescent="0.2">
      <c r="C733" s="9"/>
      <c r="M733" s="33"/>
    </row>
    <row r="734" spans="3:13" customFormat="1" ht="15.75" customHeight="1" x14ac:dyDescent="0.2">
      <c r="C734" s="9"/>
      <c r="M734" s="33"/>
    </row>
    <row r="735" spans="3:13" customFormat="1" ht="15.75" customHeight="1" x14ac:dyDescent="0.2">
      <c r="C735" s="9"/>
      <c r="M735" s="33"/>
    </row>
    <row r="736" spans="3:13" customFormat="1" ht="15.75" customHeight="1" x14ac:dyDescent="0.2">
      <c r="C736" s="9"/>
      <c r="M736" s="33"/>
    </row>
    <row r="737" spans="3:13" customFormat="1" ht="15.75" customHeight="1" x14ac:dyDescent="0.2">
      <c r="C737" s="9"/>
      <c r="M737" s="33"/>
    </row>
    <row r="738" spans="3:13" customFormat="1" ht="15.75" customHeight="1" x14ac:dyDescent="0.2">
      <c r="C738" s="9"/>
      <c r="M738" s="33"/>
    </row>
    <row r="739" spans="3:13" customFormat="1" ht="15.75" customHeight="1" x14ac:dyDescent="0.2">
      <c r="C739" s="9"/>
      <c r="M739" s="33"/>
    </row>
    <row r="740" spans="3:13" customFormat="1" ht="15.75" customHeight="1" x14ac:dyDescent="0.2">
      <c r="C740" s="9"/>
      <c r="M740" s="33"/>
    </row>
    <row r="741" spans="3:13" customFormat="1" ht="15.75" customHeight="1" x14ac:dyDescent="0.2">
      <c r="C741" s="9"/>
      <c r="M741" s="33"/>
    </row>
    <row r="742" spans="3:13" customFormat="1" ht="15.75" customHeight="1" x14ac:dyDescent="0.2">
      <c r="C742" s="9"/>
      <c r="M742" s="33"/>
    </row>
    <row r="743" spans="3:13" customFormat="1" ht="15.75" customHeight="1" x14ac:dyDescent="0.2">
      <c r="C743" s="9"/>
      <c r="M743" s="33"/>
    </row>
    <row r="744" spans="3:13" customFormat="1" ht="15.75" customHeight="1" x14ac:dyDescent="0.2">
      <c r="C744" s="9"/>
      <c r="M744" s="33"/>
    </row>
    <row r="745" spans="3:13" customFormat="1" ht="15.75" customHeight="1" x14ac:dyDescent="0.2">
      <c r="C745" s="9"/>
      <c r="M745" s="33"/>
    </row>
  </sheetData>
  <mergeCells count="2">
    <mergeCell ref="A4:L4"/>
    <mergeCell ref="A5:L5"/>
  </mergeCells>
  <phoneticPr fontId="15" type="noConversion"/>
  <pageMargins left="0.31496062992125984" right="0.19685039370078741" top="0.35433070866141736" bottom="0.39370078740157483" header="0.31496062992125984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0"/>
  <sheetViews>
    <sheetView zoomScaleNormal="100" zoomScaleSheetLayoutView="90" workbookViewId="0">
      <selection activeCell="A8" sqref="A8"/>
    </sheetView>
  </sheetViews>
  <sheetFormatPr defaultColWidth="0" defaultRowHeight="12.75" x14ac:dyDescent="0.2"/>
  <cols>
    <col min="1" max="1" width="76.140625" customWidth="1"/>
    <col min="2" max="2" width="9.28515625" style="9" customWidth="1"/>
    <col min="3" max="3" width="15" customWidth="1"/>
    <col min="4" max="4" width="15.140625" hidden="1" customWidth="1"/>
    <col min="5" max="5" width="9.140625" hidden="1" customWidth="1"/>
    <col min="6" max="6" width="15.5703125" style="9" hidden="1" customWidth="1"/>
    <col min="7" max="7" width="9.140625" hidden="1" customWidth="1"/>
    <col min="8" max="8" width="14" hidden="1" customWidth="1"/>
    <col min="9" max="9" width="9.140625" hidden="1" customWidth="1"/>
    <col min="10" max="11" width="14" customWidth="1"/>
    <col min="12" max="12" width="6.85546875" style="9" customWidth="1"/>
    <col min="13" max="20" width="7.85546875" customWidth="1"/>
    <col min="21" max="226" width="9.140625" customWidth="1"/>
  </cols>
  <sheetData>
    <row r="1" spans="1:22" ht="15.75" customHeight="1" x14ac:dyDescent="0.2">
      <c r="A1" s="276"/>
      <c r="B1" s="441"/>
      <c r="K1" s="142" t="s">
        <v>437</v>
      </c>
    </row>
    <row r="2" spans="1:22" x14ac:dyDescent="0.2">
      <c r="A2" s="276"/>
      <c r="B2" s="441"/>
      <c r="K2" s="145" t="str">
        <f>'1.Bev-kiad.'!L2</f>
        <v>a 9/2026.(V.29.) önkormányzati rendelethez</v>
      </c>
    </row>
    <row r="3" spans="1:22" ht="15.75" customHeight="1" x14ac:dyDescent="0.2">
      <c r="A3" s="276"/>
      <c r="B3" s="441"/>
      <c r="J3" s="145"/>
    </row>
    <row r="4" spans="1:22" ht="19.5" x14ac:dyDescent="0.2">
      <c r="A4" s="696" t="s">
        <v>313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</row>
    <row r="5" spans="1:22" ht="19.5" customHeight="1" x14ac:dyDescent="0.35">
      <c r="A5" s="697" t="s">
        <v>670</v>
      </c>
      <c r="B5" s="697"/>
      <c r="C5" s="697"/>
      <c r="D5" s="697"/>
      <c r="E5" s="697"/>
      <c r="F5" s="697"/>
      <c r="G5" s="697"/>
      <c r="H5" s="697"/>
      <c r="I5" s="697"/>
      <c r="J5" s="697"/>
      <c r="K5" s="697"/>
    </row>
    <row r="6" spans="1:22" ht="5.25" customHeight="1" x14ac:dyDescent="0.2">
      <c r="A6" s="48"/>
      <c r="B6" s="442"/>
      <c r="C6" s="49"/>
      <c r="D6" s="49"/>
      <c r="E6" s="49"/>
      <c r="F6" s="274"/>
      <c r="G6" s="49"/>
      <c r="H6" s="49"/>
      <c r="I6" s="49"/>
      <c r="J6" s="49"/>
      <c r="K6" s="49"/>
    </row>
    <row r="7" spans="1:22" ht="13.5" thickBot="1" x14ac:dyDescent="0.25">
      <c r="A7" s="48"/>
      <c r="B7" s="442"/>
      <c r="K7" s="142" t="s">
        <v>0</v>
      </c>
    </row>
    <row r="8" spans="1:22" s="4" customFormat="1" ht="48" thickBot="1" x14ac:dyDescent="0.3">
      <c r="A8" s="40" t="s">
        <v>12</v>
      </c>
      <c r="B8" s="399" t="str">
        <f>'1.Bev-kiad.'!C8</f>
        <v>2024. évi teljesítés</v>
      </c>
      <c r="C8" s="41" t="str">
        <f>'1.Bev-kiad.'!D8</f>
        <v>2025. évi eredeti előirányzat</v>
      </c>
      <c r="D8" s="41" t="str">
        <f>'1.Bev-kiad.'!E8</f>
        <v>Módosított előirányzat 2025.06.havi</v>
      </c>
      <c r="E8" s="392" t="s">
        <v>779</v>
      </c>
      <c r="F8" s="41" t="str">
        <f>'1.Bev-kiad.'!G8</f>
        <v>Módosított előirányzat 2025.09.havi</v>
      </c>
      <c r="G8" s="392" t="s">
        <v>779</v>
      </c>
      <c r="H8" s="41" t="str">
        <f>'1.Bev-kiad.'!I8</f>
        <v>Módosított előirányzat 2025.12.havi</v>
      </c>
      <c r="I8" s="392" t="s">
        <v>779</v>
      </c>
      <c r="J8" s="41" t="str">
        <f>'1.Bev-kiad.'!K8</f>
        <v>Módosított előirányzat 2025.12.31</v>
      </c>
      <c r="K8" s="42" t="str">
        <f>'1.Bev-kiad.'!L8</f>
        <v>Teljesítés 2025.12.31.</v>
      </c>
      <c r="L8" s="258" t="s">
        <v>854</v>
      </c>
      <c r="R8"/>
      <c r="S8"/>
      <c r="T8"/>
      <c r="U8"/>
      <c r="V8"/>
    </row>
    <row r="9" spans="1:22" s="4" customFormat="1" ht="18" customHeight="1" x14ac:dyDescent="0.25">
      <c r="A9" s="207" t="s">
        <v>643</v>
      </c>
      <c r="B9" s="419">
        <f>SUM(B10+B33)</f>
        <v>373137</v>
      </c>
      <c r="C9" s="208">
        <f>SUM(C10+C33)</f>
        <v>425685</v>
      </c>
      <c r="D9" s="208">
        <f>SUM(D10+D33)</f>
        <v>425685</v>
      </c>
      <c r="E9" s="393">
        <f>F9-D9</f>
        <v>810</v>
      </c>
      <c r="F9" s="208">
        <f>SUM(F10+F33)</f>
        <v>426495</v>
      </c>
      <c r="G9" s="393">
        <f>H9-F9</f>
        <v>7091</v>
      </c>
      <c r="H9" s="208">
        <f>SUM(H10+H33)</f>
        <v>433586</v>
      </c>
      <c r="I9" s="393">
        <f>J9-H9</f>
        <v>0</v>
      </c>
      <c r="J9" s="208">
        <f>SUM(J10+J33)</f>
        <v>433586</v>
      </c>
      <c r="K9" s="208">
        <f>SUM(K10+K33)</f>
        <v>433383</v>
      </c>
      <c r="L9" s="259">
        <f>(K9/J9)*100</f>
        <v>99.953181145147667</v>
      </c>
      <c r="M9" s="33"/>
      <c r="N9" s="33"/>
      <c r="O9" s="33"/>
      <c r="P9" s="33"/>
      <c r="Q9" s="33"/>
      <c r="R9"/>
      <c r="S9"/>
      <c r="T9"/>
      <c r="U9"/>
      <c r="V9"/>
    </row>
    <row r="10" spans="1:22" s="4" customFormat="1" ht="14.25" customHeight="1" x14ac:dyDescent="0.25">
      <c r="A10" s="17" t="s">
        <v>3</v>
      </c>
      <c r="B10" s="402">
        <f>SUM(B11+B18)</f>
        <v>373117</v>
      </c>
      <c r="C10" s="5">
        <f>SUM(C11+C18)</f>
        <v>425485</v>
      </c>
      <c r="D10" s="5">
        <f>SUM(D11+D18)</f>
        <v>425485</v>
      </c>
      <c r="E10" s="393">
        <f t="shared" ref="E10:I66" si="0">F10-D10</f>
        <v>810</v>
      </c>
      <c r="F10" s="5">
        <f>SUM(F11+F18)</f>
        <v>426295</v>
      </c>
      <c r="G10" s="393">
        <f t="shared" si="0"/>
        <v>7091</v>
      </c>
      <c r="H10" s="5">
        <f>SUM(H11+H18)</f>
        <v>433386</v>
      </c>
      <c r="I10" s="393">
        <f t="shared" si="0"/>
        <v>0</v>
      </c>
      <c r="J10" s="5">
        <f>SUM(J11+J18)</f>
        <v>433386</v>
      </c>
      <c r="K10" s="5">
        <f>SUM(K11+K18)</f>
        <v>433383</v>
      </c>
      <c r="L10" s="259">
        <f t="shared" ref="L10:L66" si="1">(K10/J10)*100</f>
        <v>99.99930777643948</v>
      </c>
      <c r="M10" s="33"/>
      <c r="N10" s="33"/>
      <c r="O10" s="33"/>
      <c r="P10" s="33"/>
      <c r="Q10" s="33"/>
      <c r="R10"/>
      <c r="S10"/>
      <c r="T10"/>
      <c r="U10"/>
      <c r="V10"/>
    </row>
    <row r="11" spans="1:22" s="4" customFormat="1" ht="14.25" customHeight="1" x14ac:dyDescent="0.25">
      <c r="A11" s="17" t="s">
        <v>319</v>
      </c>
      <c r="B11" s="402">
        <f>SUM(B12:B17)</f>
        <v>354540</v>
      </c>
      <c r="C11" s="5">
        <f>SUM(C12:C17)</f>
        <v>407071</v>
      </c>
      <c r="D11" s="5">
        <f>SUM(D12:D17)</f>
        <v>407071</v>
      </c>
      <c r="E11" s="393">
        <f t="shared" si="0"/>
        <v>810</v>
      </c>
      <c r="F11" s="5">
        <f>SUM(F12:F17)</f>
        <v>407881</v>
      </c>
      <c r="G11" s="393">
        <f t="shared" si="0"/>
        <v>7598</v>
      </c>
      <c r="H11" s="5">
        <f>SUM(H12:H17)</f>
        <v>415479</v>
      </c>
      <c r="I11" s="393">
        <f t="shared" si="0"/>
        <v>0</v>
      </c>
      <c r="J11" s="5">
        <f>SUM(J12:J17)</f>
        <v>415479</v>
      </c>
      <c r="K11" s="5">
        <f>SUM(K12:K17)</f>
        <v>415477</v>
      </c>
      <c r="L11" s="259">
        <f t="shared" si="1"/>
        <v>99.999518627896961</v>
      </c>
      <c r="M11" s="33"/>
      <c r="N11" s="33"/>
      <c r="O11" s="33"/>
      <c r="P11" s="33"/>
      <c r="Q11" s="33"/>
      <c r="R11"/>
      <c r="S11"/>
      <c r="T11"/>
      <c r="U11"/>
      <c r="V11"/>
    </row>
    <row r="12" spans="1:22" s="4" customFormat="1" ht="14.25" customHeight="1" x14ac:dyDescent="0.25">
      <c r="A12" s="15" t="s">
        <v>258</v>
      </c>
      <c r="B12" s="141">
        <v>138150</v>
      </c>
      <c r="C12" s="13">
        <f>SUM('2.működés'!D25)+'2.működés'!D54</f>
        <v>151129</v>
      </c>
      <c r="D12" s="13">
        <f>SUM('2.működés'!E25)</f>
        <v>151129</v>
      </c>
      <c r="E12" s="393">
        <f t="shared" si="0"/>
        <v>810</v>
      </c>
      <c r="F12" s="13">
        <f>SUM('2.működés'!G25)</f>
        <v>151939</v>
      </c>
      <c r="G12" s="393">
        <f t="shared" si="0"/>
        <v>8658</v>
      </c>
      <c r="H12" s="13">
        <f>SUM('2.működés'!I25)</f>
        <v>160597</v>
      </c>
      <c r="I12" s="393">
        <f t="shared" si="0"/>
        <v>0</v>
      </c>
      <c r="J12" s="13">
        <f>SUM('2.működés'!K25)+1</f>
        <v>160597</v>
      </c>
      <c r="K12" s="13">
        <v>160596</v>
      </c>
      <c r="L12" s="259">
        <f t="shared" si="1"/>
        <v>99.999377323362211</v>
      </c>
      <c r="M12" s="33"/>
      <c r="N12" s="33"/>
      <c r="O12" s="33"/>
      <c r="P12" s="33"/>
      <c r="Q12" s="33"/>
      <c r="R12"/>
      <c r="S12"/>
      <c r="T12"/>
      <c r="U12"/>
      <c r="V12"/>
    </row>
    <row r="13" spans="1:22" s="4" customFormat="1" ht="14.25" customHeight="1" x14ac:dyDescent="0.25">
      <c r="A13" s="15" t="s">
        <v>676</v>
      </c>
      <c r="B13" s="141">
        <v>12317</v>
      </c>
      <c r="C13" s="13">
        <f>'2.működés'!D35</f>
        <v>34834</v>
      </c>
      <c r="D13" s="13">
        <f>'2.működés'!E35</f>
        <v>34834</v>
      </c>
      <c r="E13" s="393">
        <f t="shared" si="0"/>
        <v>0</v>
      </c>
      <c r="F13" s="13">
        <f>'2.működés'!G35</f>
        <v>34834</v>
      </c>
      <c r="G13" s="393">
        <f t="shared" si="0"/>
        <v>0</v>
      </c>
      <c r="H13" s="13">
        <f>'2.működés'!I35</f>
        <v>34834</v>
      </c>
      <c r="I13" s="393">
        <f t="shared" si="0"/>
        <v>0</v>
      </c>
      <c r="J13" s="13">
        <f>'2.működés'!K35</f>
        <v>34834</v>
      </c>
      <c r="K13" s="13">
        <v>34834</v>
      </c>
      <c r="L13" s="259">
        <f t="shared" si="1"/>
        <v>100</v>
      </c>
      <c r="M13" s="33"/>
      <c r="N13" s="33"/>
      <c r="O13" s="33"/>
      <c r="P13" s="33"/>
      <c r="Q13" s="33"/>
      <c r="R13"/>
      <c r="S13"/>
      <c r="T13"/>
      <c r="U13"/>
      <c r="V13"/>
    </row>
    <row r="14" spans="1:22" s="4" customFormat="1" ht="14.25" customHeight="1" x14ac:dyDescent="0.25">
      <c r="A14" s="15" t="s">
        <v>361</v>
      </c>
      <c r="B14" s="141">
        <v>66265</v>
      </c>
      <c r="C14" s="13">
        <f>SUM('2.működés'!D38)</f>
        <v>72913</v>
      </c>
      <c r="D14" s="13">
        <f>SUM('2.működés'!E38)</f>
        <v>72913</v>
      </c>
      <c r="E14" s="393">
        <f t="shared" si="0"/>
        <v>0</v>
      </c>
      <c r="F14" s="13">
        <f>SUM('2.működés'!G38)</f>
        <v>72913</v>
      </c>
      <c r="G14" s="393">
        <f t="shared" si="0"/>
        <v>0</v>
      </c>
      <c r="H14" s="13">
        <f>SUM('2.működés'!I38)</f>
        <v>72913</v>
      </c>
      <c r="I14" s="393">
        <f t="shared" si="0"/>
        <v>0</v>
      </c>
      <c r="J14" s="13">
        <f>SUM('2.működés'!K38)</f>
        <v>72913</v>
      </c>
      <c r="K14" s="13">
        <v>72913</v>
      </c>
      <c r="L14" s="259">
        <f t="shared" si="1"/>
        <v>100</v>
      </c>
      <c r="M14" s="33"/>
      <c r="N14" s="33"/>
      <c r="O14" s="33"/>
      <c r="P14" s="33"/>
      <c r="Q14" s="33"/>
      <c r="R14"/>
      <c r="S14"/>
      <c r="T14"/>
      <c r="U14"/>
      <c r="V14"/>
    </row>
    <row r="15" spans="1:22" s="4" customFormat="1" ht="15" customHeight="1" x14ac:dyDescent="0.25">
      <c r="A15" s="15" t="s">
        <v>362</v>
      </c>
      <c r="B15" s="141">
        <v>119478</v>
      </c>
      <c r="C15" s="13">
        <f>SUM('2.működés'!D29+'2.működés'!D32)</f>
        <v>129672</v>
      </c>
      <c r="D15" s="13">
        <f>SUM('2.működés'!E29+'2.működés'!E32)</f>
        <v>129672</v>
      </c>
      <c r="E15" s="393">
        <f t="shared" si="0"/>
        <v>0</v>
      </c>
      <c r="F15" s="13">
        <f>SUM('2.működés'!G29+'2.működés'!G32)</f>
        <v>129672</v>
      </c>
      <c r="G15" s="393">
        <f t="shared" si="0"/>
        <v>843</v>
      </c>
      <c r="H15" s="13">
        <f>SUM('2.működés'!I29+'2.működés'!I32)</f>
        <v>130515</v>
      </c>
      <c r="I15" s="393">
        <f t="shared" si="0"/>
        <v>0</v>
      </c>
      <c r="J15" s="13">
        <f>SUM('2.működés'!K29+'2.működés'!K32)</f>
        <v>130515</v>
      </c>
      <c r="K15" s="13">
        <v>130515</v>
      </c>
      <c r="L15" s="259">
        <f t="shared" si="1"/>
        <v>100</v>
      </c>
      <c r="M15" s="33"/>
      <c r="N15" s="33"/>
      <c r="O15" s="33"/>
      <c r="P15" s="33"/>
      <c r="Q15" s="33"/>
      <c r="R15"/>
      <c r="S15"/>
      <c r="T15"/>
      <c r="U15"/>
      <c r="V15"/>
    </row>
    <row r="16" spans="1:22" s="4" customFormat="1" ht="15" customHeight="1" x14ac:dyDescent="0.25">
      <c r="A16" s="15" t="s">
        <v>559</v>
      </c>
      <c r="B16" s="141">
        <v>16934</v>
      </c>
      <c r="C16" s="13">
        <f>'2.működés'!D57</f>
        <v>18305</v>
      </c>
      <c r="D16" s="13">
        <f>'2.működés'!E36</f>
        <v>18305</v>
      </c>
      <c r="E16" s="393">
        <f t="shared" si="0"/>
        <v>0</v>
      </c>
      <c r="F16" s="13">
        <f>'2.működés'!G36</f>
        <v>18305</v>
      </c>
      <c r="G16" s="393">
        <f t="shared" si="0"/>
        <v>-1903</v>
      </c>
      <c r="H16" s="13">
        <f>'2.működés'!I36</f>
        <v>16402</v>
      </c>
      <c r="I16" s="393">
        <f t="shared" si="0"/>
        <v>0</v>
      </c>
      <c r="J16" s="13">
        <f>'2.működés'!K36</f>
        <v>16402</v>
      </c>
      <c r="K16" s="13">
        <v>16402</v>
      </c>
      <c r="L16" s="259">
        <f t="shared" si="1"/>
        <v>100</v>
      </c>
      <c r="M16" s="33"/>
      <c r="N16" s="33"/>
      <c r="O16" s="33"/>
      <c r="P16" s="33"/>
      <c r="Q16" s="33"/>
      <c r="R16"/>
      <c r="S16"/>
      <c r="T16"/>
      <c r="U16"/>
      <c r="V16"/>
    </row>
    <row r="17" spans="1:22" s="4" customFormat="1" ht="15" customHeight="1" x14ac:dyDescent="0.25">
      <c r="A17" s="15" t="s">
        <v>731</v>
      </c>
      <c r="B17" s="141">
        <v>1396</v>
      </c>
      <c r="C17" s="13">
        <v>218</v>
      </c>
      <c r="D17" s="13">
        <v>218</v>
      </c>
      <c r="E17" s="393">
        <f t="shared" si="0"/>
        <v>0</v>
      </c>
      <c r="F17" s="13">
        <v>218</v>
      </c>
      <c r="G17" s="393">
        <f t="shared" si="0"/>
        <v>0</v>
      </c>
      <c r="H17" s="13">
        <v>218</v>
      </c>
      <c r="I17" s="393">
        <f t="shared" si="0"/>
        <v>0</v>
      </c>
      <c r="J17" s="13">
        <v>218</v>
      </c>
      <c r="K17" s="13">
        <v>217</v>
      </c>
      <c r="L17" s="259">
        <f t="shared" si="1"/>
        <v>99.541284403669721</v>
      </c>
      <c r="M17" s="33"/>
      <c r="N17" s="33"/>
      <c r="O17" s="33"/>
      <c r="P17" s="33"/>
      <c r="Q17" s="33"/>
      <c r="R17"/>
      <c r="S17"/>
      <c r="T17"/>
      <c r="U17"/>
      <c r="V17"/>
    </row>
    <row r="18" spans="1:22" s="4" customFormat="1" ht="28.5" customHeight="1" x14ac:dyDescent="0.25">
      <c r="A18" s="183" t="s">
        <v>330</v>
      </c>
      <c r="B18" s="402">
        <f t="shared" ref="B18:D18" si="2">SUM(B19+B30+B31+B32)</f>
        <v>18577</v>
      </c>
      <c r="C18" s="5">
        <f t="shared" si="2"/>
        <v>18414</v>
      </c>
      <c r="D18" s="5">
        <f t="shared" si="2"/>
        <v>18414</v>
      </c>
      <c r="E18" s="393">
        <f t="shared" si="0"/>
        <v>0</v>
      </c>
      <c r="F18" s="5">
        <f t="shared" ref="F18" si="3">SUM(F19+F30+F31+F32)</f>
        <v>18414</v>
      </c>
      <c r="G18" s="393">
        <f t="shared" si="0"/>
        <v>-507</v>
      </c>
      <c r="H18" s="5">
        <f t="shared" ref="H18" si="4">SUM(H19+H30+H31+H32)</f>
        <v>17907</v>
      </c>
      <c r="I18" s="393">
        <f t="shared" si="0"/>
        <v>0</v>
      </c>
      <c r="J18" s="5">
        <f t="shared" ref="J18:K18" si="5">SUM(J19+J30+J31+J32)</f>
        <v>17907</v>
      </c>
      <c r="K18" s="5">
        <f t="shared" si="5"/>
        <v>17906</v>
      </c>
      <c r="L18" s="259">
        <f t="shared" si="1"/>
        <v>99.994415591668059</v>
      </c>
      <c r="M18" s="33"/>
      <c r="N18" s="33"/>
      <c r="O18" s="33"/>
      <c r="P18" s="33"/>
      <c r="Q18" s="33"/>
      <c r="R18"/>
      <c r="S18"/>
      <c r="T18"/>
      <c r="U18"/>
      <c r="V18"/>
    </row>
    <row r="19" spans="1:22" s="4" customFormat="1" ht="14.25" customHeight="1" x14ac:dyDescent="0.25">
      <c r="A19" s="15" t="s">
        <v>697</v>
      </c>
      <c r="B19" s="701">
        <v>17843</v>
      </c>
      <c r="C19" s="698">
        <v>17813</v>
      </c>
      <c r="D19" s="698">
        <v>17813</v>
      </c>
      <c r="E19" s="704">
        <f t="shared" si="0"/>
        <v>0</v>
      </c>
      <c r="F19" s="698">
        <f>17813</f>
        <v>17813</v>
      </c>
      <c r="G19" s="704">
        <f t="shared" si="0"/>
        <v>-507</v>
      </c>
      <c r="H19" s="698">
        <f>17813-507</f>
        <v>17306</v>
      </c>
      <c r="I19" s="704">
        <f t="shared" si="0"/>
        <v>0</v>
      </c>
      <c r="J19" s="698">
        <f>17813-507</f>
        <v>17306</v>
      </c>
      <c r="K19" s="698">
        <v>17306</v>
      </c>
      <c r="L19" s="259">
        <f t="shared" si="1"/>
        <v>100</v>
      </c>
      <c r="M19" s="33"/>
      <c r="N19" s="33"/>
      <c r="O19" s="33"/>
      <c r="P19" s="33"/>
      <c r="Q19" s="33"/>
      <c r="R19"/>
      <c r="S19"/>
      <c r="T19"/>
      <c r="U19"/>
      <c r="V19"/>
    </row>
    <row r="20" spans="1:22" s="4" customFormat="1" ht="14.25" customHeight="1" x14ac:dyDescent="0.25">
      <c r="A20" s="15" t="s">
        <v>13</v>
      </c>
      <c r="B20" s="702"/>
      <c r="C20" s="699"/>
      <c r="D20" s="699"/>
      <c r="E20" s="705">
        <f t="shared" si="0"/>
        <v>0</v>
      </c>
      <c r="F20" s="699"/>
      <c r="G20" s="705">
        <f t="shared" si="0"/>
        <v>0</v>
      </c>
      <c r="H20" s="699"/>
      <c r="I20" s="705">
        <f t="shared" si="0"/>
        <v>0</v>
      </c>
      <c r="J20" s="699"/>
      <c r="K20" s="699"/>
      <c r="L20" s="259"/>
      <c r="M20" s="33"/>
      <c r="N20" s="33"/>
      <c r="O20" s="33"/>
      <c r="P20" s="33"/>
      <c r="Q20" s="33"/>
      <c r="R20"/>
      <c r="S20"/>
      <c r="T20"/>
      <c r="U20"/>
      <c r="V20"/>
    </row>
    <row r="21" spans="1:22" s="4" customFormat="1" ht="14.25" hidden="1" customHeight="1" x14ac:dyDescent="0.25">
      <c r="A21" s="20" t="s">
        <v>14</v>
      </c>
      <c r="B21" s="702"/>
      <c r="C21" s="699"/>
      <c r="D21" s="699"/>
      <c r="E21" s="705">
        <f t="shared" si="0"/>
        <v>0</v>
      </c>
      <c r="F21" s="699"/>
      <c r="G21" s="705">
        <f t="shared" si="0"/>
        <v>0</v>
      </c>
      <c r="H21" s="699"/>
      <c r="I21" s="705">
        <f t="shared" si="0"/>
        <v>0</v>
      </c>
      <c r="J21" s="699"/>
      <c r="K21" s="699"/>
      <c r="L21" s="259"/>
      <c r="M21" s="33"/>
      <c r="N21" s="33"/>
      <c r="O21" s="33"/>
      <c r="P21" s="33"/>
      <c r="Q21" s="33"/>
      <c r="R21"/>
      <c r="S21"/>
      <c r="T21"/>
      <c r="U21"/>
      <c r="V21"/>
    </row>
    <row r="22" spans="1:22" s="4" customFormat="1" ht="14.25" hidden="1" customHeight="1" x14ac:dyDescent="0.25">
      <c r="A22" s="346" t="s">
        <v>15</v>
      </c>
      <c r="B22" s="702"/>
      <c r="C22" s="699"/>
      <c r="D22" s="699"/>
      <c r="E22" s="705">
        <f t="shared" si="0"/>
        <v>0</v>
      </c>
      <c r="F22" s="699"/>
      <c r="G22" s="705">
        <f t="shared" si="0"/>
        <v>0</v>
      </c>
      <c r="H22" s="699"/>
      <c r="I22" s="705">
        <f t="shared" si="0"/>
        <v>0</v>
      </c>
      <c r="J22" s="699"/>
      <c r="K22" s="699"/>
      <c r="L22" s="259"/>
      <c r="M22" s="33"/>
      <c r="N22" s="33"/>
      <c r="O22" s="33"/>
      <c r="P22" s="33"/>
      <c r="Q22" s="33"/>
      <c r="R22"/>
      <c r="S22"/>
      <c r="T22"/>
      <c r="U22"/>
      <c r="V22"/>
    </row>
    <row r="23" spans="1:22" s="4" customFormat="1" ht="14.25" customHeight="1" x14ac:dyDescent="0.25">
      <c r="A23" s="15" t="s">
        <v>367</v>
      </c>
      <c r="B23" s="702"/>
      <c r="C23" s="699"/>
      <c r="D23" s="699"/>
      <c r="E23" s="705">
        <f t="shared" si="0"/>
        <v>0</v>
      </c>
      <c r="F23" s="699"/>
      <c r="G23" s="705">
        <f t="shared" si="0"/>
        <v>0</v>
      </c>
      <c r="H23" s="699"/>
      <c r="I23" s="705">
        <f t="shared" si="0"/>
        <v>0</v>
      </c>
      <c r="J23" s="699"/>
      <c r="K23" s="699"/>
      <c r="L23" s="259"/>
      <c r="M23" s="33"/>
      <c r="N23" s="33"/>
      <c r="O23" s="33"/>
      <c r="P23" s="33"/>
      <c r="Q23" s="33"/>
      <c r="R23"/>
      <c r="S23"/>
      <c r="T23"/>
      <c r="U23"/>
      <c r="V23"/>
    </row>
    <row r="24" spans="1:22" s="4" customFormat="1" ht="14.25" customHeight="1" x14ac:dyDescent="0.25">
      <c r="A24" s="15" t="s">
        <v>16</v>
      </c>
      <c r="B24" s="702"/>
      <c r="C24" s="699"/>
      <c r="D24" s="699"/>
      <c r="E24" s="705">
        <f t="shared" si="0"/>
        <v>0</v>
      </c>
      <c r="F24" s="699"/>
      <c r="G24" s="705">
        <f t="shared" si="0"/>
        <v>0</v>
      </c>
      <c r="H24" s="699"/>
      <c r="I24" s="705">
        <f t="shared" si="0"/>
        <v>0</v>
      </c>
      <c r="J24" s="699"/>
      <c r="K24" s="699"/>
      <c r="L24" s="259"/>
      <c r="M24" s="33"/>
      <c r="N24" s="33"/>
      <c r="O24" s="33"/>
      <c r="P24" s="33"/>
      <c r="Q24" s="33"/>
      <c r="R24"/>
      <c r="S24"/>
      <c r="T24"/>
      <c r="U24"/>
      <c r="V24"/>
    </row>
    <row r="25" spans="1:22" s="4" customFormat="1" ht="18" hidden="1" customHeight="1" x14ac:dyDescent="0.25">
      <c r="A25" s="15" t="s">
        <v>17</v>
      </c>
      <c r="B25" s="702"/>
      <c r="C25" s="699"/>
      <c r="D25" s="699"/>
      <c r="E25" s="705">
        <f t="shared" si="0"/>
        <v>0</v>
      </c>
      <c r="F25" s="699"/>
      <c r="G25" s="705">
        <f t="shared" si="0"/>
        <v>0</v>
      </c>
      <c r="H25" s="699"/>
      <c r="I25" s="705">
        <f t="shared" si="0"/>
        <v>0</v>
      </c>
      <c r="J25" s="699"/>
      <c r="K25" s="699"/>
      <c r="L25" s="259"/>
      <c r="M25" s="33"/>
      <c r="N25" s="33"/>
      <c r="O25" s="33"/>
      <c r="P25" s="33"/>
      <c r="Q25" s="33"/>
      <c r="R25"/>
      <c r="S25"/>
      <c r="T25"/>
      <c r="U25"/>
      <c r="V25"/>
    </row>
    <row r="26" spans="1:22" s="4" customFormat="1" ht="14.25" customHeight="1" x14ac:dyDescent="0.25">
      <c r="A26" s="11" t="s">
        <v>18</v>
      </c>
      <c r="B26" s="702"/>
      <c r="C26" s="699"/>
      <c r="D26" s="699"/>
      <c r="E26" s="705">
        <f t="shared" si="0"/>
        <v>0</v>
      </c>
      <c r="F26" s="699"/>
      <c r="G26" s="705">
        <f t="shared" si="0"/>
        <v>0</v>
      </c>
      <c r="H26" s="699"/>
      <c r="I26" s="705">
        <f t="shared" si="0"/>
        <v>0</v>
      </c>
      <c r="J26" s="699"/>
      <c r="K26" s="699"/>
      <c r="L26" s="259"/>
      <c r="M26" s="33"/>
      <c r="N26" s="33"/>
      <c r="O26" s="33"/>
      <c r="P26" s="33"/>
      <c r="Q26" s="33"/>
      <c r="R26"/>
      <c r="S26"/>
      <c r="T26"/>
      <c r="U26"/>
      <c r="V26"/>
    </row>
    <row r="27" spans="1:22" s="4" customFormat="1" ht="14.25" customHeight="1" x14ac:dyDescent="0.25">
      <c r="A27" s="15" t="s">
        <v>19</v>
      </c>
      <c r="B27" s="702"/>
      <c r="C27" s="699"/>
      <c r="D27" s="699"/>
      <c r="E27" s="705">
        <f t="shared" si="0"/>
        <v>0</v>
      </c>
      <c r="F27" s="699"/>
      <c r="G27" s="705">
        <f t="shared" si="0"/>
        <v>0</v>
      </c>
      <c r="H27" s="699"/>
      <c r="I27" s="705">
        <f t="shared" si="0"/>
        <v>0</v>
      </c>
      <c r="J27" s="699"/>
      <c r="K27" s="699"/>
      <c r="L27" s="259"/>
      <c r="M27" s="33"/>
      <c r="N27" s="33"/>
      <c r="O27" s="33"/>
      <c r="P27" s="33"/>
      <c r="Q27" s="33"/>
      <c r="R27"/>
      <c r="S27"/>
      <c r="T27"/>
      <c r="U27"/>
      <c r="V27"/>
    </row>
    <row r="28" spans="1:22" s="4" customFormat="1" ht="14.25" customHeight="1" x14ac:dyDescent="0.25">
      <c r="A28" s="15" t="s">
        <v>20</v>
      </c>
      <c r="B28" s="703"/>
      <c r="C28" s="700"/>
      <c r="D28" s="700"/>
      <c r="E28" s="706">
        <f t="shared" si="0"/>
        <v>0</v>
      </c>
      <c r="F28" s="700"/>
      <c r="G28" s="706">
        <f t="shared" si="0"/>
        <v>0</v>
      </c>
      <c r="H28" s="700"/>
      <c r="I28" s="706">
        <f t="shared" si="0"/>
        <v>0</v>
      </c>
      <c r="J28" s="700"/>
      <c r="K28" s="700"/>
      <c r="L28" s="259"/>
      <c r="M28" s="33"/>
      <c r="N28" s="33"/>
      <c r="O28" s="33"/>
      <c r="P28" s="33"/>
      <c r="Q28" s="33"/>
      <c r="R28"/>
      <c r="S28"/>
      <c r="T28"/>
      <c r="U28"/>
      <c r="V28"/>
    </row>
    <row r="29" spans="1:22" s="4" customFormat="1" ht="14.25" hidden="1" customHeight="1" x14ac:dyDescent="0.25">
      <c r="A29" s="15" t="s">
        <v>554</v>
      </c>
      <c r="B29" s="444"/>
      <c r="C29" s="357">
        <v>0</v>
      </c>
      <c r="D29" s="357">
        <v>0</v>
      </c>
      <c r="E29" s="393">
        <f t="shared" si="0"/>
        <v>0</v>
      </c>
      <c r="F29" s="357">
        <v>0</v>
      </c>
      <c r="G29" s="393">
        <f t="shared" si="0"/>
        <v>0</v>
      </c>
      <c r="H29" s="357">
        <v>0</v>
      </c>
      <c r="I29" s="393">
        <f t="shared" si="0"/>
        <v>0</v>
      </c>
      <c r="J29" s="357">
        <v>0</v>
      </c>
      <c r="K29" s="357">
        <v>0</v>
      </c>
      <c r="L29" s="259" t="e">
        <f t="shared" si="1"/>
        <v>#DIV/0!</v>
      </c>
      <c r="M29" s="33"/>
      <c r="N29" s="33"/>
      <c r="O29" s="33"/>
      <c r="P29" s="33"/>
      <c r="Q29" s="33"/>
      <c r="R29"/>
      <c r="S29"/>
      <c r="T29"/>
      <c r="U29"/>
      <c r="V29"/>
    </row>
    <row r="30" spans="1:22" s="4" customFormat="1" ht="18" hidden="1" customHeight="1" x14ac:dyDescent="0.25">
      <c r="A30" s="15" t="s">
        <v>329</v>
      </c>
      <c r="B30" s="443"/>
      <c r="C30" s="358">
        <v>0</v>
      </c>
      <c r="D30" s="358">
        <v>0</v>
      </c>
      <c r="E30" s="393">
        <f t="shared" si="0"/>
        <v>0</v>
      </c>
      <c r="F30" s="358">
        <v>0</v>
      </c>
      <c r="G30" s="393">
        <f t="shared" si="0"/>
        <v>0</v>
      </c>
      <c r="H30" s="358">
        <v>0</v>
      </c>
      <c r="I30" s="393">
        <f t="shared" si="0"/>
        <v>0</v>
      </c>
      <c r="J30" s="358">
        <v>0</v>
      </c>
      <c r="K30" s="358">
        <v>0</v>
      </c>
      <c r="L30" s="259" t="e">
        <f t="shared" si="1"/>
        <v>#DIV/0!</v>
      </c>
      <c r="M30" s="33"/>
      <c r="N30" s="33"/>
      <c r="O30" s="33"/>
      <c r="P30" s="33"/>
      <c r="Q30" s="33"/>
      <c r="R30"/>
      <c r="S30"/>
      <c r="T30"/>
      <c r="U30"/>
      <c r="V30"/>
    </row>
    <row r="31" spans="1:22" s="4" customFormat="1" ht="25.5" x14ac:dyDescent="0.25">
      <c r="A31" s="362" t="s">
        <v>696</v>
      </c>
      <c r="B31" s="453">
        <v>734</v>
      </c>
      <c r="C31" s="132">
        <v>601</v>
      </c>
      <c r="D31" s="132">
        <v>601</v>
      </c>
      <c r="E31" s="393">
        <f t="shared" si="0"/>
        <v>0</v>
      </c>
      <c r="F31" s="132">
        <v>601</v>
      </c>
      <c r="G31" s="393">
        <f t="shared" si="0"/>
        <v>0</v>
      </c>
      <c r="H31" s="132">
        <v>601</v>
      </c>
      <c r="I31" s="393">
        <f t="shared" si="0"/>
        <v>0</v>
      </c>
      <c r="J31" s="132">
        <v>601</v>
      </c>
      <c r="K31" s="132">
        <v>600</v>
      </c>
      <c r="L31" s="259">
        <f t="shared" si="1"/>
        <v>99.833610648918466</v>
      </c>
      <c r="M31" s="33"/>
      <c r="N31" s="33"/>
      <c r="O31" s="33"/>
      <c r="P31" s="33"/>
      <c r="Q31" s="33"/>
      <c r="R31"/>
      <c r="S31"/>
      <c r="T31"/>
      <c r="U31"/>
      <c r="V31"/>
    </row>
    <row r="32" spans="1:22" s="4" customFormat="1" ht="14.25" hidden="1" customHeight="1" x14ac:dyDescent="0.25">
      <c r="A32" s="8"/>
      <c r="B32" s="188"/>
      <c r="C32" s="13"/>
      <c r="D32" s="13"/>
      <c r="E32" s="393">
        <f t="shared" si="0"/>
        <v>0</v>
      </c>
      <c r="F32" s="13"/>
      <c r="G32" s="393">
        <f t="shared" si="0"/>
        <v>0</v>
      </c>
      <c r="H32" s="13"/>
      <c r="I32" s="393">
        <f t="shared" si="0"/>
        <v>0</v>
      </c>
      <c r="J32" s="13"/>
      <c r="K32" s="13"/>
      <c r="L32" s="259" t="e">
        <f t="shared" si="1"/>
        <v>#DIV/0!</v>
      </c>
      <c r="M32" s="33"/>
      <c r="N32" s="33"/>
      <c r="O32" s="33"/>
      <c r="P32" s="33"/>
      <c r="Q32" s="33"/>
      <c r="R32"/>
      <c r="S32"/>
      <c r="T32"/>
      <c r="U32"/>
      <c r="V32"/>
    </row>
    <row r="33" spans="1:22" s="4" customFormat="1" ht="14.25" customHeight="1" x14ac:dyDescent="0.25">
      <c r="A33" s="17" t="s">
        <v>443</v>
      </c>
      <c r="B33" s="445">
        <f t="shared" ref="B33:K33" si="6">B34</f>
        <v>20</v>
      </c>
      <c r="C33" s="133">
        <f t="shared" si="6"/>
        <v>200</v>
      </c>
      <c r="D33" s="133">
        <f t="shared" si="6"/>
        <v>200</v>
      </c>
      <c r="E33" s="393">
        <f t="shared" si="0"/>
        <v>0</v>
      </c>
      <c r="F33" s="133">
        <f t="shared" si="6"/>
        <v>200</v>
      </c>
      <c r="G33" s="393">
        <f t="shared" si="0"/>
        <v>0</v>
      </c>
      <c r="H33" s="133">
        <f t="shared" si="6"/>
        <v>200</v>
      </c>
      <c r="I33" s="393">
        <f t="shared" si="0"/>
        <v>0</v>
      </c>
      <c r="J33" s="133">
        <f t="shared" si="6"/>
        <v>200</v>
      </c>
      <c r="K33" s="133">
        <f t="shared" si="6"/>
        <v>0</v>
      </c>
      <c r="L33" s="259">
        <f t="shared" si="1"/>
        <v>0</v>
      </c>
      <c r="M33" s="33"/>
      <c r="N33" s="33"/>
      <c r="O33" s="33"/>
      <c r="P33" s="33"/>
      <c r="Q33" s="33"/>
      <c r="R33"/>
      <c r="S33"/>
      <c r="T33"/>
      <c r="U33"/>
      <c r="V33"/>
    </row>
    <row r="34" spans="1:22" s="4" customFormat="1" ht="14.25" customHeight="1" thickBot="1" x14ac:dyDescent="0.3">
      <c r="A34" s="8" t="s">
        <v>544</v>
      </c>
      <c r="B34" s="188">
        <v>20</v>
      </c>
      <c r="C34" s="13">
        <v>200</v>
      </c>
      <c r="D34" s="13">
        <v>200</v>
      </c>
      <c r="E34" s="393">
        <f t="shared" si="0"/>
        <v>0</v>
      </c>
      <c r="F34" s="13">
        <v>200</v>
      </c>
      <c r="G34" s="393">
        <f t="shared" si="0"/>
        <v>0</v>
      </c>
      <c r="H34" s="13">
        <v>200</v>
      </c>
      <c r="I34" s="393">
        <f t="shared" si="0"/>
        <v>0</v>
      </c>
      <c r="J34" s="13">
        <v>200</v>
      </c>
      <c r="K34" s="13">
        <v>0</v>
      </c>
      <c r="L34" s="259">
        <f t="shared" si="1"/>
        <v>0</v>
      </c>
      <c r="M34" s="33"/>
      <c r="N34" s="33"/>
      <c r="O34" s="33"/>
      <c r="P34" s="33"/>
      <c r="Q34" s="33"/>
      <c r="R34"/>
      <c r="S34"/>
      <c r="T34"/>
      <c r="U34"/>
      <c r="V34"/>
    </row>
    <row r="35" spans="1:22" s="4" customFormat="1" ht="32.25" thickBot="1" x14ac:dyDescent="0.3">
      <c r="A35" s="459" t="s">
        <v>642</v>
      </c>
      <c r="B35" s="460">
        <v>0</v>
      </c>
      <c r="C35" s="461">
        <v>0</v>
      </c>
      <c r="D35" s="461">
        <v>0</v>
      </c>
      <c r="E35" s="461">
        <f t="shared" si="0"/>
        <v>0</v>
      </c>
      <c r="F35" s="461">
        <v>0</v>
      </c>
      <c r="G35" s="461">
        <f t="shared" si="0"/>
        <v>0</v>
      </c>
      <c r="H35" s="461">
        <v>0</v>
      </c>
      <c r="I35" s="461">
        <f t="shared" si="0"/>
        <v>0</v>
      </c>
      <c r="J35" s="461">
        <v>0</v>
      </c>
      <c r="K35" s="461">
        <v>0</v>
      </c>
      <c r="L35" s="259"/>
      <c r="M35" s="33"/>
      <c r="N35" s="33"/>
      <c r="O35" s="33"/>
      <c r="P35" s="33"/>
      <c r="Q35" s="33"/>
      <c r="R35"/>
      <c r="S35"/>
      <c r="T35"/>
      <c r="U35"/>
      <c r="V35"/>
    </row>
    <row r="36" spans="1:22" s="4" customFormat="1" ht="18.75" customHeight="1" thickBot="1" x14ac:dyDescent="0.3">
      <c r="A36" s="365" t="s">
        <v>644</v>
      </c>
      <c r="B36" s="446">
        <f>SUM(B37+B53+B55)</f>
        <v>240871</v>
      </c>
      <c r="C36" s="366">
        <f>SUM(C37+C53+C55)</f>
        <v>255159</v>
      </c>
      <c r="D36" s="366">
        <f>SUM(D37+D53+D55)</f>
        <v>252659</v>
      </c>
      <c r="E36" s="366">
        <f t="shared" si="0"/>
        <v>3687</v>
      </c>
      <c r="F36" s="366">
        <f>SUM(F37+F53+F55)</f>
        <v>256346</v>
      </c>
      <c r="G36" s="366">
        <f t="shared" si="0"/>
        <v>0</v>
      </c>
      <c r="H36" s="366">
        <f>SUM(H37+H53+H55)</f>
        <v>256346</v>
      </c>
      <c r="I36" s="366">
        <f t="shared" si="0"/>
        <v>0</v>
      </c>
      <c r="J36" s="366">
        <f>SUM(J37+J53+J55)</f>
        <v>256346</v>
      </c>
      <c r="K36" s="366">
        <f>SUM(K37+K53+K55)</f>
        <v>256050</v>
      </c>
      <c r="L36" s="259">
        <f t="shared" si="1"/>
        <v>99.884531063484502</v>
      </c>
      <c r="M36" s="33"/>
      <c r="N36" s="33"/>
      <c r="O36" s="33"/>
      <c r="P36" s="33"/>
      <c r="Q36" s="33"/>
      <c r="R36"/>
      <c r="S36"/>
      <c r="T36"/>
      <c r="U36"/>
      <c r="V36"/>
    </row>
    <row r="37" spans="1:22" s="4" customFormat="1" ht="14.25" customHeight="1" x14ac:dyDescent="0.25">
      <c r="A37" s="16" t="s">
        <v>4</v>
      </c>
      <c r="B37" s="447">
        <f>SUM(B39+B38+B47+B49+B50)+B52+B48+B46</f>
        <v>201322</v>
      </c>
      <c r="C37" s="37">
        <f>SUM(C39+C38+C47+C49+C51)+C52+C48+C46</f>
        <v>208646</v>
      </c>
      <c r="D37" s="37">
        <f>SUM(D39+D38+D47+D49+D51)+D52+D48+D46</f>
        <v>208646</v>
      </c>
      <c r="E37" s="393">
        <f t="shared" si="0"/>
        <v>687</v>
      </c>
      <c r="F37" s="37">
        <f>SUM(F39+F38+F47+F49+F51)+F52+F48+F46</f>
        <v>209333</v>
      </c>
      <c r="G37" s="393">
        <f t="shared" si="0"/>
        <v>0</v>
      </c>
      <c r="H37" s="37">
        <f>SUM(H39+H38+H47+H49+H51)+H52+H48+H46</f>
        <v>209333</v>
      </c>
      <c r="I37" s="393">
        <f t="shared" si="0"/>
        <v>0</v>
      </c>
      <c r="J37" s="37">
        <f>SUM(J39+J38+J47+J49+J51)+J52+J48+J46</f>
        <v>209333</v>
      </c>
      <c r="K37" s="37">
        <f>SUM(K39+K38+K47+K49+K51)+K52+K48+K46</f>
        <v>209122</v>
      </c>
      <c r="L37" s="259">
        <f t="shared" si="1"/>
        <v>99.899203661152328</v>
      </c>
      <c r="M37" s="33"/>
      <c r="N37" s="33"/>
      <c r="O37" s="33"/>
      <c r="P37" s="33"/>
      <c r="Q37" s="33"/>
      <c r="R37"/>
      <c r="S37"/>
      <c r="T37"/>
      <c r="U37"/>
      <c r="V37"/>
    </row>
    <row r="38" spans="1:22" s="4" customFormat="1" ht="14.25" customHeight="1" x14ac:dyDescent="0.25">
      <c r="A38" s="20" t="s">
        <v>467</v>
      </c>
      <c r="B38" s="454">
        <v>83350</v>
      </c>
      <c r="C38" s="13">
        <v>80000</v>
      </c>
      <c r="D38" s="13">
        <v>80000</v>
      </c>
      <c r="E38" s="393">
        <f t="shared" si="0"/>
        <v>0</v>
      </c>
      <c r="F38" s="13">
        <v>80000</v>
      </c>
      <c r="G38" s="393">
        <f t="shared" si="0"/>
        <v>0</v>
      </c>
      <c r="H38" s="13">
        <v>80000</v>
      </c>
      <c r="I38" s="393">
        <f t="shared" si="0"/>
        <v>0</v>
      </c>
      <c r="J38" s="13">
        <v>80000</v>
      </c>
      <c r="K38" s="13">
        <v>80000</v>
      </c>
      <c r="L38" s="259">
        <f t="shared" si="1"/>
        <v>100</v>
      </c>
      <c r="M38" s="33"/>
      <c r="N38" s="33"/>
      <c r="O38" s="33"/>
      <c r="P38" s="33"/>
      <c r="Q38" s="33"/>
      <c r="R38"/>
      <c r="S38"/>
      <c r="T38"/>
      <c r="U38"/>
      <c r="V38"/>
    </row>
    <row r="39" spans="1:22" s="4" customFormat="1" ht="14.25" customHeight="1" x14ac:dyDescent="0.25">
      <c r="A39" s="20" t="s">
        <v>466</v>
      </c>
      <c r="B39" s="141">
        <f>SUM(+B43)+3512</f>
        <v>20658</v>
      </c>
      <c r="C39" s="13">
        <f>SUM(+C43)</f>
        <v>17146</v>
      </c>
      <c r="D39" s="13">
        <f>SUM(+D43)</f>
        <v>17146</v>
      </c>
      <c r="E39" s="393">
        <f t="shared" si="0"/>
        <v>0</v>
      </c>
      <c r="F39" s="13">
        <f>SUM(+F43)</f>
        <v>17146</v>
      </c>
      <c r="G39" s="393">
        <f t="shared" si="0"/>
        <v>0</v>
      </c>
      <c r="H39" s="13">
        <f>SUM(+H43)</f>
        <v>17146</v>
      </c>
      <c r="I39" s="393">
        <f t="shared" si="0"/>
        <v>0</v>
      </c>
      <c r="J39" s="13">
        <f>SUM(+J43)</f>
        <v>17146</v>
      </c>
      <c r="K39" s="13">
        <f>SUM(+K43)</f>
        <v>17146</v>
      </c>
      <c r="L39" s="259">
        <f t="shared" si="1"/>
        <v>100</v>
      </c>
      <c r="M39" s="33"/>
      <c r="N39" s="33"/>
      <c r="O39" s="33"/>
      <c r="P39" s="33"/>
      <c r="Q39" s="33"/>
      <c r="R39"/>
      <c r="S39"/>
      <c r="T39"/>
      <c r="U39"/>
      <c r="V39"/>
    </row>
    <row r="40" spans="1:22" s="4" customFormat="1" ht="14.25" hidden="1" customHeight="1" x14ac:dyDescent="0.25">
      <c r="A40" s="20" t="s">
        <v>368</v>
      </c>
      <c r="B40" s="454"/>
      <c r="C40" s="13">
        <v>0</v>
      </c>
      <c r="D40" s="13">
        <v>0</v>
      </c>
      <c r="E40" s="393">
        <f t="shared" si="0"/>
        <v>0</v>
      </c>
      <c r="F40" s="13">
        <v>0</v>
      </c>
      <c r="G40" s="393">
        <f t="shared" si="0"/>
        <v>0</v>
      </c>
      <c r="H40" s="13">
        <v>0</v>
      </c>
      <c r="I40" s="393">
        <f t="shared" si="0"/>
        <v>0</v>
      </c>
      <c r="J40" s="13">
        <v>0</v>
      </c>
      <c r="K40" s="13">
        <v>0</v>
      </c>
      <c r="L40" s="259" t="e">
        <f t="shared" si="1"/>
        <v>#DIV/0!</v>
      </c>
      <c r="M40" s="33"/>
      <c r="N40" s="33"/>
      <c r="O40" s="33"/>
      <c r="P40" s="33"/>
      <c r="Q40" s="33"/>
      <c r="R40"/>
      <c r="S40"/>
      <c r="T40"/>
      <c r="U40"/>
      <c r="V40"/>
    </row>
    <row r="41" spans="1:22" s="4" customFormat="1" ht="14.25" hidden="1" customHeight="1" x14ac:dyDescent="0.25">
      <c r="A41" s="356" t="s">
        <v>590</v>
      </c>
      <c r="B41" s="455"/>
      <c r="C41" s="221">
        <v>0</v>
      </c>
      <c r="D41" s="221">
        <v>0</v>
      </c>
      <c r="E41" s="393">
        <f t="shared" si="0"/>
        <v>0</v>
      </c>
      <c r="F41" s="221">
        <v>0</v>
      </c>
      <c r="G41" s="393">
        <f t="shared" si="0"/>
        <v>0</v>
      </c>
      <c r="H41" s="221">
        <v>0</v>
      </c>
      <c r="I41" s="393">
        <f t="shared" si="0"/>
        <v>0</v>
      </c>
      <c r="J41" s="221">
        <v>0</v>
      </c>
      <c r="K41" s="221">
        <v>0</v>
      </c>
      <c r="L41" s="259" t="e">
        <f t="shared" si="1"/>
        <v>#DIV/0!</v>
      </c>
      <c r="M41" s="33"/>
      <c r="N41" s="33"/>
      <c r="O41" s="33"/>
      <c r="P41" s="33"/>
      <c r="Q41" s="33"/>
      <c r="R41"/>
      <c r="S41"/>
      <c r="T41"/>
      <c r="U41"/>
      <c r="V41"/>
    </row>
    <row r="42" spans="1:22" s="4" customFormat="1" ht="14.25" hidden="1" customHeight="1" x14ac:dyDescent="0.25">
      <c r="A42" s="356" t="s">
        <v>369</v>
      </c>
      <c r="B42" s="455"/>
      <c r="C42" s="221"/>
      <c r="D42" s="221"/>
      <c r="E42" s="393">
        <f t="shared" si="0"/>
        <v>0</v>
      </c>
      <c r="F42" s="221"/>
      <c r="G42" s="393">
        <f t="shared" si="0"/>
        <v>0</v>
      </c>
      <c r="H42" s="221"/>
      <c r="I42" s="393">
        <f t="shared" si="0"/>
        <v>0</v>
      </c>
      <c r="J42" s="221"/>
      <c r="K42" s="221"/>
      <c r="L42" s="259" t="e">
        <f t="shared" si="1"/>
        <v>#DIV/0!</v>
      </c>
      <c r="M42" s="33"/>
      <c r="N42" s="33"/>
      <c r="O42" s="33"/>
      <c r="P42" s="33"/>
      <c r="Q42" s="33"/>
      <c r="R42"/>
      <c r="S42"/>
      <c r="T42"/>
      <c r="U42"/>
      <c r="V42"/>
    </row>
    <row r="43" spans="1:22" s="4" customFormat="1" ht="13.5" customHeight="1" x14ac:dyDescent="0.25">
      <c r="A43" s="356" t="s">
        <v>591</v>
      </c>
      <c r="B43" s="455">
        <v>17146</v>
      </c>
      <c r="C43" s="221">
        <f>'2.működés'!D14+'2.működés'!D17+'2.működés'!D18</f>
        <v>17146</v>
      </c>
      <c r="D43" s="221">
        <f>'2.működés'!E14+'2.működés'!E17+'2.működés'!E18</f>
        <v>17146</v>
      </c>
      <c r="E43" s="393">
        <f t="shared" si="0"/>
        <v>0</v>
      </c>
      <c r="F43" s="221">
        <f>'2.működés'!G14+'2.működés'!G17+'2.működés'!G18</f>
        <v>17146</v>
      </c>
      <c r="G43" s="393">
        <f t="shared" si="0"/>
        <v>0</v>
      </c>
      <c r="H43" s="221">
        <f>'2.működés'!I14+'2.működés'!I17+'2.működés'!I18</f>
        <v>17146</v>
      </c>
      <c r="I43" s="393">
        <f t="shared" si="0"/>
        <v>0</v>
      </c>
      <c r="J43" s="221">
        <f>'2.működés'!K14+'2.működés'!K17+'2.működés'!K18</f>
        <v>17146</v>
      </c>
      <c r="K43" s="221">
        <f>'2.működés'!L14+'2.működés'!L17+'2.működés'!L18</f>
        <v>17146</v>
      </c>
      <c r="L43" s="259">
        <f t="shared" si="1"/>
        <v>100</v>
      </c>
      <c r="M43" s="33"/>
      <c r="N43" s="33"/>
      <c r="O43" s="33"/>
      <c r="P43" s="33"/>
      <c r="Q43" s="33"/>
      <c r="R43"/>
      <c r="S43"/>
      <c r="T43"/>
      <c r="U43"/>
      <c r="V43"/>
    </row>
    <row r="44" spans="1:22" s="4" customFormat="1" ht="12.75" hidden="1" customHeight="1" x14ac:dyDescent="0.25">
      <c r="A44" s="15"/>
      <c r="B44" s="456"/>
      <c r="C44" s="13"/>
      <c r="D44" s="13"/>
      <c r="E44" s="393">
        <f t="shared" si="0"/>
        <v>0</v>
      </c>
      <c r="F44" s="13"/>
      <c r="G44" s="393">
        <f t="shared" si="0"/>
        <v>0</v>
      </c>
      <c r="H44" s="13"/>
      <c r="I44" s="393">
        <f t="shared" si="0"/>
        <v>0</v>
      </c>
      <c r="J44" s="13"/>
      <c r="K44" s="13"/>
      <c r="L44" s="259" t="e">
        <f t="shared" si="1"/>
        <v>#DIV/0!</v>
      </c>
      <c r="M44" s="33"/>
      <c r="N44" s="33"/>
      <c r="O44" s="33"/>
      <c r="P44" s="33"/>
      <c r="Q44" s="33"/>
      <c r="R44"/>
      <c r="S44"/>
      <c r="T44"/>
      <c r="U44"/>
      <c r="V44"/>
    </row>
    <row r="45" spans="1:22" s="4" customFormat="1" ht="13.5" hidden="1" customHeight="1" x14ac:dyDescent="0.25">
      <c r="A45" s="15"/>
      <c r="B45" s="456"/>
      <c r="C45" s="13"/>
      <c r="D45" s="13"/>
      <c r="E45" s="393">
        <f t="shared" si="0"/>
        <v>0</v>
      </c>
      <c r="F45" s="13"/>
      <c r="G45" s="393">
        <f t="shared" si="0"/>
        <v>0</v>
      </c>
      <c r="H45" s="13"/>
      <c r="I45" s="393">
        <f t="shared" si="0"/>
        <v>0</v>
      </c>
      <c r="J45" s="13"/>
      <c r="K45" s="13"/>
      <c r="L45" s="259" t="e">
        <f t="shared" si="1"/>
        <v>#DIV/0!</v>
      </c>
      <c r="M45" s="33"/>
      <c r="N45" s="33"/>
      <c r="O45" s="33"/>
      <c r="P45" s="33"/>
      <c r="Q45" s="33"/>
      <c r="R45"/>
      <c r="S45"/>
      <c r="T45"/>
      <c r="U45"/>
      <c r="V45"/>
    </row>
    <row r="46" spans="1:22" s="4" customFormat="1" ht="15.75" customHeight="1" x14ac:dyDescent="0.25">
      <c r="A46" s="15" t="s">
        <v>730</v>
      </c>
      <c r="B46" s="456">
        <v>0</v>
      </c>
      <c r="C46" s="13">
        <v>60000</v>
      </c>
      <c r="D46" s="13">
        <v>60000</v>
      </c>
      <c r="E46" s="393">
        <f t="shared" si="0"/>
        <v>0</v>
      </c>
      <c r="F46" s="13">
        <v>60000</v>
      </c>
      <c r="G46" s="393">
        <f t="shared" si="0"/>
        <v>0</v>
      </c>
      <c r="H46" s="13">
        <v>60000</v>
      </c>
      <c r="I46" s="393">
        <f t="shared" si="0"/>
        <v>0</v>
      </c>
      <c r="J46" s="13">
        <v>60000</v>
      </c>
      <c r="K46" s="13">
        <v>59789</v>
      </c>
      <c r="L46" s="259">
        <f t="shared" si="1"/>
        <v>99.648333333333341</v>
      </c>
      <c r="M46" s="33"/>
      <c r="N46" s="33"/>
      <c r="O46" s="33"/>
      <c r="P46" s="33"/>
      <c r="Q46" s="33"/>
      <c r="R46"/>
      <c r="S46"/>
      <c r="T46"/>
      <c r="U46"/>
      <c r="V46"/>
    </row>
    <row r="47" spans="1:22" s="4" customFormat="1" ht="15" hidden="1" customHeight="1" x14ac:dyDescent="0.25">
      <c r="A47" s="8" t="s">
        <v>685</v>
      </c>
      <c r="B47" s="457"/>
      <c r="C47" s="13">
        <v>0</v>
      </c>
      <c r="D47" s="13">
        <v>0</v>
      </c>
      <c r="E47" s="393">
        <f t="shared" si="0"/>
        <v>0</v>
      </c>
      <c r="F47" s="13">
        <v>0</v>
      </c>
      <c r="G47" s="393">
        <f t="shared" si="0"/>
        <v>0</v>
      </c>
      <c r="H47" s="13">
        <v>0</v>
      </c>
      <c r="I47" s="393">
        <f t="shared" si="0"/>
        <v>0</v>
      </c>
      <c r="J47" s="13">
        <v>0</v>
      </c>
      <c r="K47" s="13">
        <v>0</v>
      </c>
      <c r="L47" s="259" t="e">
        <f t="shared" si="1"/>
        <v>#DIV/0!</v>
      </c>
      <c r="M47" s="33"/>
      <c r="N47" s="33"/>
      <c r="O47" s="33"/>
      <c r="P47" s="33"/>
      <c r="Q47" s="33"/>
      <c r="R47"/>
      <c r="S47"/>
      <c r="T47"/>
      <c r="U47"/>
      <c r="V47"/>
    </row>
    <row r="48" spans="1:22" s="4" customFormat="1" ht="15" customHeight="1" x14ac:dyDescent="0.25">
      <c r="A48" s="15" t="s">
        <v>720</v>
      </c>
      <c r="B48" s="454">
        <v>16333</v>
      </c>
      <c r="C48" s="13">
        <v>49000</v>
      </c>
      <c r="D48" s="13">
        <v>49000</v>
      </c>
      <c r="E48" s="393">
        <f t="shared" si="0"/>
        <v>3187</v>
      </c>
      <c r="F48" s="13">
        <f>49000+3187</f>
        <v>52187</v>
      </c>
      <c r="G48" s="393">
        <f t="shared" si="0"/>
        <v>0</v>
      </c>
      <c r="H48" s="13">
        <f>49000+3187</f>
        <v>52187</v>
      </c>
      <c r="I48" s="393">
        <f t="shared" si="0"/>
        <v>0</v>
      </c>
      <c r="J48" s="13">
        <f>49000+3187</f>
        <v>52187</v>
      </c>
      <c r="K48" s="13">
        <v>52187</v>
      </c>
      <c r="L48" s="259">
        <f t="shared" si="1"/>
        <v>100</v>
      </c>
      <c r="M48" s="33"/>
      <c r="N48" s="33"/>
      <c r="O48" s="33"/>
      <c r="P48" s="33"/>
      <c r="Q48" s="33"/>
      <c r="R48"/>
      <c r="S48"/>
      <c r="T48"/>
      <c r="U48"/>
      <c r="V48"/>
    </row>
    <row r="49" spans="1:22" s="4" customFormat="1" ht="15" customHeight="1" x14ac:dyDescent="0.25">
      <c r="A49" s="8" t="s">
        <v>732</v>
      </c>
      <c r="B49" s="457">
        <v>0</v>
      </c>
      <c r="C49" s="132">
        <v>2500</v>
      </c>
      <c r="D49" s="132">
        <v>2500</v>
      </c>
      <c r="E49" s="393">
        <f t="shared" si="0"/>
        <v>-2500</v>
      </c>
      <c r="F49" s="132">
        <f>2500-2500</f>
        <v>0</v>
      </c>
      <c r="G49" s="393">
        <f t="shared" si="0"/>
        <v>0</v>
      </c>
      <c r="H49" s="132">
        <f>2500-2500</f>
        <v>0</v>
      </c>
      <c r="I49" s="393">
        <f t="shared" si="0"/>
        <v>0</v>
      </c>
      <c r="J49" s="132">
        <f>2500-2500</f>
        <v>0</v>
      </c>
      <c r="K49" s="132">
        <v>0</v>
      </c>
      <c r="L49" s="259"/>
      <c r="M49" s="33"/>
      <c r="N49" s="33"/>
      <c r="O49" s="33"/>
      <c r="P49" s="33"/>
      <c r="Q49" s="33"/>
      <c r="R49"/>
      <c r="S49"/>
      <c r="T49"/>
      <c r="U49"/>
      <c r="V49"/>
    </row>
    <row r="50" spans="1:22" s="4" customFormat="1" ht="15" customHeight="1" x14ac:dyDescent="0.25">
      <c r="A50" s="8" t="s">
        <v>780</v>
      </c>
      <c r="B50" s="454">
        <v>80981</v>
      </c>
      <c r="C50" s="132"/>
      <c r="D50" s="132"/>
      <c r="E50" s="393">
        <f t="shared" si="0"/>
        <v>0</v>
      </c>
      <c r="F50" s="132">
        <v>0</v>
      </c>
      <c r="G50" s="393">
        <f t="shared" si="0"/>
        <v>0</v>
      </c>
      <c r="H50" s="132">
        <v>0</v>
      </c>
      <c r="I50" s="393">
        <f t="shared" si="0"/>
        <v>0</v>
      </c>
      <c r="J50" s="132">
        <v>0</v>
      </c>
      <c r="K50" s="132">
        <v>0</v>
      </c>
      <c r="L50" s="259"/>
      <c r="M50" s="33"/>
      <c r="N50" s="33"/>
      <c r="O50" s="33"/>
      <c r="P50" s="33"/>
      <c r="Q50" s="33"/>
      <c r="R50"/>
      <c r="S50"/>
      <c r="T50"/>
      <c r="U50"/>
      <c r="V50"/>
    </row>
    <row r="51" spans="1:22" s="4" customFormat="1" ht="13.5" hidden="1" customHeight="1" x14ac:dyDescent="0.25">
      <c r="A51" s="8" t="s">
        <v>655</v>
      </c>
      <c r="B51" s="188"/>
      <c r="C51" s="13">
        <v>0</v>
      </c>
      <c r="D51" s="13">
        <v>0</v>
      </c>
      <c r="E51" s="393">
        <f t="shared" si="0"/>
        <v>0</v>
      </c>
      <c r="F51" s="13">
        <v>0</v>
      </c>
      <c r="G51" s="393">
        <f t="shared" si="0"/>
        <v>0</v>
      </c>
      <c r="H51" s="13">
        <v>0</v>
      </c>
      <c r="I51" s="393">
        <f t="shared" si="0"/>
        <v>0</v>
      </c>
      <c r="J51" s="13">
        <v>0</v>
      </c>
      <c r="K51" s="13">
        <v>0</v>
      </c>
      <c r="L51" s="259"/>
      <c r="M51" s="33"/>
      <c r="N51" s="33"/>
      <c r="O51" s="33"/>
      <c r="P51" s="33"/>
      <c r="Q51" s="33"/>
      <c r="R51"/>
      <c r="S51"/>
      <c r="T51"/>
      <c r="U51"/>
      <c r="V51"/>
    </row>
    <row r="52" spans="1:22" s="4" customFormat="1" ht="14.25" hidden="1" customHeight="1" x14ac:dyDescent="0.25">
      <c r="A52" s="8" t="s">
        <v>654</v>
      </c>
      <c r="B52" s="188"/>
      <c r="C52" s="13">
        <v>0</v>
      </c>
      <c r="D52" s="13">
        <v>0</v>
      </c>
      <c r="E52" s="393">
        <f t="shared" si="0"/>
        <v>0</v>
      </c>
      <c r="F52" s="13">
        <v>0</v>
      </c>
      <c r="G52" s="393">
        <f t="shared" si="0"/>
        <v>0</v>
      </c>
      <c r="H52" s="13">
        <v>0</v>
      </c>
      <c r="I52" s="393">
        <f t="shared" si="0"/>
        <v>0</v>
      </c>
      <c r="J52" s="13">
        <v>0</v>
      </c>
      <c r="K52" s="13">
        <v>0</v>
      </c>
      <c r="L52" s="259"/>
      <c r="M52" s="33"/>
      <c r="N52" s="33"/>
      <c r="O52" s="33"/>
      <c r="P52" s="33"/>
      <c r="Q52" s="33"/>
      <c r="R52"/>
      <c r="S52"/>
      <c r="T52"/>
      <c r="U52"/>
      <c r="V52"/>
    </row>
    <row r="53" spans="1:22" s="4" customFormat="1" ht="14.25" customHeight="1" x14ac:dyDescent="0.25">
      <c r="A53" s="17" t="s">
        <v>307</v>
      </c>
      <c r="B53" s="447">
        <v>1000</v>
      </c>
      <c r="C53" s="5">
        <f t="shared" ref="C53:K53" si="7">C54</f>
        <v>0</v>
      </c>
      <c r="D53" s="5">
        <f t="shared" si="7"/>
        <v>0</v>
      </c>
      <c r="E53" s="393">
        <f t="shared" si="0"/>
        <v>0</v>
      </c>
      <c r="F53" s="5">
        <f t="shared" si="7"/>
        <v>0</v>
      </c>
      <c r="G53" s="393">
        <f t="shared" si="0"/>
        <v>0</v>
      </c>
      <c r="H53" s="5">
        <f t="shared" si="7"/>
        <v>0</v>
      </c>
      <c r="I53" s="393">
        <f t="shared" si="0"/>
        <v>0</v>
      </c>
      <c r="J53" s="5">
        <f t="shared" si="7"/>
        <v>0</v>
      </c>
      <c r="K53" s="5">
        <f t="shared" si="7"/>
        <v>0</v>
      </c>
      <c r="L53" s="259"/>
      <c r="M53" s="33"/>
      <c r="N53" s="33"/>
      <c r="O53" s="33"/>
      <c r="P53" s="33"/>
      <c r="Q53" s="33"/>
      <c r="R53"/>
      <c r="S53"/>
      <c r="T53"/>
      <c r="U53"/>
      <c r="V53"/>
    </row>
    <row r="54" spans="1:22" s="4" customFormat="1" ht="14.25" hidden="1" customHeight="1" x14ac:dyDescent="0.25">
      <c r="A54" s="20" t="s">
        <v>656</v>
      </c>
      <c r="B54" s="448"/>
      <c r="C54" s="13">
        <v>0</v>
      </c>
      <c r="D54" s="13">
        <v>0</v>
      </c>
      <c r="E54" s="393">
        <f t="shared" si="0"/>
        <v>0</v>
      </c>
      <c r="F54" s="13">
        <v>0</v>
      </c>
      <c r="G54" s="393">
        <f t="shared" si="0"/>
        <v>0</v>
      </c>
      <c r="H54" s="13">
        <v>0</v>
      </c>
      <c r="I54" s="393">
        <f t="shared" si="0"/>
        <v>0</v>
      </c>
      <c r="J54" s="13">
        <v>0</v>
      </c>
      <c r="K54" s="13">
        <v>0</v>
      </c>
      <c r="L54" s="259" t="e">
        <f t="shared" si="1"/>
        <v>#DIV/0!</v>
      </c>
      <c r="M54" s="33"/>
      <c r="N54" s="33"/>
      <c r="O54" s="33"/>
      <c r="P54" s="33"/>
      <c r="Q54" s="33"/>
      <c r="R54"/>
      <c r="S54"/>
      <c r="T54"/>
      <c r="U54"/>
      <c r="V54"/>
    </row>
    <row r="55" spans="1:22" s="4" customFormat="1" ht="14.25" customHeight="1" x14ac:dyDescent="0.25">
      <c r="A55" s="17" t="s">
        <v>21</v>
      </c>
      <c r="B55" s="402">
        <f>SUM(B56:B64)</f>
        <v>38549</v>
      </c>
      <c r="C55" s="5">
        <f>SUM(C56:C64)</f>
        <v>46513</v>
      </c>
      <c r="D55" s="5">
        <f>SUM(D56:D64)</f>
        <v>44013</v>
      </c>
      <c r="E55" s="393">
        <f t="shared" si="0"/>
        <v>3000</v>
      </c>
      <c r="F55" s="5">
        <f>SUM(F56:F64)</f>
        <v>47013</v>
      </c>
      <c r="G55" s="393">
        <f t="shared" si="0"/>
        <v>0</v>
      </c>
      <c r="H55" s="5">
        <f>SUM(H56:H64)</f>
        <v>47013</v>
      </c>
      <c r="I55" s="393">
        <f t="shared" si="0"/>
        <v>0</v>
      </c>
      <c r="J55" s="5">
        <f>SUM(J56:J64)</f>
        <v>47013</v>
      </c>
      <c r="K55" s="5">
        <f>SUM(K56:K64)</f>
        <v>46928</v>
      </c>
      <c r="L55" s="259">
        <f t="shared" si="1"/>
        <v>99.819198944972669</v>
      </c>
      <c r="M55" s="33"/>
      <c r="N55" s="314"/>
      <c r="O55" s="33"/>
      <c r="P55" s="33"/>
      <c r="Q55" s="33"/>
      <c r="R55"/>
      <c r="S55"/>
      <c r="T55"/>
      <c r="U55"/>
      <c r="V55"/>
    </row>
    <row r="56" spans="1:22" s="4" customFormat="1" ht="13.5" customHeight="1" x14ac:dyDescent="0.25">
      <c r="A56" s="8" t="s">
        <v>408</v>
      </c>
      <c r="B56" s="454">
        <v>5000</v>
      </c>
      <c r="C56" s="13">
        <v>10000</v>
      </c>
      <c r="D56" s="13">
        <v>10000</v>
      </c>
      <c r="E56" s="393">
        <f t="shared" si="0"/>
        <v>3000</v>
      </c>
      <c r="F56" s="13">
        <f>10000+3000</f>
        <v>13000</v>
      </c>
      <c r="G56" s="393">
        <f t="shared" si="0"/>
        <v>0</v>
      </c>
      <c r="H56" s="13">
        <f>10000+3000</f>
        <v>13000</v>
      </c>
      <c r="I56" s="393">
        <f t="shared" si="0"/>
        <v>0</v>
      </c>
      <c r="J56" s="13">
        <f>10000+3000</f>
        <v>13000</v>
      </c>
      <c r="K56" s="13">
        <v>13000</v>
      </c>
      <c r="L56" s="259">
        <f t="shared" si="1"/>
        <v>100</v>
      </c>
      <c r="M56" s="33"/>
      <c r="N56" s="33"/>
      <c r="O56" s="33"/>
      <c r="P56" s="33"/>
      <c r="Q56" s="33"/>
      <c r="R56"/>
      <c r="S56"/>
      <c r="T56"/>
      <c r="U56"/>
      <c r="V56"/>
    </row>
    <row r="57" spans="1:22" s="4" customFormat="1" ht="13.5" customHeight="1" x14ac:dyDescent="0.25">
      <c r="A57" s="12" t="s">
        <v>701</v>
      </c>
      <c r="B57" s="454">
        <v>0</v>
      </c>
      <c r="C57" s="29">
        <v>2500</v>
      </c>
      <c r="D57" s="29">
        <f>2500-2500</f>
        <v>0</v>
      </c>
      <c r="E57" s="393">
        <f t="shared" si="0"/>
        <v>0</v>
      </c>
      <c r="F57" s="29">
        <f>2500-2500</f>
        <v>0</v>
      </c>
      <c r="G57" s="393">
        <f t="shared" si="0"/>
        <v>0</v>
      </c>
      <c r="H57" s="29">
        <f>2500-2500</f>
        <v>0</v>
      </c>
      <c r="I57" s="393">
        <f t="shared" si="0"/>
        <v>0</v>
      </c>
      <c r="J57" s="29">
        <f>2500-2500</f>
        <v>0</v>
      </c>
      <c r="K57" s="29">
        <v>0</v>
      </c>
      <c r="L57" s="259"/>
      <c r="M57" s="33"/>
      <c r="N57" s="33"/>
      <c r="O57" s="33"/>
      <c r="P57" s="33"/>
      <c r="Q57" s="33"/>
      <c r="R57"/>
      <c r="S57"/>
      <c r="T57"/>
      <c r="U57"/>
      <c r="V57"/>
    </row>
    <row r="58" spans="1:22" s="4" customFormat="1" ht="13.5" hidden="1" customHeight="1" x14ac:dyDescent="0.25">
      <c r="A58" s="12" t="s">
        <v>426</v>
      </c>
      <c r="B58" s="454"/>
      <c r="C58" s="29"/>
      <c r="D58" s="29"/>
      <c r="E58" s="393">
        <f t="shared" si="0"/>
        <v>0</v>
      </c>
      <c r="F58" s="29"/>
      <c r="G58" s="393">
        <f t="shared" si="0"/>
        <v>0</v>
      </c>
      <c r="H58" s="29"/>
      <c r="I58" s="393">
        <f t="shared" si="0"/>
        <v>0</v>
      </c>
      <c r="J58" s="29"/>
      <c r="K58" s="29"/>
      <c r="L58" s="259" t="e">
        <f t="shared" si="1"/>
        <v>#DIV/0!</v>
      </c>
      <c r="M58" s="33"/>
      <c r="N58" s="33"/>
      <c r="O58" s="33"/>
      <c r="P58" s="33"/>
      <c r="Q58" s="33"/>
      <c r="R58"/>
      <c r="S58"/>
      <c r="T58"/>
      <c r="U58"/>
      <c r="V58"/>
    </row>
    <row r="59" spans="1:22" ht="13.5" customHeight="1" x14ac:dyDescent="0.2">
      <c r="A59" s="131" t="s">
        <v>380</v>
      </c>
      <c r="B59" s="454">
        <v>26763</v>
      </c>
      <c r="C59" s="294">
        <v>26763</v>
      </c>
      <c r="D59" s="294">
        <v>26763</v>
      </c>
      <c r="E59" s="393">
        <f t="shared" si="0"/>
        <v>0</v>
      </c>
      <c r="F59" s="294">
        <v>26763</v>
      </c>
      <c r="G59" s="393">
        <f t="shared" si="0"/>
        <v>0</v>
      </c>
      <c r="H59" s="294">
        <v>26763</v>
      </c>
      <c r="I59" s="393">
        <f t="shared" si="0"/>
        <v>0</v>
      </c>
      <c r="J59" s="294">
        <v>26763</v>
      </c>
      <c r="K59" s="294">
        <v>26763</v>
      </c>
      <c r="L59" s="259">
        <f t="shared" si="1"/>
        <v>100</v>
      </c>
      <c r="M59" s="33"/>
      <c r="N59" s="33"/>
      <c r="O59" s="33"/>
      <c r="P59" s="33"/>
      <c r="Q59" s="33"/>
    </row>
    <row r="60" spans="1:22" x14ac:dyDescent="0.2">
      <c r="A60" s="15" t="s">
        <v>575</v>
      </c>
      <c r="B60" s="454">
        <v>6566</v>
      </c>
      <c r="C60" s="294">
        <v>7000</v>
      </c>
      <c r="D60" s="294">
        <v>7000</v>
      </c>
      <c r="E60" s="393">
        <f t="shared" si="0"/>
        <v>0</v>
      </c>
      <c r="F60" s="294">
        <v>7000</v>
      </c>
      <c r="G60" s="393">
        <f t="shared" si="0"/>
        <v>0</v>
      </c>
      <c r="H60" s="294">
        <v>7000</v>
      </c>
      <c r="I60" s="393">
        <f t="shared" si="0"/>
        <v>0</v>
      </c>
      <c r="J60" s="294">
        <v>7000</v>
      </c>
      <c r="K60" s="294">
        <v>7000</v>
      </c>
      <c r="L60" s="259">
        <f t="shared" si="1"/>
        <v>100</v>
      </c>
      <c r="M60" s="33"/>
      <c r="N60" s="33"/>
      <c r="O60" s="33"/>
      <c r="P60" s="33"/>
      <c r="Q60" s="33"/>
    </row>
    <row r="61" spans="1:22" ht="12.75" customHeight="1" thickBot="1" x14ac:dyDescent="0.25">
      <c r="A61" s="8" t="s">
        <v>574</v>
      </c>
      <c r="B61" s="411">
        <v>220</v>
      </c>
      <c r="C61" s="294">
        <v>250</v>
      </c>
      <c r="D61" s="294">
        <v>250</v>
      </c>
      <c r="E61" s="393">
        <f t="shared" si="0"/>
        <v>0</v>
      </c>
      <c r="F61" s="294">
        <v>250</v>
      </c>
      <c r="G61" s="393">
        <f t="shared" si="0"/>
        <v>0</v>
      </c>
      <c r="H61" s="294">
        <v>250</v>
      </c>
      <c r="I61" s="393">
        <f t="shared" si="0"/>
        <v>0</v>
      </c>
      <c r="J61" s="294">
        <v>250</v>
      </c>
      <c r="K61" s="294">
        <v>165</v>
      </c>
      <c r="L61" s="259">
        <f t="shared" si="1"/>
        <v>66</v>
      </c>
      <c r="M61" s="33"/>
      <c r="N61" s="33"/>
      <c r="O61" s="33"/>
      <c r="P61" s="33"/>
      <c r="Q61" s="33"/>
    </row>
    <row r="62" spans="1:22" ht="12.75" hidden="1" customHeight="1" thickBot="1" x14ac:dyDescent="0.25">
      <c r="A62" s="384"/>
      <c r="B62" s="449"/>
      <c r="C62" s="13">
        <v>0</v>
      </c>
      <c r="D62" s="13">
        <v>0</v>
      </c>
      <c r="E62" s="393">
        <f t="shared" si="0"/>
        <v>0</v>
      </c>
      <c r="F62" s="13">
        <v>0</v>
      </c>
      <c r="G62" s="393"/>
      <c r="H62" s="13"/>
      <c r="I62" s="393"/>
      <c r="J62" s="13"/>
      <c r="K62" s="13"/>
      <c r="L62" s="259" t="e">
        <f t="shared" si="1"/>
        <v>#DIV/0!</v>
      </c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1:22" ht="12.75" hidden="1" customHeight="1" x14ac:dyDescent="0.2">
      <c r="A63" s="8"/>
      <c r="B63" s="188"/>
      <c r="C63" s="13"/>
      <c r="D63" s="13"/>
      <c r="E63" s="393">
        <f t="shared" si="0"/>
        <v>0</v>
      </c>
      <c r="F63" s="13"/>
      <c r="G63" s="393"/>
      <c r="H63" s="13"/>
      <c r="I63" s="393"/>
      <c r="J63" s="13"/>
      <c r="K63" s="13"/>
      <c r="L63" s="259" t="e">
        <f t="shared" si="1"/>
        <v>#DIV/0!</v>
      </c>
      <c r="M63" s="33"/>
      <c r="N63" s="33"/>
      <c r="O63" s="33"/>
      <c r="P63" s="33"/>
      <c r="Q63" s="33"/>
    </row>
    <row r="64" spans="1:22" ht="12.75" hidden="1" customHeight="1" x14ac:dyDescent="0.2">
      <c r="A64" s="12"/>
      <c r="B64" s="411"/>
      <c r="C64" s="29"/>
      <c r="D64" s="29"/>
      <c r="E64" s="393">
        <f t="shared" si="0"/>
        <v>0</v>
      </c>
      <c r="F64" s="29"/>
      <c r="G64" s="393"/>
      <c r="H64" s="29"/>
      <c r="I64" s="393"/>
      <c r="J64" s="29"/>
      <c r="K64" s="29"/>
      <c r="L64" s="259" t="e">
        <f t="shared" si="1"/>
        <v>#DIV/0!</v>
      </c>
      <c r="M64" s="33"/>
      <c r="N64" s="33"/>
      <c r="O64" s="33"/>
      <c r="P64" s="33"/>
      <c r="Q64" s="33"/>
    </row>
    <row r="65" spans="1:22" ht="13.5" hidden="1" customHeight="1" thickBot="1" x14ac:dyDescent="0.25">
      <c r="A65" s="8"/>
      <c r="B65" s="188"/>
      <c r="C65" s="13">
        <v>0</v>
      </c>
      <c r="D65" s="13">
        <v>0</v>
      </c>
      <c r="E65" s="393">
        <f t="shared" si="0"/>
        <v>0</v>
      </c>
      <c r="F65" s="13">
        <v>0</v>
      </c>
      <c r="G65" s="393"/>
      <c r="H65" s="13">
        <v>0</v>
      </c>
      <c r="I65" s="393"/>
      <c r="J65" s="13">
        <v>0</v>
      </c>
      <c r="K65" s="13">
        <v>0</v>
      </c>
      <c r="L65" s="259" t="e">
        <f t="shared" si="1"/>
        <v>#DIV/0!</v>
      </c>
      <c r="M65" s="33"/>
      <c r="N65" s="33"/>
      <c r="O65" s="33"/>
      <c r="P65" s="33"/>
      <c r="Q65" s="33"/>
      <c r="R65" s="33"/>
      <c r="S65" s="33"/>
      <c r="T65" s="33"/>
      <c r="U65" s="33"/>
      <c r="V65" s="33"/>
    </row>
    <row r="66" spans="1:22" ht="20.25" customHeight="1" thickBot="1" x14ac:dyDescent="0.3">
      <c r="A66" s="211" t="s">
        <v>648</v>
      </c>
      <c r="B66" s="418">
        <f>SUM(B9+B35+B36)</f>
        <v>614008</v>
      </c>
      <c r="C66" s="210">
        <f>SUM(C9+C35+C36)</f>
        <v>680844</v>
      </c>
      <c r="D66" s="210">
        <f>SUM(D9+D35+D36)</f>
        <v>678344</v>
      </c>
      <c r="E66" s="394">
        <f t="shared" si="0"/>
        <v>4497</v>
      </c>
      <c r="F66" s="210">
        <f>SUM(F9+F35+F36)</f>
        <v>682841</v>
      </c>
      <c r="G66" s="394">
        <f>H66-F66</f>
        <v>7091</v>
      </c>
      <c r="H66" s="210">
        <f>SUM(H9+H35+H36)</f>
        <v>689932</v>
      </c>
      <c r="I66" s="394">
        <f>J66-H66</f>
        <v>0</v>
      </c>
      <c r="J66" s="210">
        <f>SUM(J9+J35+J36)</f>
        <v>689932</v>
      </c>
      <c r="K66" s="210">
        <f>SUM(K9+K35+K36)</f>
        <v>689433</v>
      </c>
      <c r="L66" s="259">
        <f t="shared" si="1"/>
        <v>99.927674031643704</v>
      </c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spans="1:22" x14ac:dyDescent="0.2">
      <c r="A67" s="1"/>
      <c r="B67" s="398"/>
      <c r="C67" s="33"/>
      <c r="D67" s="33"/>
      <c r="E67" s="33"/>
      <c r="F67" s="33"/>
      <c r="G67" s="33"/>
      <c r="H67" s="33"/>
      <c r="I67" s="33"/>
      <c r="J67" s="33"/>
      <c r="K67" s="33"/>
      <c r="L67" s="259"/>
      <c r="M67" s="33"/>
      <c r="N67" s="33"/>
      <c r="O67" s="33"/>
      <c r="P67" s="33"/>
      <c r="Q67" s="33"/>
      <c r="R67" s="33"/>
      <c r="S67" s="33"/>
      <c r="T67" s="33"/>
      <c r="U67" s="33"/>
      <c r="V67" s="33"/>
    </row>
    <row r="68" spans="1:22" x14ac:dyDescent="0.2">
      <c r="A68" s="1"/>
      <c r="B68" s="398"/>
      <c r="C68" s="33"/>
      <c r="D68" s="33"/>
      <c r="E68" s="33"/>
      <c r="F68" s="33"/>
      <c r="G68" s="33"/>
      <c r="H68" s="33"/>
      <c r="I68" s="33"/>
      <c r="J68" s="33"/>
      <c r="K68" s="33"/>
      <c r="L68" s="259"/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1:22" ht="15.75" x14ac:dyDescent="0.25">
      <c r="A69" s="128" t="s">
        <v>641</v>
      </c>
      <c r="B69" s="458">
        <v>0</v>
      </c>
      <c r="C69" s="95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557">
        <f>K70+K71+K72+K78+K79</f>
        <v>1192</v>
      </c>
      <c r="L69" s="259"/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 x14ac:dyDescent="0.2">
      <c r="A70" s="57" t="s">
        <v>65</v>
      </c>
      <c r="B70" s="451"/>
      <c r="C70" s="56"/>
      <c r="D70" s="56"/>
      <c r="E70" s="56"/>
      <c r="F70" s="56"/>
      <c r="G70" s="56"/>
      <c r="H70" s="56"/>
      <c r="I70" s="56"/>
      <c r="J70" s="56"/>
      <c r="K70" s="56"/>
      <c r="L70" s="259"/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 x14ac:dyDescent="0.2">
      <c r="A71" s="57" t="s">
        <v>66</v>
      </c>
      <c r="B71" s="451"/>
      <c r="C71" s="56"/>
      <c r="D71" s="56"/>
      <c r="E71" s="56"/>
      <c r="F71" s="56"/>
      <c r="G71" s="56"/>
      <c r="H71" s="56"/>
      <c r="I71" s="56"/>
      <c r="J71" s="56"/>
      <c r="K71" s="56"/>
      <c r="L71" s="259"/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1:22" x14ac:dyDescent="0.2">
      <c r="A72" s="57" t="s">
        <v>634</v>
      </c>
      <c r="B72" s="30">
        <f>B73+B74+B75+B76+B77</f>
        <v>355</v>
      </c>
      <c r="C72" s="54">
        <f>C73+C74+C75+C76+C77</f>
        <v>129</v>
      </c>
      <c r="D72" s="54">
        <f>D73+D74+D75+D76+D77</f>
        <v>129</v>
      </c>
      <c r="E72" s="54">
        <v>0</v>
      </c>
      <c r="F72" s="54">
        <f>F73+F74+F75+F76+F77</f>
        <v>129</v>
      </c>
      <c r="G72" s="54">
        <v>0</v>
      </c>
      <c r="H72" s="54">
        <f>H73+H74+H75+H76+H77</f>
        <v>129</v>
      </c>
      <c r="I72" s="54">
        <v>0</v>
      </c>
      <c r="J72" s="54">
        <f>J73+J74+J75+J76+J77</f>
        <v>129</v>
      </c>
      <c r="K72" s="54">
        <f>K73+K74+K75+K76+K77</f>
        <v>1192</v>
      </c>
      <c r="L72" s="259"/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1:22" x14ac:dyDescent="0.2">
      <c r="A73" s="57" t="s">
        <v>635</v>
      </c>
      <c r="B73" s="450"/>
      <c r="C73" s="54"/>
      <c r="D73" s="54"/>
      <c r="E73" s="54"/>
      <c r="F73" s="54"/>
      <c r="G73" s="54"/>
      <c r="H73" s="54"/>
      <c r="I73" s="54"/>
      <c r="J73" s="54"/>
      <c r="K73" s="54"/>
      <c r="L73" s="259"/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1:22" x14ac:dyDescent="0.2">
      <c r="A74" s="57" t="s">
        <v>636</v>
      </c>
      <c r="B74" s="450">
        <v>355</v>
      </c>
      <c r="C74" s="56">
        <v>129</v>
      </c>
      <c r="D74" s="56">
        <v>129</v>
      </c>
      <c r="E74" s="56">
        <v>0</v>
      </c>
      <c r="F74" s="56">
        <v>129</v>
      </c>
      <c r="G74" s="56">
        <v>0</v>
      </c>
      <c r="H74" s="56">
        <v>129</v>
      </c>
      <c r="I74" s="56">
        <v>0</v>
      </c>
      <c r="J74" s="56">
        <v>129</v>
      </c>
      <c r="K74" s="56">
        <v>334</v>
      </c>
      <c r="L74" s="259"/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1:22" x14ac:dyDescent="0.2">
      <c r="A75" s="57" t="s">
        <v>637</v>
      </c>
      <c r="B75" s="450"/>
      <c r="C75" s="54"/>
      <c r="D75" s="54"/>
      <c r="E75" s="54"/>
      <c r="F75" s="54"/>
      <c r="G75" s="54"/>
      <c r="H75" s="54"/>
      <c r="I75" s="54"/>
      <c r="J75" s="54"/>
      <c r="K75" s="54">
        <v>858</v>
      </c>
      <c r="L75" s="259"/>
      <c r="M75" s="33"/>
    </row>
    <row r="76" spans="1:22" x14ac:dyDescent="0.2">
      <c r="A76" s="56" t="s">
        <v>638</v>
      </c>
      <c r="B76" s="451"/>
      <c r="C76" s="56"/>
      <c r="D76" s="56"/>
      <c r="E76" s="56"/>
      <c r="F76" s="56"/>
      <c r="G76" s="56"/>
      <c r="H76" s="56"/>
      <c r="I76" s="56"/>
      <c r="J76" s="56"/>
      <c r="K76" s="451"/>
      <c r="L76" s="259"/>
      <c r="M76" s="33"/>
    </row>
    <row r="77" spans="1:22" x14ac:dyDescent="0.2">
      <c r="A77" s="56" t="s">
        <v>639</v>
      </c>
      <c r="B77" s="451"/>
      <c r="C77" s="56"/>
      <c r="D77" s="56"/>
      <c r="E77" s="56"/>
      <c r="F77" s="56"/>
      <c r="G77" s="56"/>
      <c r="H77" s="56"/>
      <c r="I77" s="56"/>
      <c r="J77" s="56"/>
      <c r="K77" s="56"/>
      <c r="L77" s="259"/>
      <c r="M77" s="33"/>
    </row>
    <row r="78" spans="1:22" ht="25.5" x14ac:dyDescent="0.2">
      <c r="A78" s="364" t="s">
        <v>640</v>
      </c>
      <c r="B78" s="452"/>
      <c r="C78" s="56"/>
      <c r="D78" s="56"/>
      <c r="E78" s="56"/>
      <c r="F78" s="56"/>
      <c r="G78" s="56"/>
      <c r="H78" s="56"/>
      <c r="I78" s="56"/>
      <c r="J78" s="56"/>
      <c r="K78" s="56"/>
      <c r="L78" s="259"/>
    </row>
    <row r="79" spans="1:22" x14ac:dyDescent="0.2">
      <c r="A79" s="56" t="s">
        <v>67</v>
      </c>
      <c r="B79" s="451"/>
      <c r="C79" s="56"/>
      <c r="D79" s="56"/>
      <c r="E79" s="56"/>
      <c r="F79" s="56"/>
      <c r="G79" s="56"/>
      <c r="H79" s="56"/>
      <c r="I79" s="56"/>
      <c r="J79" s="56"/>
      <c r="K79" s="56"/>
      <c r="L79" s="259"/>
    </row>
    <row r="80" spans="1:22" x14ac:dyDescent="0.2">
      <c r="L80" s="259"/>
    </row>
  </sheetData>
  <mergeCells count="12">
    <mergeCell ref="A4:K4"/>
    <mergeCell ref="A5:K5"/>
    <mergeCell ref="K19:K28"/>
    <mergeCell ref="D19:D28"/>
    <mergeCell ref="F19:F28"/>
    <mergeCell ref="H19:H28"/>
    <mergeCell ref="B19:B28"/>
    <mergeCell ref="E19:E28"/>
    <mergeCell ref="G19:G28"/>
    <mergeCell ref="I19:I28"/>
    <mergeCell ref="J19:J28"/>
    <mergeCell ref="C19:C28"/>
  </mergeCells>
  <phoneticPr fontId="15" type="noConversion"/>
  <pageMargins left="0.27559055118110237" right="0.19685039370078741" top="0.35433070866141736" bottom="0.39370078740157483" header="0.31496062992125984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4"/>
  <sheetViews>
    <sheetView zoomScale="80" zoomScaleNormal="80" workbookViewId="0">
      <selection activeCell="A5" sqref="A5:M5"/>
    </sheetView>
  </sheetViews>
  <sheetFormatPr defaultRowHeight="12.75" x14ac:dyDescent="0.2"/>
  <cols>
    <col min="1" max="1" width="51" style="63" customWidth="1"/>
    <col min="2" max="2" width="13" style="304" customWidth="1"/>
    <col min="3" max="3" width="12" style="304" customWidth="1"/>
    <col min="4" max="4" width="10.7109375" style="304" customWidth="1"/>
    <col min="5" max="6" width="10.42578125" style="304" customWidth="1"/>
    <col min="7" max="7" width="11.42578125" style="305" customWidth="1"/>
    <col min="8" max="8" width="9.85546875" style="304" customWidth="1"/>
    <col min="9" max="9" width="12" style="304" customWidth="1"/>
    <col min="10" max="10" width="11.42578125" style="304" customWidth="1"/>
    <col min="11" max="11" width="11.140625" style="304" customWidth="1"/>
    <col min="12" max="13" width="12.28515625" style="304" customWidth="1"/>
    <col min="14" max="14" width="9.140625" style="63"/>
    <col min="15" max="15" width="9.85546875" style="63" bestFit="1" customWidth="1"/>
    <col min="16" max="16384" width="9.140625" style="63"/>
  </cols>
  <sheetData>
    <row r="1" spans="1:25" x14ac:dyDescent="0.2">
      <c r="A1" s="709" t="s">
        <v>206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x14ac:dyDescent="0.2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5" t="str">
        <f>'1.Bev-kiad.'!L2</f>
        <v>a 9/2026.(V.29.) önkormányzati rendelethez</v>
      </c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x14ac:dyDescent="0.2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45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x14ac:dyDescent="0.2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145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 ht="15" customHeight="1" x14ac:dyDescent="0.2">
      <c r="A5" s="710" t="s">
        <v>738</v>
      </c>
      <c r="B5" s="710"/>
      <c r="C5" s="710"/>
      <c r="D5" s="710"/>
      <c r="E5" s="710"/>
      <c r="F5" s="710"/>
      <c r="G5" s="710"/>
      <c r="H5" s="710"/>
      <c r="I5" s="710"/>
      <c r="J5" s="710"/>
      <c r="K5" s="710"/>
      <c r="L5" s="710"/>
      <c r="M5" s="710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ht="12.95" customHeight="1" thickBot="1" x14ac:dyDescent="0.25">
      <c r="M6" s="299" t="s">
        <v>0</v>
      </c>
    </row>
    <row r="7" spans="1:25" ht="16.5" customHeight="1" x14ac:dyDescent="0.2">
      <c r="A7" s="711"/>
      <c r="B7" s="714" t="s">
        <v>55</v>
      </c>
      <c r="C7" s="715"/>
      <c r="D7" s="715"/>
      <c r="E7" s="715"/>
      <c r="F7" s="715"/>
      <c r="G7" s="716"/>
      <c r="H7" s="714" t="s">
        <v>293</v>
      </c>
      <c r="I7" s="715"/>
      <c r="J7" s="715"/>
      <c r="K7" s="715"/>
      <c r="L7" s="716"/>
      <c r="M7" s="717" t="s">
        <v>56</v>
      </c>
    </row>
    <row r="8" spans="1:25" ht="27.75" customHeight="1" x14ac:dyDescent="0.2">
      <c r="A8" s="712"/>
      <c r="B8" s="707" t="s">
        <v>288</v>
      </c>
      <c r="C8" s="720" t="s">
        <v>332</v>
      </c>
      <c r="D8" s="721"/>
      <c r="E8" s="722" t="s">
        <v>372</v>
      </c>
      <c r="F8" s="707" t="s">
        <v>339</v>
      </c>
      <c r="G8" s="707" t="s">
        <v>6</v>
      </c>
      <c r="H8" s="707" t="s">
        <v>306</v>
      </c>
      <c r="I8" s="707" t="s">
        <v>289</v>
      </c>
      <c r="J8" s="707" t="s">
        <v>342</v>
      </c>
      <c r="K8" s="707" t="s">
        <v>373</v>
      </c>
      <c r="L8" s="707" t="s">
        <v>9</v>
      </c>
      <c r="M8" s="718"/>
    </row>
    <row r="9" spans="1:25" ht="66" customHeight="1" thickBot="1" x14ac:dyDescent="0.25">
      <c r="A9" s="713"/>
      <c r="B9" s="708"/>
      <c r="C9" s="61" t="s">
        <v>370</v>
      </c>
      <c r="D9" s="61" t="s">
        <v>371</v>
      </c>
      <c r="E9" s="723"/>
      <c r="F9" s="708"/>
      <c r="G9" s="708"/>
      <c r="H9" s="708"/>
      <c r="I9" s="708"/>
      <c r="J9" s="708"/>
      <c r="K9" s="708"/>
      <c r="L9" s="708"/>
      <c r="M9" s="719"/>
    </row>
    <row r="10" spans="1:25" ht="18" customHeight="1" thickBot="1" x14ac:dyDescent="0.25">
      <c r="A10" s="462" t="s">
        <v>781</v>
      </c>
      <c r="B10" s="463">
        <v>1230140</v>
      </c>
      <c r="C10" s="463">
        <v>0</v>
      </c>
      <c r="D10" s="463">
        <v>32600</v>
      </c>
      <c r="E10" s="463">
        <v>21663</v>
      </c>
      <c r="F10" s="463">
        <v>691496</v>
      </c>
      <c r="G10" s="463">
        <v>1975899</v>
      </c>
      <c r="H10" s="463">
        <v>93469</v>
      </c>
      <c r="I10" s="463">
        <v>118694</v>
      </c>
      <c r="J10" s="463">
        <v>921073</v>
      </c>
      <c r="K10" s="463">
        <v>299586</v>
      </c>
      <c r="L10" s="463">
        <v>1432822</v>
      </c>
      <c r="M10" s="464">
        <v>3408721</v>
      </c>
    </row>
    <row r="11" spans="1:25" ht="18" customHeight="1" thickBot="1" x14ac:dyDescent="0.25">
      <c r="A11" s="98" t="s">
        <v>739</v>
      </c>
      <c r="B11" s="106">
        <f t="shared" ref="B11:L11" si="0">B19+B28</f>
        <v>1707633</v>
      </c>
      <c r="C11" s="106">
        <f t="shared" si="0"/>
        <v>0</v>
      </c>
      <c r="D11" s="106">
        <f t="shared" si="0"/>
        <v>23000</v>
      </c>
      <c r="E11" s="106">
        <f t="shared" si="0"/>
        <v>0</v>
      </c>
      <c r="F11" s="106">
        <f t="shared" si="0"/>
        <v>319717</v>
      </c>
      <c r="G11" s="106">
        <f t="shared" si="0"/>
        <v>2050350</v>
      </c>
      <c r="H11" s="106">
        <f t="shared" si="0"/>
        <v>846026</v>
      </c>
      <c r="I11" s="106">
        <f t="shared" si="0"/>
        <v>10808</v>
      </c>
      <c r="J11" s="106">
        <f t="shared" si="0"/>
        <v>38889</v>
      </c>
      <c r="K11" s="106">
        <f t="shared" si="0"/>
        <v>0</v>
      </c>
      <c r="L11" s="106">
        <f t="shared" si="0"/>
        <v>895723</v>
      </c>
      <c r="M11" s="100">
        <f>SUM(L11,G11)</f>
        <v>2946073</v>
      </c>
    </row>
    <row r="12" spans="1:25" ht="17.25" hidden="1" customHeight="1" thickBot="1" x14ac:dyDescent="0.25">
      <c r="A12" s="98" t="s">
        <v>760</v>
      </c>
      <c r="B12" s="106">
        <f t="shared" ref="B12:L12" si="1">B20+B29</f>
        <v>1722255</v>
      </c>
      <c r="C12" s="106">
        <f t="shared" si="1"/>
        <v>0</v>
      </c>
      <c r="D12" s="106">
        <f t="shared" si="1"/>
        <v>23000</v>
      </c>
      <c r="E12" s="106">
        <f t="shared" si="1"/>
        <v>0</v>
      </c>
      <c r="F12" s="106">
        <f t="shared" si="1"/>
        <v>319717</v>
      </c>
      <c r="G12" s="106">
        <f t="shared" si="1"/>
        <v>2064972</v>
      </c>
      <c r="H12" s="106">
        <f t="shared" si="1"/>
        <v>896026</v>
      </c>
      <c r="I12" s="106">
        <f t="shared" si="1"/>
        <v>10808</v>
      </c>
      <c r="J12" s="106">
        <f t="shared" si="1"/>
        <v>38889</v>
      </c>
      <c r="K12" s="106">
        <f t="shared" si="1"/>
        <v>0</v>
      </c>
      <c r="L12" s="106">
        <f t="shared" si="1"/>
        <v>945723</v>
      </c>
      <c r="M12" s="100">
        <f t="shared" ref="M12:M17" si="2">SUM(L12,G12)</f>
        <v>3010695</v>
      </c>
    </row>
    <row r="13" spans="1:25" ht="16.5" hidden="1" customHeight="1" thickBot="1" x14ac:dyDescent="0.25">
      <c r="A13" s="98" t="s">
        <v>796</v>
      </c>
      <c r="B13" s="106">
        <f t="shared" ref="B13:L13" si="3">B21+B30</f>
        <v>1732402</v>
      </c>
      <c r="C13" s="106">
        <f t="shared" si="3"/>
        <v>0</v>
      </c>
      <c r="D13" s="106">
        <f t="shared" si="3"/>
        <v>23000</v>
      </c>
      <c r="E13" s="106">
        <f t="shared" si="3"/>
        <v>0</v>
      </c>
      <c r="F13" s="106">
        <f t="shared" si="3"/>
        <v>319717</v>
      </c>
      <c r="G13" s="106">
        <f t="shared" si="3"/>
        <v>2075119</v>
      </c>
      <c r="H13" s="106">
        <f t="shared" si="3"/>
        <v>896026</v>
      </c>
      <c r="I13" s="106">
        <f t="shared" si="3"/>
        <v>10808</v>
      </c>
      <c r="J13" s="106">
        <f t="shared" si="3"/>
        <v>38889</v>
      </c>
      <c r="K13" s="106">
        <f t="shared" si="3"/>
        <v>0</v>
      </c>
      <c r="L13" s="106">
        <f t="shared" si="3"/>
        <v>945723</v>
      </c>
      <c r="M13" s="100">
        <f t="shared" si="2"/>
        <v>3020842</v>
      </c>
      <c r="O13" s="304"/>
    </row>
    <row r="14" spans="1:25" ht="17.25" hidden="1" customHeight="1" thickBot="1" x14ac:dyDescent="0.25">
      <c r="A14" s="98" t="s">
        <v>814</v>
      </c>
      <c r="B14" s="106">
        <f t="shared" ref="B14:L15" si="4">B22+B31</f>
        <v>1583789</v>
      </c>
      <c r="C14" s="106">
        <f t="shared" si="4"/>
        <v>0</v>
      </c>
      <c r="D14" s="106">
        <f t="shared" si="4"/>
        <v>29805</v>
      </c>
      <c r="E14" s="106">
        <f t="shared" si="4"/>
        <v>24161</v>
      </c>
      <c r="F14" s="106">
        <f t="shared" si="4"/>
        <v>319717</v>
      </c>
      <c r="G14" s="106">
        <f t="shared" si="4"/>
        <v>1957472</v>
      </c>
      <c r="H14" s="106">
        <f t="shared" si="4"/>
        <v>896026</v>
      </c>
      <c r="I14" s="106">
        <f t="shared" si="4"/>
        <v>10808</v>
      </c>
      <c r="J14" s="106">
        <f t="shared" si="4"/>
        <v>38889</v>
      </c>
      <c r="K14" s="106">
        <f t="shared" si="4"/>
        <v>0</v>
      </c>
      <c r="L14" s="106">
        <f t="shared" si="4"/>
        <v>945723</v>
      </c>
      <c r="M14" s="100">
        <f t="shared" si="2"/>
        <v>2903195</v>
      </c>
    </row>
    <row r="15" spans="1:25" ht="17.25" customHeight="1" thickBot="1" x14ac:dyDescent="0.25">
      <c r="A15" s="98" t="s">
        <v>845</v>
      </c>
      <c r="B15" s="106">
        <f t="shared" si="4"/>
        <v>1582981</v>
      </c>
      <c r="C15" s="106">
        <f t="shared" si="4"/>
        <v>0</v>
      </c>
      <c r="D15" s="106">
        <f t="shared" si="4"/>
        <v>29805</v>
      </c>
      <c r="E15" s="106">
        <f t="shared" si="4"/>
        <v>27576</v>
      </c>
      <c r="F15" s="106">
        <f t="shared" si="4"/>
        <v>319717</v>
      </c>
      <c r="G15" s="106">
        <f t="shared" si="4"/>
        <v>1960079</v>
      </c>
      <c r="H15" s="106">
        <f t="shared" si="4"/>
        <v>896026</v>
      </c>
      <c r="I15" s="106">
        <f t="shared" si="4"/>
        <v>11616</v>
      </c>
      <c r="J15" s="106">
        <f t="shared" si="4"/>
        <v>38889</v>
      </c>
      <c r="K15" s="106">
        <f t="shared" si="4"/>
        <v>0</v>
      </c>
      <c r="L15" s="106">
        <f t="shared" si="4"/>
        <v>946531</v>
      </c>
      <c r="M15" s="100">
        <f t="shared" ref="M15" si="5">SUM(L15,G15)</f>
        <v>2906610</v>
      </c>
    </row>
    <row r="16" spans="1:25" ht="13.5" hidden="1" customHeight="1" thickBot="1" x14ac:dyDescent="0.25">
      <c r="A16" s="98"/>
      <c r="B16" s="106">
        <f t="shared" ref="B16:L16" si="6">B24+B33</f>
        <v>0</v>
      </c>
      <c r="C16" s="106">
        <f t="shared" si="6"/>
        <v>0</v>
      </c>
      <c r="D16" s="106">
        <f t="shared" si="6"/>
        <v>0</v>
      </c>
      <c r="E16" s="106">
        <f t="shared" si="6"/>
        <v>0</v>
      </c>
      <c r="F16" s="106">
        <f t="shared" si="6"/>
        <v>0</v>
      </c>
      <c r="G16" s="106">
        <f t="shared" si="6"/>
        <v>0</v>
      </c>
      <c r="H16" s="106">
        <f t="shared" si="6"/>
        <v>50000</v>
      </c>
      <c r="I16" s="106">
        <f t="shared" si="6"/>
        <v>10300</v>
      </c>
      <c r="J16" s="106">
        <f t="shared" si="6"/>
        <v>0</v>
      </c>
      <c r="K16" s="106">
        <f t="shared" si="6"/>
        <v>0</v>
      </c>
      <c r="L16" s="106">
        <f t="shared" si="6"/>
        <v>60300</v>
      </c>
      <c r="M16" s="100">
        <f t="shared" si="2"/>
        <v>60300</v>
      </c>
    </row>
    <row r="17" spans="1:13" ht="13.5" customHeight="1" thickBot="1" x14ac:dyDescent="0.25">
      <c r="A17" s="98" t="s">
        <v>851</v>
      </c>
      <c r="B17" s="106">
        <f t="shared" ref="B17:L17" si="7">B25+B34</f>
        <v>1507115</v>
      </c>
      <c r="C17" s="106">
        <f t="shared" si="7"/>
        <v>0</v>
      </c>
      <c r="D17" s="106">
        <f t="shared" si="7"/>
        <v>29805</v>
      </c>
      <c r="E17" s="106">
        <f t="shared" si="7"/>
        <v>27576</v>
      </c>
      <c r="F17" s="106">
        <f t="shared" si="7"/>
        <v>319717</v>
      </c>
      <c r="G17" s="106">
        <f t="shared" si="7"/>
        <v>1884213</v>
      </c>
      <c r="H17" s="106">
        <f t="shared" si="7"/>
        <v>394384</v>
      </c>
      <c r="I17" s="106">
        <f t="shared" si="7"/>
        <v>11501</v>
      </c>
      <c r="J17" s="106">
        <f t="shared" si="7"/>
        <v>38889</v>
      </c>
      <c r="K17" s="106">
        <f t="shared" si="7"/>
        <v>0</v>
      </c>
      <c r="L17" s="106">
        <f t="shared" si="7"/>
        <v>444774</v>
      </c>
      <c r="M17" s="100">
        <f t="shared" si="2"/>
        <v>2328987</v>
      </c>
    </row>
    <row r="18" spans="1:13" s="468" customFormat="1" ht="13.5" customHeight="1" x14ac:dyDescent="0.2">
      <c r="A18" s="465" t="s">
        <v>782</v>
      </c>
      <c r="B18" s="393">
        <v>1230140</v>
      </c>
      <c r="C18" s="466"/>
      <c r="D18" s="393">
        <v>32600</v>
      </c>
      <c r="E18" s="393">
        <v>21663</v>
      </c>
      <c r="F18" s="393">
        <v>691496</v>
      </c>
      <c r="G18" s="393">
        <v>1975899</v>
      </c>
      <c r="H18" s="393"/>
      <c r="I18" s="393"/>
      <c r="J18" s="393">
        <v>921073</v>
      </c>
      <c r="K18" s="393"/>
      <c r="L18" s="393">
        <v>921073</v>
      </c>
      <c r="M18" s="467">
        <v>2896972</v>
      </c>
    </row>
    <row r="19" spans="1:13" ht="16.5" customHeight="1" x14ac:dyDescent="0.2">
      <c r="A19" s="246" t="s">
        <v>740</v>
      </c>
      <c r="B19" s="214">
        <f>SUM('7.finanszírozás.'!C10)-'2.működés'!D99</f>
        <v>1707633</v>
      </c>
      <c r="C19" s="306"/>
      <c r="D19" s="214">
        <f>'2.működés'!D99</f>
        <v>23000</v>
      </c>
      <c r="E19" s="214"/>
      <c r="F19" s="214">
        <f>SUM('2.működés'!D108)-F45</f>
        <v>319717</v>
      </c>
      <c r="G19" s="214">
        <f>SUM(B19:F19)</f>
        <v>2050350</v>
      </c>
      <c r="H19" s="214">
        <f>'3.felh'!D13</f>
        <v>846026</v>
      </c>
      <c r="I19" s="214">
        <f>'3.felh'!D34</f>
        <v>10300</v>
      </c>
      <c r="J19" s="214">
        <f>SUM('3.felh'!D40)</f>
        <v>38889</v>
      </c>
      <c r="K19" s="214"/>
      <c r="L19" s="214">
        <f>SUM(H19:K19)</f>
        <v>895215</v>
      </c>
      <c r="M19" s="307">
        <f>SUM(L19,G19)</f>
        <v>2945565</v>
      </c>
    </row>
    <row r="20" spans="1:13" ht="16.5" hidden="1" customHeight="1" x14ac:dyDescent="0.2">
      <c r="A20" s="246" t="s">
        <v>761</v>
      </c>
      <c r="B20" s="214">
        <f>SUM('7.finanszírozás.'!C11-'2.működés'!E99)</f>
        <v>1722255</v>
      </c>
      <c r="C20" s="306"/>
      <c r="D20" s="214">
        <f>SUM('2.működés'!E99)</f>
        <v>23000</v>
      </c>
      <c r="E20" s="214"/>
      <c r="F20" s="214">
        <f>SUM('2.működés'!E108-'7.finanszírozás.'!D38)</f>
        <v>319717</v>
      </c>
      <c r="G20" s="214">
        <f t="shared" ref="G20:G35" si="8">SUM(B20:F20)</f>
        <v>2064972</v>
      </c>
      <c r="H20" s="132">
        <f>'3.felh'!E13</f>
        <v>896026</v>
      </c>
      <c r="I20" s="132">
        <f>'3.felh'!E34</f>
        <v>10300</v>
      </c>
      <c r="J20" s="214">
        <f>'1.Bev-kiad.'!E59</f>
        <v>38889</v>
      </c>
      <c r="K20" s="214"/>
      <c r="L20" s="214">
        <f>SUM(H20:K20)</f>
        <v>945215</v>
      </c>
      <c r="M20" s="307">
        <f t="shared" ref="M20:M35" si="9">SUM(L20,G20)</f>
        <v>3010187</v>
      </c>
    </row>
    <row r="21" spans="1:13" ht="16.5" hidden="1" customHeight="1" x14ac:dyDescent="0.2">
      <c r="A21" s="246" t="s">
        <v>797</v>
      </c>
      <c r="B21" s="214">
        <f>SUM('7.finanszírozás.'!C12-'2.működés'!G99)</f>
        <v>1732402</v>
      </c>
      <c r="C21" s="306"/>
      <c r="D21" s="214">
        <f>SUM('2.működés'!G99)</f>
        <v>23000</v>
      </c>
      <c r="E21" s="214"/>
      <c r="F21" s="214">
        <f>SUM('2.működés'!G108-'7.finanszírozás.'!D39)</f>
        <v>319717</v>
      </c>
      <c r="G21" s="214">
        <f t="shared" ref="G21" si="10">SUM(B21:F21)</f>
        <v>2075119</v>
      </c>
      <c r="H21" s="132">
        <f>'3.felh'!G13</f>
        <v>896026</v>
      </c>
      <c r="I21" s="132">
        <f>'3.felh'!G34</f>
        <v>10300</v>
      </c>
      <c r="J21" s="214">
        <f>'1.Bev-kiad.'!G59</f>
        <v>38889</v>
      </c>
      <c r="K21" s="214"/>
      <c r="L21" s="214">
        <f>SUM(H21:K21)</f>
        <v>945215</v>
      </c>
      <c r="M21" s="307">
        <f t="shared" ref="M21" si="11">SUM(L21,G21)</f>
        <v>3020334</v>
      </c>
    </row>
    <row r="22" spans="1:13" ht="16.5" hidden="1" customHeight="1" x14ac:dyDescent="0.2">
      <c r="A22" s="246" t="s">
        <v>813</v>
      </c>
      <c r="B22" s="214">
        <f>SUM('7.finanszírozás.'!C13-'2.működés'!I99)</f>
        <v>1583789</v>
      </c>
      <c r="C22" s="306"/>
      <c r="D22" s="214">
        <f>SUM('2.működés'!I99)</f>
        <v>29805</v>
      </c>
      <c r="E22" s="214">
        <f>'2.működés'!I113</f>
        <v>24161</v>
      </c>
      <c r="F22" s="214">
        <f>SUM('2.működés'!I108-'7.finanszírozás.'!D40)</f>
        <v>319717</v>
      </c>
      <c r="G22" s="214">
        <f t="shared" si="8"/>
        <v>1957472</v>
      </c>
      <c r="H22" s="132">
        <f>'3.felh'!I13</f>
        <v>896026</v>
      </c>
      <c r="I22" s="132">
        <f>'3.felh'!I34</f>
        <v>10300</v>
      </c>
      <c r="J22" s="214">
        <f>'1.Bev-kiad.'!I59</f>
        <v>38889</v>
      </c>
      <c r="K22" s="214"/>
      <c r="L22" s="214">
        <f t="shared" ref="L22:L35" si="12">SUM(H22:K22)</f>
        <v>945215</v>
      </c>
      <c r="M22" s="307">
        <f t="shared" si="9"/>
        <v>2902687</v>
      </c>
    </row>
    <row r="23" spans="1:13" ht="16.5" customHeight="1" x14ac:dyDescent="0.2">
      <c r="A23" s="246" t="s">
        <v>846</v>
      </c>
      <c r="B23" s="214">
        <f>SUM('7.finanszírozás.'!C14-'2.működés'!K99)</f>
        <v>1582981</v>
      </c>
      <c r="C23" s="306"/>
      <c r="D23" s="214">
        <f>SUM('2.működés'!K99)</f>
        <v>29805</v>
      </c>
      <c r="E23" s="214">
        <f>'2.működés'!K113</f>
        <v>27576</v>
      </c>
      <c r="F23" s="214">
        <f>SUM('2.működés'!K108-'7.finanszírozás.'!D41)</f>
        <v>319717</v>
      </c>
      <c r="G23" s="214">
        <f t="shared" ref="G23" si="13">SUM(B23:F23)</f>
        <v>1960079</v>
      </c>
      <c r="H23" s="132">
        <f>'3.felh'!K13</f>
        <v>896026</v>
      </c>
      <c r="I23" s="132">
        <f>'3.felh'!K34</f>
        <v>11108</v>
      </c>
      <c r="J23" s="214">
        <f>'1.Bev-kiad.'!K59</f>
        <v>38889</v>
      </c>
      <c r="K23" s="214"/>
      <c r="L23" s="214">
        <f t="shared" ref="L23" si="14">SUM(H23:K23)</f>
        <v>946023</v>
      </c>
      <c r="M23" s="307">
        <f t="shared" ref="M23" si="15">SUM(L23,G23)</f>
        <v>2906102</v>
      </c>
    </row>
    <row r="24" spans="1:13" ht="16.5" hidden="1" customHeight="1" x14ac:dyDescent="0.2">
      <c r="A24" s="246"/>
      <c r="B24" s="214"/>
      <c r="C24" s="306"/>
      <c r="D24" s="214"/>
      <c r="E24" s="214"/>
      <c r="F24" s="214"/>
      <c r="G24" s="214">
        <f t="shared" si="8"/>
        <v>0</v>
      </c>
      <c r="H24" s="132">
        <f>'3.felh'!K14</f>
        <v>50000</v>
      </c>
      <c r="I24" s="132">
        <f>'3.felh'!K35</f>
        <v>0</v>
      </c>
      <c r="J24" s="214"/>
      <c r="K24" s="214"/>
      <c r="L24" s="214">
        <f t="shared" si="12"/>
        <v>50000</v>
      </c>
      <c r="M24" s="307">
        <f>SUM(L24,G24)</f>
        <v>50000</v>
      </c>
    </row>
    <row r="25" spans="1:13" ht="16.5" customHeight="1" x14ac:dyDescent="0.2">
      <c r="A25" s="246" t="s">
        <v>850</v>
      </c>
      <c r="B25" s="214">
        <f>SUM('7.finanszírozás.'!C16-'2.működés'!L103)</f>
        <v>1507115</v>
      </c>
      <c r="C25" s="306"/>
      <c r="D25" s="214">
        <f>SUM('2.működés'!L103)</f>
        <v>29805</v>
      </c>
      <c r="E25" s="214">
        <f>'2.működés'!L113</f>
        <v>27576</v>
      </c>
      <c r="F25" s="214">
        <f>SUM('2.működés'!L108-'7.finanszírozás.'!D43)</f>
        <v>319717</v>
      </c>
      <c r="G25" s="214">
        <f>SUM(B25:F25)</f>
        <v>1884213</v>
      </c>
      <c r="H25" s="132">
        <f>'3.felh'!L13</f>
        <v>394384</v>
      </c>
      <c r="I25" s="132">
        <f>'3.felh'!L34</f>
        <v>11101</v>
      </c>
      <c r="J25" s="214">
        <f>'1.Bev-kiad.'!L59</f>
        <v>38889</v>
      </c>
      <c r="K25" s="214"/>
      <c r="L25" s="214">
        <f>SUM(H25:K25)</f>
        <v>444374</v>
      </c>
      <c r="M25" s="307">
        <f>SUM(L25,G25)</f>
        <v>2328587</v>
      </c>
    </row>
    <row r="26" spans="1:13" ht="16.5" hidden="1" customHeight="1" x14ac:dyDescent="0.2">
      <c r="B26" s="214"/>
      <c r="C26" s="306"/>
      <c r="D26" s="214"/>
      <c r="E26" s="214"/>
      <c r="F26" s="214"/>
      <c r="G26" s="214">
        <f t="shared" si="8"/>
        <v>0</v>
      </c>
      <c r="H26" s="214"/>
      <c r="I26" s="214"/>
      <c r="J26" s="214"/>
      <c r="K26" s="214"/>
      <c r="L26" s="214">
        <f t="shared" si="12"/>
        <v>0</v>
      </c>
      <c r="M26" s="307">
        <f>SUM(L26,G26)</f>
        <v>0</v>
      </c>
    </row>
    <row r="27" spans="1:13" s="468" customFormat="1" ht="16.5" customHeight="1" x14ac:dyDescent="0.2">
      <c r="A27" s="465" t="s">
        <v>782</v>
      </c>
      <c r="B27" s="469"/>
      <c r="C27" s="469"/>
      <c r="D27" s="469"/>
      <c r="E27" s="469"/>
      <c r="F27" s="469"/>
      <c r="G27" s="470">
        <v>0</v>
      </c>
      <c r="H27" s="471">
        <v>93469</v>
      </c>
      <c r="I27" s="471">
        <v>118694</v>
      </c>
      <c r="J27" s="472"/>
      <c r="K27" s="470">
        <v>299586</v>
      </c>
      <c r="L27" s="470">
        <v>511749</v>
      </c>
      <c r="M27" s="473">
        <v>511749</v>
      </c>
    </row>
    <row r="28" spans="1:13" ht="16.5" customHeight="1" x14ac:dyDescent="0.2">
      <c r="A28" s="246" t="s">
        <v>741</v>
      </c>
      <c r="B28" s="105"/>
      <c r="C28" s="105"/>
      <c r="D28" s="105"/>
      <c r="E28" s="105"/>
      <c r="F28" s="105"/>
      <c r="G28" s="75">
        <f>SUM(B28:F28)</f>
        <v>0</v>
      </c>
      <c r="H28" s="132"/>
      <c r="I28" s="132">
        <f>SUM('3.felh'!D28)</f>
        <v>508</v>
      </c>
      <c r="J28" s="76"/>
      <c r="K28" s="75"/>
      <c r="L28" s="75">
        <f>SUM(H28:K28)</f>
        <v>508</v>
      </c>
      <c r="M28" s="247">
        <f>SUM(L28,G28)</f>
        <v>508</v>
      </c>
    </row>
    <row r="29" spans="1:13" ht="16.5" hidden="1" customHeight="1" x14ac:dyDescent="0.2">
      <c r="A29" s="246" t="s">
        <v>762</v>
      </c>
      <c r="B29" s="105"/>
      <c r="C29" s="105"/>
      <c r="D29" s="105"/>
      <c r="E29" s="105"/>
      <c r="F29" s="105"/>
      <c r="G29" s="75">
        <f>SUM(B29:F29)</f>
        <v>0</v>
      </c>
      <c r="H29" s="132"/>
      <c r="I29" s="132">
        <f>'3.felh'!E31</f>
        <v>508</v>
      </c>
      <c r="J29" s="76"/>
      <c r="K29" s="75"/>
      <c r="L29" s="75">
        <f t="shared" si="12"/>
        <v>508</v>
      </c>
      <c r="M29" s="247">
        <f t="shared" si="9"/>
        <v>508</v>
      </c>
    </row>
    <row r="30" spans="1:13" ht="16.5" hidden="1" customHeight="1" x14ac:dyDescent="0.2">
      <c r="A30" s="246" t="s">
        <v>798</v>
      </c>
      <c r="B30" s="105"/>
      <c r="C30" s="105"/>
      <c r="D30" s="105"/>
      <c r="E30" s="105"/>
      <c r="F30" s="105"/>
      <c r="G30" s="75">
        <f>SUM(B30:F30)</f>
        <v>0</v>
      </c>
      <c r="H30" s="214"/>
      <c r="I30" s="132">
        <f>'3.felh'!G31</f>
        <v>508</v>
      </c>
      <c r="J30" s="76"/>
      <c r="K30" s="75"/>
      <c r="L30" s="75">
        <f t="shared" ref="L30" si="16">SUM(H30:K30)</f>
        <v>508</v>
      </c>
      <c r="M30" s="247">
        <f t="shared" ref="M30" si="17">SUM(L30,G30)</f>
        <v>508</v>
      </c>
    </row>
    <row r="31" spans="1:13" ht="16.5" hidden="1" customHeight="1" x14ac:dyDescent="0.2">
      <c r="A31" s="246" t="s">
        <v>815</v>
      </c>
      <c r="B31" s="105"/>
      <c r="C31" s="105"/>
      <c r="D31" s="105"/>
      <c r="E31" s="105"/>
      <c r="F31" s="105"/>
      <c r="G31" s="75">
        <f t="shared" si="8"/>
        <v>0</v>
      </c>
      <c r="H31" s="132"/>
      <c r="I31" s="132">
        <f>'3.felh'!I31</f>
        <v>508</v>
      </c>
      <c r="J31" s="76"/>
      <c r="K31" s="75"/>
      <c r="L31" s="75">
        <f t="shared" si="12"/>
        <v>508</v>
      </c>
      <c r="M31" s="247">
        <f t="shared" si="9"/>
        <v>508</v>
      </c>
    </row>
    <row r="32" spans="1:13" ht="16.5" customHeight="1" x14ac:dyDescent="0.2">
      <c r="A32" s="246" t="s">
        <v>847</v>
      </c>
      <c r="B32" s="105"/>
      <c r="C32" s="105"/>
      <c r="D32" s="105"/>
      <c r="E32" s="105"/>
      <c r="F32" s="105"/>
      <c r="G32" s="75">
        <f t="shared" ref="G32" si="18">SUM(B32:F32)</f>
        <v>0</v>
      </c>
      <c r="H32" s="132"/>
      <c r="I32" s="132">
        <f>'3.felh'!K31</f>
        <v>508</v>
      </c>
      <c r="J32" s="76"/>
      <c r="K32" s="75"/>
      <c r="L32" s="75">
        <f t="shared" ref="L32" si="19">SUM(H32:K32)</f>
        <v>508</v>
      </c>
      <c r="M32" s="247">
        <f t="shared" ref="M32" si="20">SUM(L32,G32)</f>
        <v>508</v>
      </c>
    </row>
    <row r="33" spans="1:13" ht="16.5" hidden="1" customHeight="1" x14ac:dyDescent="0.2">
      <c r="A33" s="246"/>
      <c r="B33" s="105"/>
      <c r="C33" s="105"/>
      <c r="D33" s="105"/>
      <c r="E33" s="105"/>
      <c r="F33" s="105"/>
      <c r="G33" s="75">
        <f t="shared" si="8"/>
        <v>0</v>
      </c>
      <c r="H33" s="132"/>
      <c r="I33" s="132">
        <f>'3.felh'!E34</f>
        <v>10300</v>
      </c>
      <c r="J33" s="76"/>
      <c r="K33" s="75"/>
      <c r="L33" s="75">
        <f t="shared" si="12"/>
        <v>10300</v>
      </c>
      <c r="M33" s="247">
        <f>SUM(L33,G33)</f>
        <v>10300</v>
      </c>
    </row>
    <row r="34" spans="1:13" ht="16.5" customHeight="1" x14ac:dyDescent="0.2">
      <c r="A34" s="246" t="str">
        <f>A25</f>
        <v xml:space="preserve">       Teljesítés 2025.12.31.</v>
      </c>
      <c r="B34" s="105"/>
      <c r="C34" s="105"/>
      <c r="D34" s="105"/>
      <c r="E34" s="105"/>
      <c r="F34" s="105"/>
      <c r="G34" s="75">
        <f t="shared" si="8"/>
        <v>0</v>
      </c>
      <c r="H34" s="132"/>
      <c r="I34" s="132">
        <f>'3.felh'!L31</f>
        <v>400</v>
      </c>
      <c r="J34" s="76"/>
      <c r="K34" s="75"/>
      <c r="L34" s="75">
        <f t="shared" si="12"/>
        <v>400</v>
      </c>
      <c r="M34" s="247">
        <f>SUM(L34,G33)</f>
        <v>400</v>
      </c>
    </row>
    <row r="35" spans="1:13" ht="17.25" customHeight="1" thickBot="1" x14ac:dyDescent="0.25">
      <c r="A35" s="308" t="str">
        <f>A53</f>
        <v xml:space="preserve">       Államigazgatási feladatok (eredeti előirányzat 2025. év)</v>
      </c>
      <c r="B35" s="309"/>
      <c r="C35" s="309"/>
      <c r="D35" s="309"/>
      <c r="E35" s="309"/>
      <c r="F35" s="309"/>
      <c r="G35" s="75">
        <f t="shared" si="8"/>
        <v>0</v>
      </c>
      <c r="H35" s="309"/>
      <c r="I35" s="309"/>
      <c r="J35" s="309"/>
      <c r="K35" s="309"/>
      <c r="L35" s="75">
        <f t="shared" si="12"/>
        <v>0</v>
      </c>
      <c r="M35" s="247">
        <f t="shared" si="9"/>
        <v>0</v>
      </c>
    </row>
    <row r="36" spans="1:13" s="468" customFormat="1" ht="15.75" customHeight="1" thickBot="1" x14ac:dyDescent="0.25">
      <c r="A36" s="462" t="s">
        <v>783</v>
      </c>
      <c r="B36" s="463">
        <v>53270</v>
      </c>
      <c r="C36" s="463">
        <v>152912</v>
      </c>
      <c r="D36" s="463">
        <v>0</v>
      </c>
      <c r="E36" s="463">
        <v>52531</v>
      </c>
      <c r="F36" s="463">
        <v>15349</v>
      </c>
      <c r="G36" s="463">
        <v>274062</v>
      </c>
      <c r="H36" s="463"/>
      <c r="I36" s="463"/>
      <c r="J36" s="463"/>
      <c r="K36" s="463"/>
      <c r="L36" s="463">
        <v>0</v>
      </c>
      <c r="M36" s="464">
        <v>274062</v>
      </c>
    </row>
    <row r="37" spans="1:13" ht="15.75" customHeight="1" thickBot="1" x14ac:dyDescent="0.25">
      <c r="A37" s="98" t="s">
        <v>743</v>
      </c>
      <c r="B37" s="106">
        <f>SUM(B45)</f>
        <v>52800</v>
      </c>
      <c r="C37" s="106">
        <f>SUM(C45)</f>
        <v>134735</v>
      </c>
      <c r="D37" s="106">
        <f>SUM(D47)</f>
        <v>0</v>
      </c>
      <c r="E37" s="106">
        <f>SUM(E45)</f>
        <v>88599</v>
      </c>
      <c r="F37" s="106">
        <f>SUM(F45)</f>
        <v>2047</v>
      </c>
      <c r="G37" s="106">
        <f>SUM(G45)</f>
        <v>278181</v>
      </c>
      <c r="H37" s="106"/>
      <c r="I37" s="106"/>
      <c r="J37" s="106"/>
      <c r="K37" s="106"/>
      <c r="L37" s="106">
        <v>0</v>
      </c>
      <c r="M37" s="100">
        <f>SUM(G37)</f>
        <v>278181</v>
      </c>
    </row>
    <row r="38" spans="1:13" ht="15.75" hidden="1" customHeight="1" thickBot="1" x14ac:dyDescent="0.25">
      <c r="A38" s="98" t="s">
        <v>763</v>
      </c>
      <c r="B38" s="106">
        <f t="shared" ref="B38:C38" si="21">SUM(B46)</f>
        <v>52800</v>
      </c>
      <c r="C38" s="106">
        <f t="shared" si="21"/>
        <v>166555</v>
      </c>
      <c r="D38" s="106">
        <f>SUM(D48)</f>
        <v>0</v>
      </c>
      <c r="E38" s="106">
        <f t="shared" ref="E38:G38" si="22">SUM(E46)</f>
        <v>73512</v>
      </c>
      <c r="F38" s="106">
        <f t="shared" si="22"/>
        <v>2047</v>
      </c>
      <c r="G38" s="106">
        <f t="shared" si="22"/>
        <v>294914</v>
      </c>
      <c r="H38" s="106"/>
      <c r="I38" s="106"/>
      <c r="J38" s="106"/>
      <c r="K38" s="106"/>
      <c r="L38" s="106">
        <v>0</v>
      </c>
      <c r="M38" s="100">
        <f t="shared" ref="M38:M43" si="23">SUM(G38)</f>
        <v>294914</v>
      </c>
    </row>
    <row r="39" spans="1:13" ht="15.75" hidden="1" customHeight="1" thickBot="1" x14ac:dyDescent="0.25">
      <c r="A39" s="98" t="s">
        <v>799</v>
      </c>
      <c r="B39" s="106">
        <f t="shared" ref="B39:C39" si="24">SUM(B47)</f>
        <v>53050</v>
      </c>
      <c r="C39" s="106">
        <f t="shared" si="24"/>
        <v>166555</v>
      </c>
      <c r="D39" s="106">
        <f>SUM(D50)</f>
        <v>0</v>
      </c>
      <c r="E39" s="106">
        <f t="shared" ref="E39:G39" si="25">SUM(E47)</f>
        <v>73512</v>
      </c>
      <c r="F39" s="106">
        <f t="shared" si="25"/>
        <v>2047</v>
      </c>
      <c r="G39" s="106">
        <f t="shared" si="25"/>
        <v>295164</v>
      </c>
      <c r="H39" s="106"/>
      <c r="I39" s="106"/>
      <c r="J39" s="106"/>
      <c r="K39" s="106"/>
      <c r="L39" s="106"/>
      <c r="M39" s="100">
        <f t="shared" si="23"/>
        <v>295164</v>
      </c>
    </row>
    <row r="40" spans="1:13" ht="15.75" hidden="1" customHeight="1" thickBot="1" x14ac:dyDescent="0.25">
      <c r="A40" s="98" t="s">
        <v>816</v>
      </c>
      <c r="B40" s="106">
        <f t="shared" ref="B40:C41" si="26">SUM(B48)</f>
        <v>53050</v>
      </c>
      <c r="C40" s="106">
        <f t="shared" si="26"/>
        <v>166555</v>
      </c>
      <c r="D40" s="106">
        <f>SUM(D51)</f>
        <v>0</v>
      </c>
      <c r="E40" s="106">
        <f t="shared" ref="E40:G41" si="27">SUM(E48)</f>
        <v>73512</v>
      </c>
      <c r="F40" s="106">
        <f t="shared" si="27"/>
        <v>2047</v>
      </c>
      <c r="G40" s="106">
        <f t="shared" si="27"/>
        <v>295164</v>
      </c>
      <c r="H40" s="106"/>
      <c r="I40" s="106"/>
      <c r="J40" s="106"/>
      <c r="K40" s="106"/>
      <c r="L40" s="106"/>
      <c r="M40" s="100">
        <f t="shared" si="23"/>
        <v>295164</v>
      </c>
    </row>
    <row r="41" spans="1:13" ht="15.75" customHeight="1" thickBot="1" x14ac:dyDescent="0.25">
      <c r="A41" s="98" t="s">
        <v>848</v>
      </c>
      <c r="B41" s="106">
        <f t="shared" si="26"/>
        <v>53050</v>
      </c>
      <c r="C41" s="106">
        <f t="shared" si="26"/>
        <v>166555</v>
      </c>
      <c r="D41" s="106">
        <f>SUM(D52)</f>
        <v>0</v>
      </c>
      <c r="E41" s="106">
        <f t="shared" si="27"/>
        <v>73512</v>
      </c>
      <c r="F41" s="106">
        <f t="shared" si="27"/>
        <v>2047</v>
      </c>
      <c r="G41" s="106">
        <f t="shared" si="27"/>
        <v>295164</v>
      </c>
      <c r="H41" s="106"/>
      <c r="I41" s="106"/>
      <c r="J41" s="106"/>
      <c r="K41" s="106"/>
      <c r="L41" s="106"/>
      <c r="M41" s="100">
        <f t="shared" ref="M41" si="28">SUM(G41)</f>
        <v>295164</v>
      </c>
    </row>
    <row r="42" spans="1:13" ht="15.75" hidden="1" customHeight="1" thickBot="1" x14ac:dyDescent="0.25">
      <c r="A42" s="98"/>
      <c r="B42" s="106">
        <f t="shared" ref="B42:C42" si="29">SUM(B50)</f>
        <v>51530</v>
      </c>
      <c r="C42" s="106">
        <f t="shared" si="29"/>
        <v>0</v>
      </c>
      <c r="D42" s="106">
        <f t="shared" ref="D42:D43" si="30">SUM(D52)</f>
        <v>0</v>
      </c>
      <c r="E42" s="106">
        <f t="shared" ref="E42:G42" si="31">SUM(E50)</f>
        <v>0</v>
      </c>
      <c r="F42" s="106">
        <f t="shared" si="31"/>
        <v>0</v>
      </c>
      <c r="G42" s="106">
        <f t="shared" si="31"/>
        <v>51530</v>
      </c>
      <c r="H42" s="106"/>
      <c r="I42" s="106"/>
      <c r="J42" s="106"/>
      <c r="K42" s="106"/>
      <c r="L42" s="106"/>
      <c r="M42" s="100">
        <f t="shared" si="23"/>
        <v>51530</v>
      </c>
    </row>
    <row r="43" spans="1:13" ht="15.75" customHeight="1" thickBot="1" x14ac:dyDescent="0.25">
      <c r="A43" s="98" t="s">
        <v>849</v>
      </c>
      <c r="B43" s="106">
        <f t="shared" ref="B43:C43" si="32">SUM(B51)</f>
        <v>52814</v>
      </c>
      <c r="C43" s="106">
        <f t="shared" si="32"/>
        <v>166555</v>
      </c>
      <c r="D43" s="106">
        <f t="shared" si="30"/>
        <v>0</v>
      </c>
      <c r="E43" s="106">
        <f t="shared" ref="E43:G43" si="33">SUM(E51)</f>
        <v>73512</v>
      </c>
      <c r="F43" s="106">
        <f t="shared" si="33"/>
        <v>2047</v>
      </c>
      <c r="G43" s="106">
        <f t="shared" si="33"/>
        <v>294928</v>
      </c>
      <c r="H43" s="106"/>
      <c r="I43" s="106"/>
      <c r="J43" s="106"/>
      <c r="K43" s="106"/>
      <c r="L43" s="106"/>
      <c r="M43" s="100">
        <f t="shared" si="23"/>
        <v>294928</v>
      </c>
    </row>
    <row r="44" spans="1:13" s="468" customFormat="1" ht="15.75" customHeight="1" x14ac:dyDescent="0.2">
      <c r="A44" s="474" t="s">
        <v>782</v>
      </c>
      <c r="B44" s="470">
        <v>53270</v>
      </c>
      <c r="C44" s="470">
        <v>152912</v>
      </c>
      <c r="D44" s="470"/>
      <c r="E44" s="470">
        <v>52531</v>
      </c>
      <c r="F44" s="470">
        <v>15349</v>
      </c>
      <c r="G44" s="470">
        <v>274062</v>
      </c>
      <c r="H44" s="475"/>
      <c r="I44" s="475"/>
      <c r="J44" s="475"/>
      <c r="K44" s="475"/>
      <c r="L44" s="475">
        <v>0</v>
      </c>
      <c r="M44" s="473">
        <v>274062</v>
      </c>
    </row>
    <row r="45" spans="1:13" ht="18.75" customHeight="1" x14ac:dyDescent="0.2">
      <c r="A45" s="310" t="str">
        <f>A19</f>
        <v xml:space="preserve">       Kötelező (eredeti előirányzat 2025. év)</v>
      </c>
      <c r="B45" s="75">
        <f>SUM('7.finanszírozás.'!D10)</f>
        <v>52800</v>
      </c>
      <c r="C45" s="75">
        <f>SUM('7.finanszírozás.'!D51)</f>
        <v>134735</v>
      </c>
      <c r="D45" s="75"/>
      <c r="E45" s="75">
        <f>SUM('7.finanszírozás.'!D60)</f>
        <v>88599</v>
      </c>
      <c r="F45" s="75">
        <f>SUM('7.finanszírozás.'!D37)</f>
        <v>2047</v>
      </c>
      <c r="G45" s="75">
        <f t="shared" ref="G45:G53" si="34">SUM(B45:F45)</f>
        <v>278181</v>
      </c>
      <c r="H45" s="104"/>
      <c r="I45" s="104"/>
      <c r="J45" s="104"/>
      <c r="K45" s="104"/>
      <c r="L45" s="104">
        <v>0</v>
      </c>
      <c r="M45" s="247">
        <f t="shared" ref="M45:M53" si="35">SUM(G45)</f>
        <v>278181</v>
      </c>
    </row>
    <row r="46" spans="1:13" ht="15.75" hidden="1" customHeight="1" x14ac:dyDescent="0.2">
      <c r="A46" s="310" t="str">
        <f>A20</f>
        <v xml:space="preserve">       Kötelező (módosított előirányzat 2025.06. havi)</v>
      </c>
      <c r="B46" s="75">
        <f>SUM('7.finanszírozás.'!D11)</f>
        <v>52800</v>
      </c>
      <c r="C46" s="75">
        <f>SUM('7.finanszírozás.'!D52)</f>
        <v>166555</v>
      </c>
      <c r="D46" s="75"/>
      <c r="E46" s="75">
        <f>SUM('7.finanszírozás.'!D61)</f>
        <v>73512</v>
      </c>
      <c r="F46" s="75">
        <f>SUM('7.finanszírozás.'!D38)</f>
        <v>2047</v>
      </c>
      <c r="G46" s="75">
        <f t="shared" si="34"/>
        <v>294914</v>
      </c>
      <c r="H46" s="104"/>
      <c r="I46" s="104"/>
      <c r="J46" s="104"/>
      <c r="K46" s="104"/>
      <c r="L46" s="104">
        <v>0</v>
      </c>
      <c r="M46" s="247">
        <f t="shared" si="35"/>
        <v>294914</v>
      </c>
    </row>
    <row r="47" spans="1:13" ht="15.75" hidden="1" customHeight="1" x14ac:dyDescent="0.2">
      <c r="A47" s="310" t="str">
        <f>A21</f>
        <v xml:space="preserve">       Kötelező (módosított előirányzat 2025.09.havi)</v>
      </c>
      <c r="B47" s="75">
        <f>SUM('7.finanszírozás.'!D12)</f>
        <v>53050</v>
      </c>
      <c r="C47" s="75">
        <f>SUM('7.finanszírozás.'!D53)</f>
        <v>166555</v>
      </c>
      <c r="D47" s="75"/>
      <c r="E47" s="75">
        <f>SUM('7.finanszírozás.'!E61)</f>
        <v>73512</v>
      </c>
      <c r="F47" s="75">
        <f>SUM('7.finanszírozás.'!D39)</f>
        <v>2047</v>
      </c>
      <c r="G47" s="75">
        <f t="shared" si="34"/>
        <v>295164</v>
      </c>
      <c r="H47" s="104"/>
      <c r="I47" s="104"/>
      <c r="J47" s="104"/>
      <c r="K47" s="104"/>
      <c r="L47" s="104">
        <v>0</v>
      </c>
      <c r="M47" s="247">
        <f t="shared" si="35"/>
        <v>295164</v>
      </c>
    </row>
    <row r="48" spans="1:13" ht="15.75" hidden="1" customHeight="1" x14ac:dyDescent="0.2">
      <c r="A48" s="310" t="str">
        <f>A22</f>
        <v xml:space="preserve">       Kötelező (módosított előirányzat 2025.12.havi)</v>
      </c>
      <c r="B48" s="75">
        <f>SUM('7.finanszírozás.'!D13)</f>
        <v>53050</v>
      </c>
      <c r="C48" s="75">
        <f>SUM('7.finanszírozás.'!D54)</f>
        <v>166555</v>
      </c>
      <c r="D48" s="75"/>
      <c r="E48" s="75">
        <f>SUM('7.finanszírozás.'!D63)</f>
        <v>73512</v>
      </c>
      <c r="F48" s="75">
        <f>SUM('7.finanszírozás.'!D40)</f>
        <v>2047</v>
      </c>
      <c r="G48" s="75">
        <f t="shared" si="34"/>
        <v>295164</v>
      </c>
      <c r="H48" s="104"/>
      <c r="I48" s="104"/>
      <c r="J48" s="104"/>
      <c r="K48" s="104"/>
      <c r="L48" s="104">
        <v>0</v>
      </c>
      <c r="M48" s="247">
        <f t="shared" si="35"/>
        <v>295164</v>
      </c>
    </row>
    <row r="49" spans="1:13" ht="15.75" customHeight="1" x14ac:dyDescent="0.2">
      <c r="A49" s="310" t="str">
        <f>A23</f>
        <v xml:space="preserve">       Kötelező (módosított előirányzat 2025.12.31)</v>
      </c>
      <c r="B49" s="75">
        <f>SUM('7.finanszírozás.'!D14)</f>
        <v>53050</v>
      </c>
      <c r="C49" s="75">
        <f>SUM('7.finanszírozás.'!D55)</f>
        <v>166555</v>
      </c>
      <c r="D49" s="75"/>
      <c r="E49" s="75">
        <f>SUM('7.finanszírozás.'!D64)</f>
        <v>73512</v>
      </c>
      <c r="F49" s="75">
        <f>SUM('7.finanszírozás.'!D41)</f>
        <v>2047</v>
      </c>
      <c r="G49" s="75">
        <f t="shared" ref="G49" si="36">SUM(B49:F49)</f>
        <v>295164</v>
      </c>
      <c r="H49" s="104"/>
      <c r="I49" s="104"/>
      <c r="J49" s="104"/>
      <c r="K49" s="104"/>
      <c r="L49" s="104">
        <v>0</v>
      </c>
      <c r="M49" s="247">
        <f t="shared" ref="M49" si="37">SUM(G49)</f>
        <v>295164</v>
      </c>
    </row>
    <row r="50" spans="1:13" ht="15.75" hidden="1" customHeight="1" x14ac:dyDescent="0.2">
      <c r="A50" s="310"/>
      <c r="B50" s="75">
        <f>SUM('7.finanszírozás.'!D15)</f>
        <v>51530</v>
      </c>
      <c r="C50" s="75">
        <f>SUM('7.finanszírozás.'!D56)</f>
        <v>0</v>
      </c>
      <c r="D50" s="75"/>
      <c r="E50" s="75">
        <f>SUM('7.finanszírozás.'!D65)</f>
        <v>0</v>
      </c>
      <c r="F50" s="75">
        <f>SUM('7.finanszírozás.'!D42)</f>
        <v>0</v>
      </c>
      <c r="G50" s="75">
        <f t="shared" si="34"/>
        <v>51530</v>
      </c>
      <c r="H50" s="104"/>
      <c r="I50" s="104"/>
      <c r="J50" s="104"/>
      <c r="K50" s="104"/>
      <c r="L50" s="104"/>
      <c r="M50" s="247">
        <f t="shared" si="35"/>
        <v>51530</v>
      </c>
    </row>
    <row r="51" spans="1:13" ht="15.75" customHeight="1" x14ac:dyDescent="0.2">
      <c r="A51" s="310" t="str">
        <f>A25</f>
        <v xml:space="preserve">       Teljesítés 2025.12.31.</v>
      </c>
      <c r="B51" s="75">
        <f>SUM('7.finanszírozás.'!D16)</f>
        <v>52814</v>
      </c>
      <c r="C51" s="75">
        <f>SUM('7.finanszírozás.'!D57)</f>
        <v>166555</v>
      </c>
      <c r="D51" s="75"/>
      <c r="E51" s="75">
        <f>SUM('7.finanszírozás.'!D66)</f>
        <v>73512</v>
      </c>
      <c r="F51" s="75">
        <f>SUM('7.finanszírozás.'!D43)</f>
        <v>2047</v>
      </c>
      <c r="G51" s="75">
        <f t="shared" si="34"/>
        <v>294928</v>
      </c>
      <c r="H51" s="104"/>
      <c r="I51" s="104"/>
      <c r="J51" s="104"/>
      <c r="K51" s="104"/>
      <c r="L51" s="104"/>
      <c r="M51" s="247">
        <f t="shared" si="35"/>
        <v>294928</v>
      </c>
    </row>
    <row r="52" spans="1:13" ht="16.5" customHeight="1" x14ac:dyDescent="0.2">
      <c r="A52" s="246" t="str">
        <f>A28</f>
        <v xml:space="preserve">       Önként vállalt (eredeti előirányzat 2025. év)</v>
      </c>
      <c r="B52" s="75"/>
      <c r="C52" s="75"/>
      <c r="D52" s="75"/>
      <c r="E52" s="75"/>
      <c r="F52" s="75"/>
      <c r="G52" s="75">
        <f t="shared" si="34"/>
        <v>0</v>
      </c>
      <c r="H52" s="75"/>
      <c r="I52" s="75"/>
      <c r="J52" s="75"/>
      <c r="K52" s="75"/>
      <c r="L52" s="75">
        <v>0</v>
      </c>
      <c r="M52" s="247">
        <f t="shared" si="35"/>
        <v>0</v>
      </c>
    </row>
    <row r="53" spans="1:13" ht="16.5" customHeight="1" thickBot="1" x14ac:dyDescent="0.25">
      <c r="A53" s="308" t="s">
        <v>742</v>
      </c>
      <c r="B53" s="75"/>
      <c r="C53" s="75"/>
      <c r="D53" s="75"/>
      <c r="E53" s="75"/>
      <c r="F53" s="75"/>
      <c r="G53" s="75">
        <f t="shared" si="34"/>
        <v>0</v>
      </c>
      <c r="H53" s="75"/>
      <c r="I53" s="75"/>
      <c r="J53" s="75"/>
      <c r="K53" s="75"/>
      <c r="L53" s="75">
        <v>0</v>
      </c>
      <c r="M53" s="247">
        <f t="shared" si="35"/>
        <v>0</v>
      </c>
    </row>
    <row r="54" spans="1:13" s="468" customFormat="1" ht="16.5" thickBot="1" x14ac:dyDescent="0.25">
      <c r="A54" s="476" t="s">
        <v>784</v>
      </c>
      <c r="B54" s="477">
        <v>1283410</v>
      </c>
      <c r="C54" s="477">
        <v>152912</v>
      </c>
      <c r="D54" s="477">
        <v>32600</v>
      </c>
      <c r="E54" s="477">
        <v>74194</v>
      </c>
      <c r="F54" s="477">
        <v>706845</v>
      </c>
      <c r="G54" s="477">
        <v>2249961</v>
      </c>
      <c r="H54" s="477">
        <v>93469</v>
      </c>
      <c r="I54" s="477">
        <v>118694</v>
      </c>
      <c r="J54" s="477">
        <v>921073</v>
      </c>
      <c r="K54" s="477">
        <v>299586</v>
      </c>
      <c r="L54" s="477">
        <v>1432822</v>
      </c>
      <c r="M54" s="478">
        <v>3682783</v>
      </c>
    </row>
    <row r="55" spans="1:13" ht="16.5" thickBot="1" x14ac:dyDescent="0.25">
      <c r="A55" s="311" t="s">
        <v>744</v>
      </c>
      <c r="B55" s="108">
        <f t="shared" ref="B55:L55" si="38">SUM(B11+B37)</f>
        <v>1760433</v>
      </c>
      <c r="C55" s="108">
        <f t="shared" si="38"/>
        <v>134735</v>
      </c>
      <c r="D55" s="108">
        <f t="shared" si="38"/>
        <v>23000</v>
      </c>
      <c r="E55" s="108">
        <f t="shared" si="38"/>
        <v>88599</v>
      </c>
      <c r="F55" s="108">
        <f t="shared" si="38"/>
        <v>321764</v>
      </c>
      <c r="G55" s="108">
        <f t="shared" si="38"/>
        <v>2328531</v>
      </c>
      <c r="H55" s="108">
        <f t="shared" si="38"/>
        <v>846026</v>
      </c>
      <c r="I55" s="108">
        <f t="shared" si="38"/>
        <v>10808</v>
      </c>
      <c r="J55" s="108">
        <f t="shared" si="38"/>
        <v>38889</v>
      </c>
      <c r="K55" s="108">
        <f t="shared" si="38"/>
        <v>0</v>
      </c>
      <c r="L55" s="108">
        <f t="shared" si="38"/>
        <v>895723</v>
      </c>
      <c r="M55" s="109">
        <f>SUM(L55,G55)</f>
        <v>3224254</v>
      </c>
    </row>
    <row r="56" spans="1:13" ht="16.5" hidden="1" thickBot="1" x14ac:dyDescent="0.25">
      <c r="A56" s="311" t="s">
        <v>764</v>
      </c>
      <c r="B56" s="108">
        <f t="shared" ref="B56:L56" si="39">SUM(B12+B38)</f>
        <v>1775055</v>
      </c>
      <c r="C56" s="108">
        <f t="shared" si="39"/>
        <v>166555</v>
      </c>
      <c r="D56" s="108">
        <f t="shared" si="39"/>
        <v>23000</v>
      </c>
      <c r="E56" s="108">
        <f t="shared" si="39"/>
        <v>73512</v>
      </c>
      <c r="F56" s="108">
        <f t="shared" si="39"/>
        <v>321764</v>
      </c>
      <c r="G56" s="108">
        <f t="shared" si="39"/>
        <v>2359886</v>
      </c>
      <c r="H56" s="108">
        <f t="shared" si="39"/>
        <v>896026</v>
      </c>
      <c r="I56" s="108">
        <f t="shared" si="39"/>
        <v>10808</v>
      </c>
      <c r="J56" s="108">
        <f t="shared" si="39"/>
        <v>38889</v>
      </c>
      <c r="K56" s="108">
        <f t="shared" si="39"/>
        <v>0</v>
      </c>
      <c r="L56" s="108">
        <f t="shared" si="39"/>
        <v>945723</v>
      </c>
      <c r="M56" s="109">
        <f t="shared" ref="M56:M61" si="40">SUM(L56,G56)</f>
        <v>3305609</v>
      </c>
    </row>
    <row r="57" spans="1:13" ht="16.5" hidden="1" customHeight="1" thickBot="1" x14ac:dyDescent="0.25">
      <c r="A57" s="311" t="s">
        <v>800</v>
      </c>
      <c r="B57" s="108">
        <f t="shared" ref="B57:L57" si="41">SUM(B13+B39)</f>
        <v>1785452</v>
      </c>
      <c r="C57" s="108">
        <f t="shared" si="41"/>
        <v>166555</v>
      </c>
      <c r="D57" s="108">
        <f t="shared" si="41"/>
        <v>23000</v>
      </c>
      <c r="E57" s="108">
        <f t="shared" si="41"/>
        <v>73512</v>
      </c>
      <c r="F57" s="108">
        <f t="shared" si="41"/>
        <v>321764</v>
      </c>
      <c r="G57" s="108">
        <f t="shared" si="41"/>
        <v>2370283</v>
      </c>
      <c r="H57" s="108">
        <f t="shared" si="41"/>
        <v>896026</v>
      </c>
      <c r="I57" s="108">
        <f t="shared" si="41"/>
        <v>10808</v>
      </c>
      <c r="J57" s="108">
        <f t="shared" si="41"/>
        <v>38889</v>
      </c>
      <c r="K57" s="108">
        <f t="shared" si="41"/>
        <v>0</v>
      </c>
      <c r="L57" s="108">
        <f t="shared" si="41"/>
        <v>945723</v>
      </c>
      <c r="M57" s="109">
        <f t="shared" si="40"/>
        <v>3316006</v>
      </c>
    </row>
    <row r="58" spans="1:13" ht="16.5" hidden="1" thickBot="1" x14ac:dyDescent="0.25">
      <c r="A58" s="311" t="s">
        <v>817</v>
      </c>
      <c r="B58" s="108">
        <f t="shared" ref="B58:L59" si="42">SUM(B14+B40)</f>
        <v>1636839</v>
      </c>
      <c r="C58" s="108">
        <f t="shared" si="42"/>
        <v>166555</v>
      </c>
      <c r="D58" s="108">
        <f t="shared" si="42"/>
        <v>29805</v>
      </c>
      <c r="E58" s="108">
        <f t="shared" si="42"/>
        <v>97673</v>
      </c>
      <c r="F58" s="108">
        <f t="shared" si="42"/>
        <v>321764</v>
      </c>
      <c r="G58" s="108">
        <f t="shared" si="42"/>
        <v>2252636</v>
      </c>
      <c r="H58" s="108">
        <f t="shared" si="42"/>
        <v>896026</v>
      </c>
      <c r="I58" s="108">
        <f t="shared" si="42"/>
        <v>10808</v>
      </c>
      <c r="J58" s="108">
        <f t="shared" si="42"/>
        <v>38889</v>
      </c>
      <c r="K58" s="108">
        <f t="shared" si="42"/>
        <v>0</v>
      </c>
      <c r="L58" s="108">
        <f t="shared" si="42"/>
        <v>945723</v>
      </c>
      <c r="M58" s="109">
        <f t="shared" si="40"/>
        <v>3198359</v>
      </c>
    </row>
    <row r="59" spans="1:13" ht="16.5" thickBot="1" x14ac:dyDescent="0.25">
      <c r="A59" s="311" t="s">
        <v>852</v>
      </c>
      <c r="B59" s="108">
        <f t="shared" si="42"/>
        <v>1636031</v>
      </c>
      <c r="C59" s="108">
        <f t="shared" si="42"/>
        <v>166555</v>
      </c>
      <c r="D59" s="108">
        <f t="shared" si="42"/>
        <v>29805</v>
      </c>
      <c r="E59" s="108">
        <f t="shared" si="42"/>
        <v>101088</v>
      </c>
      <c r="F59" s="108">
        <f t="shared" si="42"/>
        <v>321764</v>
      </c>
      <c r="G59" s="108">
        <f t="shared" si="42"/>
        <v>2255243</v>
      </c>
      <c r="H59" s="108">
        <f t="shared" si="42"/>
        <v>896026</v>
      </c>
      <c r="I59" s="108">
        <f t="shared" si="42"/>
        <v>11616</v>
      </c>
      <c r="J59" s="108">
        <f t="shared" si="42"/>
        <v>38889</v>
      </c>
      <c r="K59" s="108">
        <f t="shared" si="42"/>
        <v>0</v>
      </c>
      <c r="L59" s="108">
        <f t="shared" si="42"/>
        <v>946531</v>
      </c>
      <c r="M59" s="109">
        <f t="shared" ref="M59" si="43">SUM(L59,G59)</f>
        <v>3201774</v>
      </c>
    </row>
    <row r="60" spans="1:13" ht="16.5" hidden="1" thickBot="1" x14ac:dyDescent="0.25">
      <c r="A60" s="311"/>
      <c r="B60" s="108">
        <f t="shared" ref="B60:L60" si="44">SUM(B16+B42)</f>
        <v>51530</v>
      </c>
      <c r="C60" s="108">
        <f t="shared" si="44"/>
        <v>0</v>
      </c>
      <c r="D60" s="108">
        <f t="shared" si="44"/>
        <v>0</v>
      </c>
      <c r="E60" s="108">
        <f t="shared" si="44"/>
        <v>0</v>
      </c>
      <c r="F60" s="108">
        <f t="shared" si="44"/>
        <v>0</v>
      </c>
      <c r="G60" s="108">
        <f t="shared" si="44"/>
        <v>51530</v>
      </c>
      <c r="H60" s="108">
        <f t="shared" si="44"/>
        <v>50000</v>
      </c>
      <c r="I60" s="108">
        <f t="shared" si="44"/>
        <v>10300</v>
      </c>
      <c r="J60" s="108">
        <f t="shared" si="44"/>
        <v>0</v>
      </c>
      <c r="K60" s="108">
        <f t="shared" si="44"/>
        <v>0</v>
      </c>
      <c r="L60" s="108">
        <f t="shared" si="44"/>
        <v>60300</v>
      </c>
      <c r="M60" s="109">
        <f t="shared" si="40"/>
        <v>111830</v>
      </c>
    </row>
    <row r="61" spans="1:13" ht="16.5" thickBot="1" x14ac:dyDescent="0.25">
      <c r="A61" s="311" t="s">
        <v>853</v>
      </c>
      <c r="B61" s="108">
        <f t="shared" ref="B61:L61" si="45">SUM(B17+B43)</f>
        <v>1559929</v>
      </c>
      <c r="C61" s="108">
        <f t="shared" si="45"/>
        <v>166555</v>
      </c>
      <c r="D61" s="108">
        <f t="shared" si="45"/>
        <v>29805</v>
      </c>
      <c r="E61" s="108">
        <f t="shared" si="45"/>
        <v>101088</v>
      </c>
      <c r="F61" s="108">
        <f t="shared" si="45"/>
        <v>321764</v>
      </c>
      <c r="G61" s="108">
        <f t="shared" si="45"/>
        <v>2179141</v>
      </c>
      <c r="H61" s="108">
        <f t="shared" si="45"/>
        <v>394384</v>
      </c>
      <c r="I61" s="108">
        <f t="shared" si="45"/>
        <v>11501</v>
      </c>
      <c r="J61" s="108">
        <f t="shared" si="45"/>
        <v>38889</v>
      </c>
      <c r="K61" s="108">
        <f t="shared" si="45"/>
        <v>0</v>
      </c>
      <c r="L61" s="108">
        <f t="shared" si="45"/>
        <v>444774</v>
      </c>
      <c r="M61" s="109">
        <f t="shared" si="40"/>
        <v>2623915</v>
      </c>
    </row>
    <row r="62" spans="1:13" ht="12.95" customHeight="1" x14ac:dyDescent="0.2">
      <c r="A62" s="63" t="s">
        <v>331</v>
      </c>
      <c r="M62" s="304">
        <f>SUM('7.finanszírozás.'!F89)</f>
        <v>-240067</v>
      </c>
    </row>
    <row r="63" spans="1:13" ht="12.75" customHeight="1" x14ac:dyDescent="0.2">
      <c r="A63" s="63" t="s">
        <v>334</v>
      </c>
      <c r="M63" s="305">
        <f>SUM(M61+M62)</f>
        <v>2383848</v>
      </c>
    </row>
    <row r="64" spans="1:13" ht="12.95" customHeight="1" x14ac:dyDescent="0.2">
      <c r="A64" s="63" t="s">
        <v>855</v>
      </c>
      <c r="B64" s="304">
        <f>SUM(B61/B59)*100</f>
        <v>95.348376650564688</v>
      </c>
      <c r="C64" s="304">
        <f t="shared" ref="C64:M64" si="46">SUM(C61/C59)*100</f>
        <v>100</v>
      </c>
      <c r="D64" s="304">
        <f t="shared" si="46"/>
        <v>100</v>
      </c>
      <c r="E64" s="304">
        <f t="shared" si="46"/>
        <v>100</v>
      </c>
      <c r="F64" s="304">
        <f t="shared" si="46"/>
        <v>100</v>
      </c>
      <c r="G64" s="304">
        <f t="shared" si="46"/>
        <v>96.625552102367678</v>
      </c>
      <c r="H64" s="304">
        <f t="shared" si="46"/>
        <v>44.014794213560762</v>
      </c>
      <c r="I64" s="304">
        <f t="shared" si="46"/>
        <v>99.009986225895318</v>
      </c>
      <c r="J64" s="304">
        <f t="shared" si="46"/>
        <v>100</v>
      </c>
      <c r="L64" s="304">
        <f t="shared" si="46"/>
        <v>46.989903130483839</v>
      </c>
      <c r="M64" s="304">
        <f t="shared" si="46"/>
        <v>81.951911658974055</v>
      </c>
    </row>
  </sheetData>
  <mergeCells count="16">
    <mergeCell ref="L8:L9"/>
    <mergeCell ref="A1:M1"/>
    <mergeCell ref="A5:M5"/>
    <mergeCell ref="A7:A9"/>
    <mergeCell ref="B7:G7"/>
    <mergeCell ref="H7:L7"/>
    <mergeCell ref="M7:M9"/>
    <mergeCell ref="B8:B9"/>
    <mergeCell ref="C8:D8"/>
    <mergeCell ref="E8:E9"/>
    <mergeCell ref="F8:F9"/>
    <mergeCell ref="G8:G9"/>
    <mergeCell ref="H8:H9"/>
    <mergeCell ref="I8:I9"/>
    <mergeCell ref="J8:J9"/>
    <mergeCell ref="K8:K9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71"/>
  <sheetViews>
    <sheetView zoomScale="90" zoomScaleNormal="90" zoomScaleSheetLayoutView="100" workbookViewId="0">
      <selection activeCell="A5" sqref="A5"/>
    </sheetView>
  </sheetViews>
  <sheetFormatPr defaultRowHeight="12.75" x14ac:dyDescent="0.2"/>
  <cols>
    <col min="1" max="1" width="47.140625" style="65" customWidth="1"/>
    <col min="2" max="2" width="10" style="60" bestFit="1" customWidth="1"/>
    <col min="3" max="3" width="9.42578125" style="60" bestFit="1" customWidth="1"/>
    <col min="4" max="4" width="10" style="60" bestFit="1" customWidth="1"/>
    <col min="5" max="6" width="9.42578125" style="60" bestFit="1" customWidth="1"/>
    <col min="7" max="7" width="11.28515625" style="60" customWidth="1"/>
    <col min="8" max="8" width="12" style="60" customWidth="1"/>
    <col min="9" max="9" width="10.28515625" style="60" customWidth="1"/>
    <col min="10" max="10" width="11.42578125" style="60" customWidth="1"/>
    <col min="11" max="11" width="10" style="60" customWidth="1"/>
    <col min="12" max="12" width="11.42578125" style="60" customWidth="1"/>
    <col min="13" max="13" width="9.42578125" style="60" bestFit="1" customWidth="1"/>
    <col min="14" max="14" width="11.5703125" style="60" customWidth="1"/>
    <col min="15" max="15" width="12.140625" style="60" customWidth="1"/>
    <col min="16" max="16" width="4.7109375" style="59" customWidth="1"/>
    <col min="17" max="17" width="4" style="59" customWidth="1"/>
    <col min="18" max="18" width="6.85546875" style="59" customWidth="1"/>
    <col min="19" max="20" width="4.42578125" style="59" customWidth="1"/>
    <col min="21" max="21" width="4.140625" style="59" customWidth="1"/>
    <col min="22" max="24" width="4" style="59" customWidth="1"/>
    <col min="25" max="25" width="5.7109375" style="59" customWidth="1"/>
    <col min="26" max="16384" width="9.140625" style="59"/>
  </cols>
  <sheetData>
    <row r="1" spans="1:30" ht="15" customHeight="1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 t="s">
        <v>207</v>
      </c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30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300" t="str">
        <f>'1.Bev-kiad.'!L2</f>
        <v>a 9/2026.(V.29.) önkormányzati rendelethez</v>
      </c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30" ht="15" customHeight="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300"/>
      <c r="P3" s="58"/>
      <c r="Q3" s="58"/>
      <c r="R3" s="58"/>
      <c r="S3" s="58"/>
      <c r="T3" s="58"/>
      <c r="U3" s="58"/>
      <c r="V3" s="60"/>
      <c r="W3" s="60"/>
      <c r="X3" s="60"/>
      <c r="Y3" s="60"/>
    </row>
    <row r="4" spans="1:30" ht="38.25" customHeight="1" x14ac:dyDescent="0.2">
      <c r="A4" s="730" t="s">
        <v>1172</v>
      </c>
      <c r="B4" s="731"/>
      <c r="C4" s="731"/>
      <c r="D4" s="731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58"/>
      <c r="Q4" s="58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</row>
    <row r="5" spans="1:30" ht="13.5" customHeight="1" thickBot="1" x14ac:dyDescent="0.25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250" t="s">
        <v>376</v>
      </c>
    </row>
    <row r="6" spans="1:30" s="63" customFormat="1" ht="14.25" customHeight="1" x14ac:dyDescent="0.2">
      <c r="A6" s="732"/>
      <c r="B6" s="714" t="s">
        <v>30</v>
      </c>
      <c r="C6" s="715"/>
      <c r="D6" s="715"/>
      <c r="E6" s="715"/>
      <c r="F6" s="715"/>
      <c r="G6" s="715"/>
      <c r="H6" s="715"/>
      <c r="I6" s="716"/>
      <c r="J6" s="735" t="s">
        <v>31</v>
      </c>
      <c r="K6" s="735" t="s">
        <v>32</v>
      </c>
      <c r="L6" s="735"/>
      <c r="M6" s="735"/>
      <c r="N6" s="735"/>
      <c r="O6" s="738" t="s">
        <v>7</v>
      </c>
      <c r="P6" s="741" t="s">
        <v>785</v>
      </c>
      <c r="Q6" s="741" t="s">
        <v>787</v>
      </c>
      <c r="R6" s="724" t="s">
        <v>788</v>
      </c>
      <c r="S6" s="724" t="s">
        <v>794</v>
      </c>
      <c r="T6" s="741" t="s">
        <v>786</v>
      </c>
      <c r="U6" s="741" t="s">
        <v>793</v>
      </c>
      <c r="V6" s="724" t="s">
        <v>789</v>
      </c>
      <c r="W6" s="724" t="s">
        <v>790</v>
      </c>
      <c r="X6" s="724" t="s">
        <v>791</v>
      </c>
    </row>
    <row r="7" spans="1:30" s="63" customFormat="1" ht="63.75" customHeight="1" x14ac:dyDescent="0.2">
      <c r="A7" s="733"/>
      <c r="B7" s="707" t="s">
        <v>33</v>
      </c>
      <c r="C7" s="707" t="s">
        <v>68</v>
      </c>
      <c r="D7" s="707" t="s">
        <v>34</v>
      </c>
      <c r="E7" s="707" t="s">
        <v>352</v>
      </c>
      <c r="F7" s="707" t="s">
        <v>35</v>
      </c>
      <c r="G7" s="728" t="s">
        <v>50</v>
      </c>
      <c r="H7" s="729"/>
      <c r="I7" s="707" t="s">
        <v>290</v>
      </c>
      <c r="J7" s="736"/>
      <c r="K7" s="707" t="s">
        <v>36</v>
      </c>
      <c r="L7" s="707" t="s">
        <v>37</v>
      </c>
      <c r="M7" s="707" t="s">
        <v>38</v>
      </c>
      <c r="N7" s="736" t="s">
        <v>10</v>
      </c>
      <c r="O7" s="739"/>
      <c r="P7" s="742"/>
      <c r="Q7" s="742"/>
      <c r="R7" s="725"/>
      <c r="S7" s="725"/>
      <c r="T7" s="742"/>
      <c r="U7" s="742"/>
      <c r="V7" s="725"/>
      <c r="W7" s="725"/>
      <c r="X7" s="725"/>
    </row>
    <row r="8" spans="1:30" ht="35.25" customHeight="1" thickBot="1" x14ac:dyDescent="0.25">
      <c r="A8" s="734"/>
      <c r="B8" s="727"/>
      <c r="C8" s="727"/>
      <c r="D8" s="727"/>
      <c r="E8" s="727"/>
      <c r="F8" s="727"/>
      <c r="G8" s="181" t="s">
        <v>340</v>
      </c>
      <c r="H8" s="181" t="s">
        <v>341</v>
      </c>
      <c r="I8" s="727"/>
      <c r="J8" s="737"/>
      <c r="K8" s="727"/>
      <c r="L8" s="727"/>
      <c r="M8" s="727"/>
      <c r="N8" s="737"/>
      <c r="O8" s="740"/>
      <c r="P8" s="743"/>
      <c r="Q8" s="743"/>
      <c r="R8" s="726"/>
      <c r="S8" s="726"/>
      <c r="T8" s="743"/>
      <c r="U8" s="743"/>
      <c r="V8" s="726"/>
      <c r="W8" s="726"/>
      <c r="X8" s="726"/>
      <c r="Y8" s="63"/>
      <c r="Z8" s="63"/>
      <c r="AA8" s="63"/>
      <c r="AB8" s="63"/>
      <c r="AC8" s="63"/>
    </row>
    <row r="9" spans="1:30" s="468" customFormat="1" ht="17.25" customHeight="1" thickBot="1" x14ac:dyDescent="0.25">
      <c r="A9" s="479" t="s">
        <v>781</v>
      </c>
      <c r="B9" s="480">
        <v>56265</v>
      </c>
      <c r="C9" s="480">
        <v>6991</v>
      </c>
      <c r="D9" s="480">
        <v>451298</v>
      </c>
      <c r="E9" s="480">
        <v>17943</v>
      </c>
      <c r="F9" s="480">
        <v>628994</v>
      </c>
      <c r="G9" s="480">
        <v>205443</v>
      </c>
      <c r="H9" s="480">
        <v>104991</v>
      </c>
      <c r="I9" s="480">
        <v>0</v>
      </c>
      <c r="J9" s="480">
        <v>1471925</v>
      </c>
      <c r="K9" s="480">
        <v>205647</v>
      </c>
      <c r="L9" s="480">
        <v>522079</v>
      </c>
      <c r="M9" s="480">
        <v>850465</v>
      </c>
      <c r="N9" s="480">
        <v>1578191</v>
      </c>
      <c r="O9" s="481">
        <v>3050116</v>
      </c>
      <c r="P9" s="482">
        <v>7</v>
      </c>
      <c r="Q9" s="482"/>
      <c r="R9" s="482"/>
      <c r="S9" s="482"/>
      <c r="T9" s="482"/>
      <c r="U9" s="482"/>
      <c r="V9" s="482"/>
      <c r="W9" s="482"/>
      <c r="X9" s="482"/>
      <c r="Y9" s="63"/>
      <c r="Z9" s="63"/>
      <c r="AA9" s="63"/>
      <c r="AB9" s="63"/>
      <c r="AC9" s="63"/>
    </row>
    <row r="10" spans="1:30" ht="21.75" customHeight="1" thickBot="1" x14ac:dyDescent="0.25">
      <c r="A10" s="245" t="str">
        <f>'5.Bev.össz'!A11</f>
        <v>Önkormányzat (eredeti előirányzat 2025. év)</v>
      </c>
      <c r="B10" s="101">
        <f t="shared" ref="B10:I10" si="0">B18+B26</f>
        <v>71715</v>
      </c>
      <c r="C10" s="101">
        <f t="shared" si="0"/>
        <v>9290</v>
      </c>
      <c r="D10" s="101">
        <f t="shared" si="0"/>
        <v>634704</v>
      </c>
      <c r="E10" s="101">
        <f t="shared" si="0"/>
        <v>17943</v>
      </c>
      <c r="F10" s="101">
        <f t="shared" si="0"/>
        <v>697774</v>
      </c>
      <c r="G10" s="101">
        <f t="shared" si="0"/>
        <v>223334</v>
      </c>
      <c r="H10" s="101">
        <f t="shared" si="0"/>
        <v>115874</v>
      </c>
      <c r="I10" s="101">
        <f t="shared" si="0"/>
        <v>79892</v>
      </c>
      <c r="J10" s="101">
        <f>B10+C10+D10+E10+F10+G10+H10+I10</f>
        <v>1850526</v>
      </c>
      <c r="K10" s="101">
        <f t="shared" ref="K10:M16" si="1">K18+K26</f>
        <v>771910</v>
      </c>
      <c r="L10" s="101">
        <f t="shared" si="1"/>
        <v>323580</v>
      </c>
      <c r="M10" s="101">
        <f t="shared" si="1"/>
        <v>0</v>
      </c>
      <c r="N10" s="101">
        <f>K10+L10+M10</f>
        <v>1095490</v>
      </c>
      <c r="O10" s="102">
        <f>J10+N10</f>
        <v>2946016</v>
      </c>
      <c r="P10" s="249">
        <f>P18</f>
        <v>12</v>
      </c>
      <c r="Q10" s="249">
        <f t="shared" ref="Q10:W10" si="2">Q18</f>
        <v>1</v>
      </c>
      <c r="R10" s="249">
        <f t="shared" si="2"/>
        <v>2</v>
      </c>
      <c r="S10" s="249">
        <f t="shared" si="2"/>
        <v>4</v>
      </c>
      <c r="T10" s="249">
        <f t="shared" si="2"/>
        <v>3</v>
      </c>
      <c r="U10" s="249">
        <f t="shared" si="2"/>
        <v>2</v>
      </c>
      <c r="V10" s="249">
        <f t="shared" si="2"/>
        <v>0</v>
      </c>
      <c r="W10" s="249">
        <f t="shared" si="2"/>
        <v>0</v>
      </c>
      <c r="X10" s="249">
        <f t="shared" ref="X10" si="3">X18</f>
        <v>0</v>
      </c>
      <c r="Y10" s="63"/>
      <c r="Z10" s="63"/>
      <c r="AA10" s="63"/>
      <c r="AB10" s="63"/>
      <c r="AC10" s="63"/>
    </row>
    <row r="11" spans="1:30" ht="30" hidden="1" customHeight="1" thickBot="1" x14ac:dyDescent="0.25">
      <c r="A11" s="245" t="str">
        <f>'5.Bev.össz'!A12</f>
        <v>Önkormányzat (módosított előirányzat 2025.06.havi)</v>
      </c>
      <c r="B11" s="101">
        <f t="shared" ref="B11:I12" si="4">B19+B27</f>
        <v>78514</v>
      </c>
      <c r="C11" s="101">
        <f t="shared" si="4"/>
        <v>9783</v>
      </c>
      <c r="D11" s="101">
        <f t="shared" si="4"/>
        <v>637336</v>
      </c>
      <c r="E11" s="101">
        <f t="shared" si="4"/>
        <v>18000</v>
      </c>
      <c r="F11" s="101">
        <f t="shared" si="4"/>
        <v>696828</v>
      </c>
      <c r="G11" s="101">
        <f t="shared" si="4"/>
        <v>240067</v>
      </c>
      <c r="H11" s="101">
        <f t="shared" si="4"/>
        <v>115874</v>
      </c>
      <c r="I11" s="101">
        <f t="shared" si="4"/>
        <v>46948</v>
      </c>
      <c r="J11" s="101">
        <f t="shared" ref="J11:J16" si="5">B11+C11+D11+E11+F11+G11+H11+I11</f>
        <v>1843350</v>
      </c>
      <c r="K11" s="101">
        <f t="shared" si="1"/>
        <v>794167</v>
      </c>
      <c r="L11" s="101">
        <f t="shared" si="1"/>
        <v>373178</v>
      </c>
      <c r="M11" s="101">
        <f t="shared" si="1"/>
        <v>0</v>
      </c>
      <c r="N11" s="101">
        <f>K11+L11+M11</f>
        <v>1167345</v>
      </c>
      <c r="O11" s="102">
        <f>J11+N11</f>
        <v>3010695</v>
      </c>
      <c r="P11" s="249">
        <f>P19</f>
        <v>12</v>
      </c>
      <c r="Q11" s="249">
        <f t="shared" ref="Q11:W11" si="6">Q19</f>
        <v>1</v>
      </c>
      <c r="R11" s="249">
        <f t="shared" si="6"/>
        <v>2</v>
      </c>
      <c r="S11" s="249">
        <f t="shared" si="6"/>
        <v>4</v>
      </c>
      <c r="T11" s="249">
        <f t="shared" si="6"/>
        <v>3</v>
      </c>
      <c r="U11" s="249">
        <f t="shared" si="6"/>
        <v>2</v>
      </c>
      <c r="V11" s="249">
        <f t="shared" si="6"/>
        <v>0</v>
      </c>
      <c r="W11" s="249">
        <f t="shared" si="6"/>
        <v>0</v>
      </c>
      <c r="X11" s="249">
        <f t="shared" ref="X11" si="7">X19</f>
        <v>0</v>
      </c>
      <c r="Y11" s="63"/>
      <c r="Z11" s="63"/>
      <c r="AA11" s="63"/>
      <c r="AB11" s="63"/>
      <c r="AC11" s="63"/>
    </row>
    <row r="12" spans="1:30" ht="27.75" hidden="1" customHeight="1" thickBot="1" x14ac:dyDescent="0.25">
      <c r="A12" s="245" t="str">
        <f>'5.Bev.össz'!A13</f>
        <v>Önkormányzat (módosított előirányzat 2025.09.havi)</v>
      </c>
      <c r="B12" s="101">
        <f t="shared" si="4"/>
        <v>78514</v>
      </c>
      <c r="C12" s="101">
        <f t="shared" si="4"/>
        <v>9783</v>
      </c>
      <c r="D12" s="101">
        <f t="shared" si="4"/>
        <v>640027</v>
      </c>
      <c r="E12" s="101">
        <f t="shared" si="4"/>
        <v>18000</v>
      </c>
      <c r="F12" s="101">
        <f t="shared" si="4"/>
        <v>701325</v>
      </c>
      <c r="G12" s="101">
        <f t="shared" si="4"/>
        <v>240067</v>
      </c>
      <c r="H12" s="101">
        <f t="shared" si="4"/>
        <v>115874</v>
      </c>
      <c r="I12" s="101">
        <f t="shared" si="4"/>
        <v>49907</v>
      </c>
      <c r="J12" s="101">
        <f t="shared" ref="J12" si="8">B12+C12+D12+E12+F12+G12+H12+I12</f>
        <v>1853497</v>
      </c>
      <c r="K12" s="101">
        <f t="shared" si="1"/>
        <v>794167</v>
      </c>
      <c r="L12" s="101">
        <f t="shared" si="1"/>
        <v>373178</v>
      </c>
      <c r="M12" s="101">
        <f t="shared" si="1"/>
        <v>0</v>
      </c>
      <c r="N12" s="101">
        <f>K12+L12+M12</f>
        <v>1167345</v>
      </c>
      <c r="O12" s="102">
        <f>J12+N12</f>
        <v>3020842</v>
      </c>
      <c r="P12" s="249">
        <f>P20</f>
        <v>12</v>
      </c>
      <c r="Q12" s="249">
        <f t="shared" ref="Q12:W14" si="9">Q20</f>
        <v>1</v>
      </c>
      <c r="R12" s="249">
        <f t="shared" si="9"/>
        <v>2</v>
      </c>
      <c r="S12" s="249">
        <f t="shared" si="9"/>
        <v>4</v>
      </c>
      <c r="T12" s="249">
        <f t="shared" si="9"/>
        <v>3</v>
      </c>
      <c r="U12" s="249">
        <f t="shared" si="9"/>
        <v>2</v>
      </c>
      <c r="V12" s="249">
        <f t="shared" si="9"/>
        <v>0</v>
      </c>
      <c r="W12" s="249">
        <f t="shared" si="9"/>
        <v>0</v>
      </c>
      <c r="X12" s="249">
        <f t="shared" ref="X12:X16" si="10">X20</f>
        <v>0</v>
      </c>
      <c r="Y12" s="63"/>
      <c r="Z12" s="63"/>
      <c r="AA12" s="63"/>
      <c r="AB12" s="63"/>
      <c r="AC12" s="63"/>
    </row>
    <row r="13" spans="1:30" ht="21.75" hidden="1" customHeight="1" thickBot="1" x14ac:dyDescent="0.25">
      <c r="A13" s="245" t="str">
        <f>'5.Bev.össz'!A14</f>
        <v>Önkormányzat (módosított előirányzat 2025.12.havi)</v>
      </c>
      <c r="B13" s="101">
        <f t="shared" ref="B13:I14" si="11">B21+B29</f>
        <v>78979</v>
      </c>
      <c r="C13" s="101">
        <f t="shared" si="11"/>
        <v>9655</v>
      </c>
      <c r="D13" s="101">
        <f t="shared" si="11"/>
        <v>459278</v>
      </c>
      <c r="E13" s="101">
        <f t="shared" si="11"/>
        <v>8000</v>
      </c>
      <c r="F13" s="101">
        <f t="shared" si="11"/>
        <v>707966</v>
      </c>
      <c r="G13" s="101">
        <f t="shared" si="11"/>
        <v>240067</v>
      </c>
      <c r="H13" s="101">
        <f t="shared" si="11"/>
        <v>115874</v>
      </c>
      <c r="I13" s="101">
        <f t="shared" si="11"/>
        <v>82434</v>
      </c>
      <c r="J13" s="101">
        <f t="shared" si="5"/>
        <v>1702253</v>
      </c>
      <c r="K13" s="101">
        <f t="shared" si="1"/>
        <v>807167</v>
      </c>
      <c r="L13" s="101">
        <f t="shared" si="1"/>
        <v>393775</v>
      </c>
      <c r="M13" s="101">
        <f t="shared" si="1"/>
        <v>0</v>
      </c>
      <c r="N13" s="101">
        <f t="shared" ref="N13:N16" si="12">K13+L13+M13</f>
        <v>1200942</v>
      </c>
      <c r="O13" s="102">
        <f t="shared" ref="O13:O16" si="13">J13+N13</f>
        <v>2903195</v>
      </c>
      <c r="P13" s="249">
        <f>P21</f>
        <v>12</v>
      </c>
      <c r="Q13" s="249">
        <f t="shared" si="9"/>
        <v>1</v>
      </c>
      <c r="R13" s="249">
        <f t="shared" si="9"/>
        <v>2</v>
      </c>
      <c r="S13" s="249">
        <f t="shared" si="9"/>
        <v>4</v>
      </c>
      <c r="T13" s="249">
        <f t="shared" si="9"/>
        <v>3</v>
      </c>
      <c r="U13" s="249">
        <f t="shared" si="9"/>
        <v>2</v>
      </c>
      <c r="V13" s="249">
        <f t="shared" si="9"/>
        <v>0</v>
      </c>
      <c r="W13" s="249">
        <f t="shared" si="9"/>
        <v>0</v>
      </c>
      <c r="X13" s="249">
        <f t="shared" si="10"/>
        <v>0</v>
      </c>
      <c r="Y13" s="63"/>
      <c r="Z13" s="63"/>
      <c r="AA13" s="63"/>
      <c r="AB13" s="63"/>
      <c r="AC13" s="63"/>
    </row>
    <row r="14" spans="1:30" ht="21.75" customHeight="1" thickBot="1" x14ac:dyDescent="0.25">
      <c r="A14" s="245" t="str">
        <f>'5.Bev.össz'!A15</f>
        <v>Önkormányzat (módosított előirányzat 2025.12.31)</v>
      </c>
      <c r="B14" s="101">
        <f t="shared" si="11"/>
        <v>78979</v>
      </c>
      <c r="C14" s="101">
        <f t="shared" si="11"/>
        <v>9655</v>
      </c>
      <c r="D14" s="101">
        <f t="shared" si="11"/>
        <v>460928</v>
      </c>
      <c r="E14" s="101">
        <f t="shared" si="11"/>
        <v>8000</v>
      </c>
      <c r="F14" s="101">
        <f t="shared" si="11"/>
        <v>707966</v>
      </c>
      <c r="G14" s="101">
        <f t="shared" si="11"/>
        <v>240067</v>
      </c>
      <c r="H14" s="101">
        <f t="shared" si="11"/>
        <v>115874</v>
      </c>
      <c r="I14" s="101">
        <f t="shared" si="11"/>
        <v>84199</v>
      </c>
      <c r="J14" s="101">
        <f t="shared" ref="J14" si="14">B14+C14+D14+E14+F14+G14+H14+I14</f>
        <v>1705668</v>
      </c>
      <c r="K14" s="101">
        <f t="shared" si="1"/>
        <v>807167</v>
      </c>
      <c r="L14" s="101">
        <f t="shared" si="1"/>
        <v>393775</v>
      </c>
      <c r="M14" s="101">
        <f t="shared" si="1"/>
        <v>0</v>
      </c>
      <c r="N14" s="101">
        <f t="shared" ref="N14" si="15">K14+L14+M14</f>
        <v>1200942</v>
      </c>
      <c r="O14" s="102">
        <f t="shared" ref="O14" si="16">J14+N14</f>
        <v>2906610</v>
      </c>
      <c r="P14" s="249">
        <f>P22</f>
        <v>12</v>
      </c>
      <c r="Q14" s="249">
        <f t="shared" si="9"/>
        <v>1</v>
      </c>
      <c r="R14" s="249">
        <f t="shared" si="9"/>
        <v>2</v>
      </c>
      <c r="S14" s="249">
        <f t="shared" si="9"/>
        <v>4</v>
      </c>
      <c r="T14" s="249">
        <f t="shared" si="9"/>
        <v>3</v>
      </c>
      <c r="U14" s="249">
        <f t="shared" si="9"/>
        <v>2</v>
      </c>
      <c r="V14" s="249">
        <f t="shared" si="9"/>
        <v>0</v>
      </c>
      <c r="W14" s="249">
        <f t="shared" si="9"/>
        <v>0</v>
      </c>
      <c r="X14" s="249">
        <f t="shared" si="10"/>
        <v>0</v>
      </c>
      <c r="Y14" s="63"/>
      <c r="Z14" s="63"/>
      <c r="AA14" s="63"/>
      <c r="AB14" s="63"/>
      <c r="AC14" s="63"/>
    </row>
    <row r="15" spans="1:30" ht="21.75" hidden="1" customHeight="1" thickBot="1" x14ac:dyDescent="0.25">
      <c r="A15" s="245">
        <f>'5.Bev.össz'!A16</f>
        <v>0</v>
      </c>
      <c r="B15" s="101">
        <f t="shared" ref="B15:I15" si="17">B23+B31</f>
        <v>0</v>
      </c>
      <c r="C15" s="101">
        <f t="shared" si="17"/>
        <v>0</v>
      </c>
      <c r="D15" s="101">
        <f t="shared" si="17"/>
        <v>0</v>
      </c>
      <c r="E15" s="101">
        <f t="shared" si="17"/>
        <v>0</v>
      </c>
      <c r="F15" s="101">
        <f t="shared" si="17"/>
        <v>38648</v>
      </c>
      <c r="G15" s="101">
        <f t="shared" si="17"/>
        <v>0</v>
      </c>
      <c r="H15" s="101">
        <f t="shared" si="17"/>
        <v>0</v>
      </c>
      <c r="I15" s="101">
        <f t="shared" si="17"/>
        <v>0</v>
      </c>
      <c r="J15" s="101">
        <f t="shared" si="5"/>
        <v>38648</v>
      </c>
      <c r="K15" s="101">
        <f t="shared" si="1"/>
        <v>636919</v>
      </c>
      <c r="L15" s="101">
        <f t="shared" si="1"/>
        <v>323580</v>
      </c>
      <c r="M15" s="101">
        <f t="shared" si="1"/>
        <v>0</v>
      </c>
      <c r="N15" s="101">
        <f t="shared" si="12"/>
        <v>960499</v>
      </c>
      <c r="O15" s="102">
        <f t="shared" si="13"/>
        <v>999147</v>
      </c>
      <c r="P15" s="249">
        <f t="shared" ref="P15:W15" si="18">P23</f>
        <v>0</v>
      </c>
      <c r="Q15" s="249">
        <f t="shared" si="18"/>
        <v>0</v>
      </c>
      <c r="R15" s="249">
        <f t="shared" si="18"/>
        <v>0</v>
      </c>
      <c r="S15" s="249">
        <f t="shared" si="18"/>
        <v>0</v>
      </c>
      <c r="T15" s="249">
        <f t="shared" si="18"/>
        <v>0</v>
      </c>
      <c r="U15" s="249">
        <f t="shared" si="18"/>
        <v>0</v>
      </c>
      <c r="V15" s="249">
        <f t="shared" si="18"/>
        <v>0</v>
      </c>
      <c r="W15" s="249">
        <f t="shared" si="18"/>
        <v>0</v>
      </c>
      <c r="X15" s="249">
        <f t="shared" si="10"/>
        <v>0</v>
      </c>
      <c r="Y15" s="63"/>
      <c r="Z15" s="63"/>
      <c r="AA15" s="63"/>
      <c r="AB15" s="63"/>
      <c r="AC15" s="63"/>
    </row>
    <row r="16" spans="1:30" ht="13.5" thickBot="1" x14ac:dyDescent="0.25">
      <c r="A16" s="245" t="str">
        <f>'5.Bev.össz'!A17</f>
        <v>Önkormányzat: Teljesítés 2025.12.31.</v>
      </c>
      <c r="B16" s="101">
        <f t="shared" ref="B16:I16" si="19">B24+B32</f>
        <v>77514</v>
      </c>
      <c r="C16" s="101">
        <f t="shared" si="19"/>
        <v>8688</v>
      </c>
      <c r="D16" s="101">
        <f t="shared" si="19"/>
        <v>324887</v>
      </c>
      <c r="E16" s="101">
        <f t="shared" si="19"/>
        <v>6187</v>
      </c>
      <c r="F16" s="101">
        <f t="shared" si="19"/>
        <v>707464</v>
      </c>
      <c r="G16" s="101">
        <f t="shared" si="19"/>
        <v>240067</v>
      </c>
      <c r="H16" s="101">
        <f t="shared" si="19"/>
        <v>115874</v>
      </c>
      <c r="I16" s="101">
        <f t="shared" si="19"/>
        <v>0</v>
      </c>
      <c r="J16" s="101">
        <f t="shared" si="5"/>
        <v>1480681</v>
      </c>
      <c r="K16" s="101">
        <f t="shared" si="1"/>
        <v>188134</v>
      </c>
      <c r="L16" s="101">
        <f t="shared" si="1"/>
        <v>172659</v>
      </c>
      <c r="M16" s="101">
        <f t="shared" si="1"/>
        <v>0</v>
      </c>
      <c r="N16" s="101">
        <f t="shared" si="12"/>
        <v>360793</v>
      </c>
      <c r="O16" s="102">
        <f t="shared" si="13"/>
        <v>1841474</v>
      </c>
      <c r="P16" s="249">
        <f t="shared" ref="P16:W16" si="20">P24</f>
        <v>12</v>
      </c>
      <c r="Q16" s="249">
        <f t="shared" si="20"/>
        <v>1</v>
      </c>
      <c r="R16" s="249">
        <f t="shared" si="20"/>
        <v>2</v>
      </c>
      <c r="S16" s="249">
        <f t="shared" si="20"/>
        <v>4</v>
      </c>
      <c r="T16" s="249">
        <f t="shared" si="20"/>
        <v>3</v>
      </c>
      <c r="U16" s="249">
        <f t="shared" si="20"/>
        <v>2</v>
      </c>
      <c r="V16" s="249">
        <f t="shared" si="20"/>
        <v>0</v>
      </c>
      <c r="W16" s="249">
        <f t="shared" si="20"/>
        <v>0</v>
      </c>
      <c r="X16" s="249">
        <f t="shared" si="10"/>
        <v>0</v>
      </c>
      <c r="Y16" s="63"/>
      <c r="Z16" s="63"/>
      <c r="AA16" s="63"/>
      <c r="AB16" s="63"/>
      <c r="AC16" s="63"/>
    </row>
    <row r="17" spans="1:29" s="468" customFormat="1" ht="18.75" customHeight="1" x14ac:dyDescent="0.2">
      <c r="A17" s="483" t="s">
        <v>782</v>
      </c>
      <c r="B17" s="484">
        <v>56265</v>
      </c>
      <c r="C17" s="484">
        <v>6991</v>
      </c>
      <c r="D17" s="484">
        <v>451298</v>
      </c>
      <c r="E17" s="484">
        <v>17943</v>
      </c>
      <c r="F17" s="484">
        <v>622208</v>
      </c>
      <c r="G17" s="484">
        <v>205443</v>
      </c>
      <c r="H17" s="484">
        <v>104991</v>
      </c>
      <c r="I17" s="484">
        <v>0</v>
      </c>
      <c r="J17" s="485">
        <v>1465139</v>
      </c>
      <c r="K17" s="484"/>
      <c r="L17" s="484"/>
      <c r="M17" s="484"/>
      <c r="N17" s="485">
        <v>0</v>
      </c>
      <c r="O17" s="486">
        <v>1465139</v>
      </c>
      <c r="P17" s="487">
        <v>7</v>
      </c>
      <c r="Q17" s="487"/>
      <c r="R17" s="487"/>
      <c r="S17" s="487"/>
      <c r="T17" s="487"/>
      <c r="U17" s="487"/>
      <c r="V17" s="487"/>
      <c r="W17" s="487"/>
      <c r="X17" s="487"/>
      <c r="Y17" s="63"/>
      <c r="Z17" s="63"/>
      <c r="AA17" s="63"/>
      <c r="AB17" s="63"/>
      <c r="AC17" s="63"/>
    </row>
    <row r="18" spans="1:29" ht="18" customHeight="1" x14ac:dyDescent="0.2">
      <c r="A18" s="253" t="str">
        <f>'5.Bev.össz'!A19</f>
        <v xml:space="preserve">       Kötelező (eredeti előirányzat 2025. év)</v>
      </c>
      <c r="B18" s="103">
        <f>SUM('7.finanszírozás.'!C110)</f>
        <v>71715</v>
      </c>
      <c r="C18" s="103">
        <f>SUM('7.finanszírozás.'!C118)</f>
        <v>9290</v>
      </c>
      <c r="D18" s="103">
        <f>SUM('7.finanszírozás.'!C126)</f>
        <v>634704</v>
      </c>
      <c r="E18" s="103">
        <f>SUM('7.finanszírozás.'!C142)</f>
        <v>17943</v>
      </c>
      <c r="F18" s="103">
        <f>SUM('4. Átadott p.eszk.'!C66-'4. Átadott p.eszk.'!C60-'4. Átadott p.eszk.'!C61)+'2.működés'!D131+'2.működés'!D132</f>
        <v>690524</v>
      </c>
      <c r="G18" s="103">
        <f>SUM('7.finanszírozás.'!F60+'7.finanszírozás.'!F51)</f>
        <v>223334</v>
      </c>
      <c r="H18" s="103">
        <f>SUM('1.Bev-kiad.'!D83)</f>
        <v>115874</v>
      </c>
      <c r="I18" s="103">
        <f>SUM('2.működés'!D130)</f>
        <v>79892</v>
      </c>
      <c r="J18" s="111">
        <f t="shared" ref="J18:J23" si="21">SUM(B18:I18)</f>
        <v>1843276</v>
      </c>
      <c r="K18" s="103">
        <f>SUM('3.felh'!D48)</f>
        <v>771910</v>
      </c>
      <c r="L18" s="103">
        <f>SUM('3.felh'!D73)</f>
        <v>323580</v>
      </c>
      <c r="M18" s="103">
        <f>SUM('3.felh'!D94)</f>
        <v>0</v>
      </c>
      <c r="N18" s="111">
        <f>SUM(K18:M18)</f>
        <v>1095490</v>
      </c>
      <c r="O18" s="254">
        <f>SUM(J18+N18)</f>
        <v>2938766</v>
      </c>
      <c r="P18" s="248">
        <f>SUM(Q18:X18)</f>
        <v>12</v>
      </c>
      <c r="Q18" s="248">
        <v>1</v>
      </c>
      <c r="R18" s="248">
        <v>2</v>
      </c>
      <c r="S18" s="248">
        <v>4</v>
      </c>
      <c r="T18" s="248">
        <v>3</v>
      </c>
      <c r="U18" s="248">
        <v>2</v>
      </c>
      <c r="V18" s="248">
        <v>0</v>
      </c>
      <c r="W18" s="248">
        <v>0</v>
      </c>
      <c r="X18" s="248">
        <v>0</v>
      </c>
      <c r="Y18" s="63"/>
      <c r="Z18" s="63"/>
      <c r="AA18" s="63"/>
      <c r="AB18" s="63"/>
      <c r="AC18" s="63"/>
    </row>
    <row r="19" spans="1:29" ht="18" hidden="1" customHeight="1" x14ac:dyDescent="0.2">
      <c r="A19" s="253" t="str">
        <f>'5.Bev.össz'!A20</f>
        <v xml:space="preserve">       Kötelező (módosított előirányzat 2025.06. havi)</v>
      </c>
      <c r="B19" s="103">
        <f>SUM('7.finanszírozás.'!C111)</f>
        <v>78514</v>
      </c>
      <c r="C19" s="103">
        <f>SUM('7.finanszírozás.'!C119)</f>
        <v>9783</v>
      </c>
      <c r="D19" s="103">
        <f>SUM('7.finanszírozás.'!C127)</f>
        <v>637336</v>
      </c>
      <c r="E19" s="103">
        <f>SUM('7.finanszírozás.'!C143)</f>
        <v>18000</v>
      </c>
      <c r="F19" s="103">
        <f>SUM('4. Átadott p.eszk.'!D66-'4. Átadott p.eszk.'!D60-'4. Átadott p.eszk.'!D61)+'2.működés'!E131+'2.működés'!E132+'2.működés'!E133</f>
        <v>689578</v>
      </c>
      <c r="G19" s="103">
        <f>SUM('7.finanszírozás.'!E52+'7.finanszírozás.'!E61)</f>
        <v>240067</v>
      </c>
      <c r="H19" s="103">
        <f>SUM('1.Bev-kiad.'!E83)</f>
        <v>115874</v>
      </c>
      <c r="I19" s="103">
        <f>SUM('2.működés'!E130)</f>
        <v>46948</v>
      </c>
      <c r="J19" s="111">
        <f t="shared" si="21"/>
        <v>1836100</v>
      </c>
      <c r="K19" s="103">
        <f>SUM('3.felh'!E48)</f>
        <v>794167</v>
      </c>
      <c r="L19" s="103">
        <f>SUM('3.felh'!E73)</f>
        <v>373178</v>
      </c>
      <c r="M19" s="103">
        <f>'3.felh'!E94</f>
        <v>0</v>
      </c>
      <c r="N19" s="111">
        <f>SUM(K19:M19)</f>
        <v>1167345</v>
      </c>
      <c r="O19" s="254">
        <f t="shared" ref="O19:O26" si="22">SUM(J19+N19)</f>
        <v>3003445</v>
      </c>
      <c r="P19" s="248">
        <f t="shared" ref="P19:P24" si="23">SUM(Q19:X19)</f>
        <v>12</v>
      </c>
      <c r="Q19" s="248">
        <v>1</v>
      </c>
      <c r="R19" s="248">
        <v>2</v>
      </c>
      <c r="S19" s="248">
        <v>4</v>
      </c>
      <c r="T19" s="248">
        <v>3</v>
      </c>
      <c r="U19" s="248">
        <v>2</v>
      </c>
      <c r="V19" s="248">
        <v>0</v>
      </c>
      <c r="W19" s="248">
        <v>0</v>
      </c>
      <c r="X19" s="248">
        <v>0</v>
      </c>
      <c r="Y19" s="63"/>
      <c r="Z19" s="63"/>
      <c r="AA19" s="63"/>
      <c r="AB19" s="63"/>
      <c r="AC19" s="63"/>
    </row>
    <row r="20" spans="1:29" ht="15.75" hidden="1" customHeight="1" x14ac:dyDescent="0.2">
      <c r="A20" s="253" t="str">
        <f>'5.Bev.össz'!A21</f>
        <v xml:space="preserve">       Kötelező (módosított előirányzat 2025.09.havi)</v>
      </c>
      <c r="B20" s="103">
        <f>SUM('7.finanszírozás.'!C112)</f>
        <v>78514</v>
      </c>
      <c r="C20" s="103">
        <f>SUM('7.finanszírozás.'!C120)</f>
        <v>9783</v>
      </c>
      <c r="D20" s="103">
        <f>SUM('7.finanszírozás.'!C128)</f>
        <v>640027</v>
      </c>
      <c r="E20" s="103">
        <f>SUM('7.finanszírozás.'!C144)</f>
        <v>18000</v>
      </c>
      <c r="F20" s="103">
        <f>SUM('4. Átadott p.eszk.'!F66-'4. Átadott p.eszk.'!F60-'4. Átadott p.eszk.'!F61)+'2.működés'!G131+'2.működés'!G132+'2.működés'!G133</f>
        <v>694075</v>
      </c>
      <c r="G20" s="103">
        <f>SUM('7.finanszírozás.'!E53+'7.finanszírozás.'!E62)</f>
        <v>240067</v>
      </c>
      <c r="H20" s="103">
        <f>SUM('1.Bev-kiad.'!G83)</f>
        <v>115874</v>
      </c>
      <c r="I20" s="103">
        <f>SUM('2.működés'!G130)</f>
        <v>49907</v>
      </c>
      <c r="J20" s="111">
        <f t="shared" si="21"/>
        <v>1846247</v>
      </c>
      <c r="K20" s="103">
        <f>SUM('3.felh'!G48)</f>
        <v>794167</v>
      </c>
      <c r="L20" s="103">
        <f>SUM('3.felh'!G73)</f>
        <v>373178</v>
      </c>
      <c r="M20" s="103">
        <f>'3.felh'!G94</f>
        <v>0</v>
      </c>
      <c r="N20" s="111">
        <f>SUM(K20:M20)</f>
        <v>1167345</v>
      </c>
      <c r="O20" s="254">
        <f t="shared" si="22"/>
        <v>3013592</v>
      </c>
      <c r="P20" s="248">
        <f t="shared" si="23"/>
        <v>12</v>
      </c>
      <c r="Q20" s="248">
        <v>1</v>
      </c>
      <c r="R20" s="248">
        <v>2</v>
      </c>
      <c r="S20" s="248">
        <v>4</v>
      </c>
      <c r="T20" s="248">
        <v>3</v>
      </c>
      <c r="U20" s="248">
        <v>2</v>
      </c>
      <c r="V20" s="248">
        <v>0</v>
      </c>
      <c r="W20" s="248">
        <v>0</v>
      </c>
      <c r="X20" s="248">
        <v>0</v>
      </c>
      <c r="Y20" s="63"/>
      <c r="Z20" s="63"/>
      <c r="AA20" s="63"/>
      <c r="AB20" s="63"/>
      <c r="AC20" s="63"/>
    </row>
    <row r="21" spans="1:29" ht="15" hidden="1" customHeight="1" x14ac:dyDescent="0.2">
      <c r="A21" s="253" t="str">
        <f>'5.Bev.össz'!A22</f>
        <v xml:space="preserve">       Kötelező (módosított előirányzat 2025.12.havi)</v>
      </c>
      <c r="B21" s="103">
        <f>SUM('7.finanszírozás.'!C113)</f>
        <v>78979</v>
      </c>
      <c r="C21" s="103">
        <f>SUM('7.finanszírozás.'!C121)</f>
        <v>9655</v>
      </c>
      <c r="D21" s="103">
        <f>SUM('7.finanszírozás.'!C129)</f>
        <v>459278</v>
      </c>
      <c r="E21" s="103">
        <f>SUM('7.finanszírozás.'!C145)</f>
        <v>8000</v>
      </c>
      <c r="F21" s="103">
        <f>SUM('4. Átadott p.eszk.'!H66-'4. Átadott p.eszk.'!H60-'4. Átadott p.eszk.'!H61)+'2.működés'!I131+'2.működés'!I132+'2.működés'!I133</f>
        <v>700716</v>
      </c>
      <c r="G21" s="103">
        <f>SUM('7.finanszírozás.'!E54+'7.finanszírozás.'!E63)</f>
        <v>240067</v>
      </c>
      <c r="H21" s="103">
        <f>SUM('1.Bev-kiad.'!I83)</f>
        <v>115874</v>
      </c>
      <c r="I21" s="103">
        <f>SUM('2.működés'!I130)</f>
        <v>82434</v>
      </c>
      <c r="J21" s="111">
        <f t="shared" si="21"/>
        <v>1695003</v>
      </c>
      <c r="K21" s="103">
        <f>SUM('3.felh'!I48)</f>
        <v>807167</v>
      </c>
      <c r="L21" s="103">
        <f>SUM('3.felh'!I73)</f>
        <v>393775</v>
      </c>
      <c r="M21" s="103">
        <f>'3.felh'!I94</f>
        <v>0</v>
      </c>
      <c r="N21" s="111">
        <f>SUM(K21:M21)</f>
        <v>1200942</v>
      </c>
      <c r="O21" s="254">
        <f t="shared" si="22"/>
        <v>2895945</v>
      </c>
      <c r="P21" s="248">
        <f t="shared" ref="P21" si="24">SUM(Q21:X21)</f>
        <v>12</v>
      </c>
      <c r="Q21" s="248">
        <v>1</v>
      </c>
      <c r="R21" s="248">
        <v>2</v>
      </c>
      <c r="S21" s="248">
        <v>4</v>
      </c>
      <c r="T21" s="248">
        <v>3</v>
      </c>
      <c r="U21" s="248">
        <v>2</v>
      </c>
      <c r="V21" s="248">
        <v>0</v>
      </c>
      <c r="W21" s="248">
        <v>0</v>
      </c>
      <c r="X21" s="248">
        <v>0</v>
      </c>
      <c r="Y21" s="63"/>
      <c r="Z21" s="63"/>
      <c r="AA21" s="63"/>
      <c r="AB21" s="63"/>
      <c r="AC21" s="63"/>
    </row>
    <row r="22" spans="1:29" ht="15" customHeight="1" x14ac:dyDescent="0.2">
      <c r="A22" s="253" t="str">
        <f>'5.Bev.össz'!A23</f>
        <v xml:space="preserve">       Kötelező (módosított előirányzat 2025.12.31)</v>
      </c>
      <c r="B22" s="103">
        <f>SUM('7.finanszírozás.'!C114)</f>
        <v>78979</v>
      </c>
      <c r="C22" s="103">
        <f>SUM('7.finanszírozás.'!C122)</f>
        <v>9655</v>
      </c>
      <c r="D22" s="103">
        <f>SUM('7.finanszírozás.'!C130)</f>
        <v>460928</v>
      </c>
      <c r="E22" s="103">
        <f>SUM('7.finanszírozás.'!C146)</f>
        <v>8000</v>
      </c>
      <c r="F22" s="103">
        <f>SUM('4. Átadott p.eszk.'!J66-'4. Átadott p.eszk.'!J60-'4. Átadott p.eszk.'!J61)+'2.működés'!K131+'2.működés'!K132+'2.működés'!K133</f>
        <v>700716</v>
      </c>
      <c r="G22" s="103">
        <f>SUM('7.finanszírozás.'!E55+'7.finanszírozás.'!E64)</f>
        <v>240067</v>
      </c>
      <c r="H22" s="103">
        <f>SUM('1.Bev-kiad.'!K83)</f>
        <v>115874</v>
      </c>
      <c r="I22" s="103">
        <f>SUM('2.működés'!K130)</f>
        <v>84199</v>
      </c>
      <c r="J22" s="111">
        <f t="shared" si="21"/>
        <v>1698418</v>
      </c>
      <c r="K22" s="103">
        <f>SUM('3.felh'!K48)</f>
        <v>807167</v>
      </c>
      <c r="L22" s="103">
        <f>SUM('3.felh'!K73)</f>
        <v>393775</v>
      </c>
      <c r="M22" s="103">
        <f>'3.felh'!I95</f>
        <v>0</v>
      </c>
      <c r="N22" s="111">
        <f>SUM(K22:M22)</f>
        <v>1200942</v>
      </c>
      <c r="O22" s="254">
        <f t="shared" ref="O22" si="25">SUM(J22+N22)</f>
        <v>2899360</v>
      </c>
      <c r="P22" s="248">
        <f t="shared" ref="P22" si="26">SUM(Q22:X22)</f>
        <v>12</v>
      </c>
      <c r="Q22" s="248">
        <v>1</v>
      </c>
      <c r="R22" s="248">
        <v>2</v>
      </c>
      <c r="S22" s="248">
        <v>4</v>
      </c>
      <c r="T22" s="248">
        <v>3</v>
      </c>
      <c r="U22" s="248">
        <v>2</v>
      </c>
      <c r="V22" s="248">
        <v>0</v>
      </c>
      <c r="W22" s="248">
        <v>0</v>
      </c>
      <c r="X22" s="248">
        <v>0</v>
      </c>
      <c r="Y22" s="63"/>
      <c r="Z22" s="63"/>
      <c r="AA22" s="63"/>
      <c r="AB22" s="63"/>
      <c r="AC22" s="63"/>
    </row>
    <row r="23" spans="1:29" hidden="1" x14ac:dyDescent="0.2">
      <c r="A23" s="253">
        <f>'5.Bev.össz'!A24</f>
        <v>0</v>
      </c>
      <c r="B23" s="103"/>
      <c r="C23" s="103"/>
      <c r="D23" s="103"/>
      <c r="E23" s="103"/>
      <c r="F23" s="103">
        <f>SUM('4. Átadott p.eszk.'!J68-'4. Átadott p.eszk.'!J61-'4. Átadott p.eszk.'!J62)+'2.működés'!K132+'2.működés'!K133+'2.működés'!K134</f>
        <v>38398</v>
      </c>
      <c r="G23" s="103"/>
      <c r="H23" s="103"/>
      <c r="I23" s="103"/>
      <c r="J23" s="111">
        <f t="shared" si="21"/>
        <v>38398</v>
      </c>
      <c r="K23" s="103">
        <f>SUM('3.felh'!K49)</f>
        <v>636919</v>
      </c>
      <c r="L23" s="103">
        <f>SUM('3.felh'!K74)</f>
        <v>323580</v>
      </c>
      <c r="M23" s="103">
        <f>'3.felh'!I96</f>
        <v>0</v>
      </c>
      <c r="N23" s="111">
        <f t="shared" ref="N23:N32" si="27">SUM(K23:M23)</f>
        <v>960499</v>
      </c>
      <c r="O23" s="254">
        <f t="shared" si="22"/>
        <v>998897</v>
      </c>
      <c r="P23" s="248">
        <f t="shared" si="23"/>
        <v>0</v>
      </c>
      <c r="Q23" s="248"/>
      <c r="R23" s="248"/>
      <c r="S23" s="248"/>
      <c r="T23" s="248"/>
      <c r="U23" s="248"/>
      <c r="V23" s="248"/>
      <c r="W23" s="248"/>
      <c r="X23" s="248"/>
      <c r="Y23" s="63"/>
      <c r="Z23" s="63"/>
      <c r="AA23" s="63"/>
      <c r="AB23" s="63"/>
      <c r="AC23" s="63"/>
    </row>
    <row r="24" spans="1:29" x14ac:dyDescent="0.2">
      <c r="A24" s="253" t="str">
        <f>'5.Bev.össz'!A25</f>
        <v xml:space="preserve">       Teljesítés 2025.12.31.</v>
      </c>
      <c r="B24" s="103">
        <f>SUM('7.finanszírozás.'!C116)</f>
        <v>77514</v>
      </c>
      <c r="C24" s="103">
        <f>SUM('7.finanszírozás.'!C124)</f>
        <v>8688</v>
      </c>
      <c r="D24" s="103">
        <f>SUM('7.finanszírozás.'!C132)</f>
        <v>324887</v>
      </c>
      <c r="E24" s="103">
        <f>SUM('7.finanszírozás.'!C148)</f>
        <v>6187</v>
      </c>
      <c r="F24" s="103">
        <f>SUM('4. Átadott p.eszk.'!K66-'4. Átadott p.eszk.'!K60-'4. Átadott p.eszk.'!K61)+'2.működés'!L131+'2.működés'!L132+'2.működés'!L133</f>
        <v>700299</v>
      </c>
      <c r="G24" s="103">
        <f>SUM('7.finanszírozás.'!E57+'7.finanszírozás.'!E66)</f>
        <v>240067</v>
      </c>
      <c r="H24" s="103">
        <f>SUM('1.Bev-kiad.'!L83)</f>
        <v>115874</v>
      </c>
      <c r="I24" s="103">
        <f>SUM('2.működés'!L130)</f>
        <v>0</v>
      </c>
      <c r="J24" s="111">
        <f t="shared" ref="J24:J32" si="28">SUM(B24:I24)</f>
        <v>1473516</v>
      </c>
      <c r="K24" s="103">
        <f>SUM('3.felh'!L48)</f>
        <v>188134</v>
      </c>
      <c r="L24" s="103">
        <f>SUM('3.felh'!L73)</f>
        <v>172659</v>
      </c>
      <c r="M24" s="103">
        <f>'3.felh'!I97</f>
        <v>0</v>
      </c>
      <c r="N24" s="111">
        <f t="shared" si="27"/>
        <v>360793</v>
      </c>
      <c r="O24" s="254">
        <f t="shared" si="22"/>
        <v>1834309</v>
      </c>
      <c r="P24" s="248">
        <f t="shared" si="23"/>
        <v>12</v>
      </c>
      <c r="Q24" s="248">
        <v>1</v>
      </c>
      <c r="R24" s="248">
        <v>2</v>
      </c>
      <c r="S24" s="248">
        <v>4</v>
      </c>
      <c r="T24" s="248">
        <v>3</v>
      </c>
      <c r="U24" s="248">
        <v>2</v>
      </c>
      <c r="V24" s="248">
        <v>0</v>
      </c>
      <c r="W24" s="248">
        <v>0</v>
      </c>
      <c r="X24" s="248">
        <v>0</v>
      </c>
      <c r="Y24" s="63"/>
      <c r="Z24" s="63"/>
      <c r="AA24" s="63"/>
      <c r="AB24" s="63"/>
      <c r="AC24" s="63"/>
    </row>
    <row r="25" spans="1:29" s="468" customFormat="1" ht="21" customHeight="1" x14ac:dyDescent="0.2">
      <c r="A25" s="483" t="s">
        <v>782</v>
      </c>
      <c r="B25" s="488"/>
      <c r="C25" s="488"/>
      <c r="D25" s="488"/>
      <c r="E25" s="488"/>
      <c r="F25" s="489">
        <v>6786</v>
      </c>
      <c r="G25" s="488"/>
      <c r="H25" s="488"/>
      <c r="I25" s="488"/>
      <c r="J25" s="485">
        <v>6786</v>
      </c>
      <c r="K25" s="489">
        <v>205647</v>
      </c>
      <c r="L25" s="489">
        <v>522079</v>
      </c>
      <c r="M25" s="489">
        <v>850465</v>
      </c>
      <c r="N25" s="485">
        <v>1578191</v>
      </c>
      <c r="O25" s="486">
        <v>1584977</v>
      </c>
      <c r="P25" s="482">
        <f t="shared" ref="P25" si="29">SUM(Q25:V25)</f>
        <v>0</v>
      </c>
      <c r="Q25" s="487"/>
      <c r="R25" s="487"/>
      <c r="S25" s="487"/>
      <c r="T25" s="487"/>
      <c r="U25" s="487"/>
      <c r="V25" s="487"/>
      <c r="W25" s="487"/>
      <c r="X25" s="487"/>
      <c r="Y25" s="63"/>
      <c r="Z25" s="63"/>
      <c r="AA25" s="63"/>
      <c r="AB25" s="63"/>
      <c r="AC25" s="63"/>
    </row>
    <row r="26" spans="1:29" ht="20.25" customHeight="1" x14ac:dyDescent="0.2">
      <c r="A26" s="253" t="str">
        <f>'5.Bev.össz'!A28</f>
        <v xml:space="preserve">       Önként vállalt (eredeti előirányzat 2025. év)</v>
      </c>
      <c r="B26" s="64"/>
      <c r="C26" s="64"/>
      <c r="D26" s="64"/>
      <c r="E26" s="64"/>
      <c r="F26" s="62">
        <f>SUM('4. Átadott p.eszk.'!C60+'4. Átadott p.eszk.'!C61)</f>
        <v>7250</v>
      </c>
      <c r="G26" s="62"/>
      <c r="H26" s="62"/>
      <c r="I26" s="62"/>
      <c r="J26" s="111">
        <f>SUM(B26:I26)</f>
        <v>7250</v>
      </c>
      <c r="K26" s="103"/>
      <c r="L26" s="103"/>
      <c r="M26" s="103"/>
      <c r="N26" s="111">
        <f>SUM(K26:M26)</f>
        <v>0</v>
      </c>
      <c r="O26" s="254">
        <f t="shared" si="22"/>
        <v>7250</v>
      </c>
      <c r="P26" s="248">
        <f>SUM(Q26:X26)</f>
        <v>0</v>
      </c>
      <c r="Q26" s="251">
        <v>0</v>
      </c>
      <c r="R26" s="251">
        <v>0</v>
      </c>
      <c r="S26" s="251">
        <v>0</v>
      </c>
      <c r="T26" s="251">
        <v>0</v>
      </c>
      <c r="U26" s="251">
        <v>0</v>
      </c>
      <c r="V26" s="251">
        <v>0</v>
      </c>
      <c r="W26" s="251">
        <v>0</v>
      </c>
      <c r="X26" s="251">
        <v>0</v>
      </c>
      <c r="Y26" s="63"/>
      <c r="Z26" s="63"/>
      <c r="AA26" s="63"/>
      <c r="AB26" s="63"/>
      <c r="AC26" s="63"/>
    </row>
    <row r="27" spans="1:29" ht="20.25" hidden="1" customHeight="1" x14ac:dyDescent="0.2">
      <c r="A27" s="253" t="str">
        <f>'5.Bev.össz'!A29</f>
        <v xml:space="preserve">       Önként vállalt (módosított előirányzat 2025.06. havi)</v>
      </c>
      <c r="B27" s="62"/>
      <c r="C27" s="62"/>
      <c r="D27" s="62"/>
      <c r="E27" s="62"/>
      <c r="F27" s="62">
        <f>'4. Átadott p.eszk.'!D60+'4. Átadott p.eszk.'!D61</f>
        <v>7250</v>
      </c>
      <c r="G27" s="62"/>
      <c r="H27" s="62"/>
      <c r="I27" s="62"/>
      <c r="J27" s="111">
        <f t="shared" si="28"/>
        <v>7250</v>
      </c>
      <c r="K27" s="103"/>
      <c r="L27" s="103"/>
      <c r="M27" s="103"/>
      <c r="N27" s="111">
        <v>0</v>
      </c>
      <c r="O27" s="254">
        <f>SUM(J27+N27)</f>
        <v>7250</v>
      </c>
      <c r="P27" s="248">
        <f t="shared" ref="P27:P28" si="30">SUM(Q27:X27)</f>
        <v>0</v>
      </c>
      <c r="Q27" s="251">
        <v>0</v>
      </c>
      <c r="R27" s="251">
        <v>0</v>
      </c>
      <c r="S27" s="251">
        <v>0</v>
      </c>
      <c r="T27" s="251">
        <v>0</v>
      </c>
      <c r="U27" s="251">
        <v>0</v>
      </c>
      <c r="V27" s="251">
        <v>0</v>
      </c>
      <c r="W27" s="251">
        <v>0</v>
      </c>
      <c r="X27" s="251">
        <v>0</v>
      </c>
      <c r="Y27" s="63"/>
      <c r="Z27" s="63"/>
      <c r="AA27" s="63"/>
      <c r="AB27" s="63"/>
      <c r="AC27" s="63"/>
    </row>
    <row r="28" spans="1:29" ht="21" hidden="1" customHeight="1" x14ac:dyDescent="0.2">
      <c r="A28" s="253" t="str">
        <f>'5.Bev.össz'!A30</f>
        <v xml:space="preserve">       Önként vállalt (módosított előirányzat 2025.09.havi)</v>
      </c>
      <c r="B28" s="64"/>
      <c r="C28" s="64"/>
      <c r="D28" s="64"/>
      <c r="E28" s="64"/>
      <c r="F28" s="62">
        <f>'4. Átadott p.eszk.'!F60+'4. Átadott p.eszk.'!F61</f>
        <v>7250</v>
      </c>
      <c r="G28" s="62"/>
      <c r="H28" s="62"/>
      <c r="I28" s="62"/>
      <c r="J28" s="111">
        <f t="shared" ref="J28" si="31">SUM(B28:I28)</f>
        <v>7250</v>
      </c>
      <c r="K28" s="103"/>
      <c r="L28" s="103"/>
      <c r="M28" s="103"/>
      <c r="N28" s="111">
        <v>0</v>
      </c>
      <c r="O28" s="254">
        <f>SUM(J28+N28)</f>
        <v>7250</v>
      </c>
      <c r="P28" s="248">
        <f t="shared" si="30"/>
        <v>0</v>
      </c>
      <c r="Q28" s="251">
        <v>0</v>
      </c>
      <c r="R28" s="251">
        <v>0</v>
      </c>
      <c r="S28" s="251">
        <v>0</v>
      </c>
      <c r="T28" s="251">
        <v>0</v>
      </c>
      <c r="U28" s="251">
        <v>0</v>
      </c>
      <c r="V28" s="251">
        <v>0</v>
      </c>
      <c r="W28" s="251">
        <v>0</v>
      </c>
      <c r="X28" s="251">
        <v>0</v>
      </c>
      <c r="Y28" s="63"/>
      <c r="Z28" s="63"/>
      <c r="AA28" s="63"/>
      <c r="AB28" s="63"/>
      <c r="AC28" s="63"/>
    </row>
    <row r="29" spans="1:29" ht="17.25" hidden="1" customHeight="1" x14ac:dyDescent="0.2">
      <c r="A29" s="253" t="str">
        <f>'5.Bev.össz'!A31</f>
        <v xml:space="preserve">       Önként vállalt (módosított előirányzat 2025.12.havi)</v>
      </c>
      <c r="B29" s="64"/>
      <c r="C29" s="64"/>
      <c r="D29" s="64"/>
      <c r="E29" s="64"/>
      <c r="F29" s="62">
        <f>'4. Átadott p.eszk.'!H60+'4. Átadott p.eszk.'!H61</f>
        <v>7250</v>
      </c>
      <c r="G29" s="62"/>
      <c r="H29" s="62"/>
      <c r="I29" s="62"/>
      <c r="J29" s="111">
        <f t="shared" si="28"/>
        <v>7250</v>
      </c>
      <c r="K29" s="103"/>
      <c r="L29" s="103"/>
      <c r="M29" s="103"/>
      <c r="N29" s="111">
        <f t="shared" si="27"/>
        <v>0</v>
      </c>
      <c r="O29" s="254">
        <f t="shared" ref="O29:O32" si="32">SUM(J29+N29)</f>
        <v>7250</v>
      </c>
      <c r="P29" s="248">
        <f t="shared" ref="P29" si="33">SUM(Q29:X29)</f>
        <v>0</v>
      </c>
      <c r="Q29" s="251">
        <v>0</v>
      </c>
      <c r="R29" s="251">
        <v>0</v>
      </c>
      <c r="S29" s="251">
        <v>0</v>
      </c>
      <c r="T29" s="251">
        <v>0</v>
      </c>
      <c r="U29" s="251">
        <v>0</v>
      </c>
      <c r="V29" s="251">
        <v>0</v>
      </c>
      <c r="W29" s="251">
        <v>0</v>
      </c>
      <c r="X29" s="251">
        <v>0</v>
      </c>
      <c r="Y29" s="63"/>
      <c r="Z29" s="63"/>
      <c r="AA29" s="63"/>
      <c r="AB29" s="63"/>
      <c r="AC29" s="63"/>
    </row>
    <row r="30" spans="1:29" ht="17.25" customHeight="1" x14ac:dyDescent="0.2">
      <c r="A30" s="253" t="str">
        <f>'5.Bev.össz'!A32</f>
        <v xml:space="preserve">       Önként vállalt (módosított előirányzat 2025.12.31)</v>
      </c>
      <c r="B30" s="64"/>
      <c r="C30" s="64"/>
      <c r="D30" s="64"/>
      <c r="E30" s="64"/>
      <c r="F30" s="62">
        <f>'4. Átadott p.eszk.'!J60+'4. Átadott p.eszk.'!J61</f>
        <v>7250</v>
      </c>
      <c r="G30" s="62"/>
      <c r="H30" s="62"/>
      <c r="I30" s="62"/>
      <c r="J30" s="111">
        <f t="shared" ref="J30" si="34">SUM(B30:I30)</f>
        <v>7250</v>
      </c>
      <c r="K30" s="103"/>
      <c r="L30" s="103"/>
      <c r="M30" s="103"/>
      <c r="N30" s="111">
        <f t="shared" ref="N30" si="35">SUM(K30:M30)</f>
        <v>0</v>
      </c>
      <c r="O30" s="254">
        <f t="shared" ref="O30" si="36">SUM(J30+N30)</f>
        <v>7250</v>
      </c>
      <c r="P30" s="248">
        <f t="shared" ref="P30" si="37">SUM(Q30:X30)</f>
        <v>0</v>
      </c>
      <c r="Q30" s="251">
        <v>0</v>
      </c>
      <c r="R30" s="251">
        <v>0</v>
      </c>
      <c r="S30" s="251">
        <v>0</v>
      </c>
      <c r="T30" s="251">
        <v>0</v>
      </c>
      <c r="U30" s="251">
        <v>0</v>
      </c>
      <c r="V30" s="251">
        <v>0</v>
      </c>
      <c r="W30" s="251">
        <v>0</v>
      </c>
      <c r="X30" s="251">
        <v>0</v>
      </c>
      <c r="Y30" s="63"/>
      <c r="Z30" s="63"/>
      <c r="AA30" s="63"/>
      <c r="AB30" s="63"/>
      <c r="AC30" s="63"/>
    </row>
    <row r="31" spans="1:29" hidden="1" x14ac:dyDescent="0.2">
      <c r="A31" s="253">
        <f>'5.Bev.össz'!A33</f>
        <v>0</v>
      </c>
      <c r="B31" s="64"/>
      <c r="C31" s="64"/>
      <c r="D31" s="64"/>
      <c r="E31" s="64"/>
      <c r="F31" s="62">
        <f>'4. Átadott p.eszk.'!J61+'4. Átadott p.eszk.'!J62</f>
        <v>250</v>
      </c>
      <c r="G31" s="62"/>
      <c r="H31" s="62"/>
      <c r="I31" s="62"/>
      <c r="J31" s="111">
        <f t="shared" si="28"/>
        <v>250</v>
      </c>
      <c r="K31" s="103"/>
      <c r="L31" s="103"/>
      <c r="M31" s="103"/>
      <c r="N31" s="111">
        <f t="shared" si="27"/>
        <v>0</v>
      </c>
      <c r="O31" s="254">
        <f t="shared" si="32"/>
        <v>250</v>
      </c>
      <c r="P31" s="251"/>
      <c r="Q31" s="251"/>
      <c r="R31" s="251"/>
      <c r="S31" s="251"/>
      <c r="T31" s="251"/>
      <c r="U31" s="251"/>
      <c r="V31" s="251"/>
      <c r="W31" s="251"/>
      <c r="X31" s="251"/>
      <c r="Y31" s="63"/>
      <c r="Z31" s="63"/>
      <c r="AA31" s="63"/>
      <c r="AB31" s="63"/>
      <c r="AC31" s="63"/>
    </row>
    <row r="32" spans="1:29" x14ac:dyDescent="0.2">
      <c r="A32" s="253" t="str">
        <f>'5.Bev.össz'!A34</f>
        <v xml:space="preserve">       Teljesítés 2025.12.31.</v>
      </c>
      <c r="B32" s="64"/>
      <c r="C32" s="64"/>
      <c r="D32" s="64"/>
      <c r="E32" s="64"/>
      <c r="F32" s="62">
        <f>'4. Átadott p.eszk.'!K60+'4. Átadott p.eszk.'!K61</f>
        <v>7165</v>
      </c>
      <c r="G32" s="64"/>
      <c r="H32" s="64"/>
      <c r="I32" s="64"/>
      <c r="J32" s="111">
        <f t="shared" si="28"/>
        <v>7165</v>
      </c>
      <c r="K32" s="297"/>
      <c r="L32" s="297"/>
      <c r="M32" s="297"/>
      <c r="N32" s="111">
        <f t="shared" si="27"/>
        <v>0</v>
      </c>
      <c r="O32" s="254">
        <f t="shared" si="32"/>
        <v>7165</v>
      </c>
      <c r="P32" s="251"/>
      <c r="Q32" s="251"/>
      <c r="R32" s="251"/>
      <c r="S32" s="251"/>
      <c r="T32" s="251"/>
      <c r="U32" s="251"/>
      <c r="V32" s="251"/>
      <c r="W32" s="251"/>
      <c r="X32" s="251"/>
      <c r="Y32" s="63"/>
      <c r="Z32" s="63"/>
      <c r="AA32" s="63"/>
      <c r="AB32" s="63"/>
      <c r="AC32" s="63"/>
    </row>
    <row r="33" spans="1:29" ht="20.25" customHeight="1" thickBot="1" x14ac:dyDescent="0.25">
      <c r="A33" s="255" t="str">
        <f>'5.Bev.össz'!A35</f>
        <v xml:space="preserve">       Államigazgatási feladatok (eredeti előirányzat 2025. év)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254"/>
      <c r="P33" s="251"/>
      <c r="Q33" s="251"/>
      <c r="R33" s="251"/>
      <c r="S33" s="251"/>
      <c r="T33" s="251"/>
      <c r="U33" s="251"/>
      <c r="V33" s="251"/>
      <c r="W33" s="251"/>
      <c r="X33" s="251"/>
      <c r="Y33" s="63"/>
      <c r="Z33" s="63"/>
      <c r="AA33" s="63"/>
      <c r="AB33" s="63"/>
      <c r="AC33" s="63"/>
    </row>
    <row r="34" spans="1:29" s="468" customFormat="1" ht="16.5" customHeight="1" thickBot="1" x14ac:dyDescent="0.25">
      <c r="A34" s="479" t="s">
        <v>783</v>
      </c>
      <c r="B34" s="463">
        <v>219185</v>
      </c>
      <c r="C34" s="463">
        <v>27744</v>
      </c>
      <c r="D34" s="463">
        <v>24382</v>
      </c>
      <c r="E34" s="463">
        <v>0</v>
      </c>
      <c r="F34" s="463">
        <v>0</v>
      </c>
      <c r="G34" s="463">
        <v>0</v>
      </c>
      <c r="H34" s="463">
        <v>0</v>
      </c>
      <c r="I34" s="463">
        <v>0</v>
      </c>
      <c r="J34" s="480">
        <v>271311</v>
      </c>
      <c r="K34" s="480">
        <v>703</v>
      </c>
      <c r="L34" s="480">
        <v>0</v>
      </c>
      <c r="M34" s="480">
        <v>0</v>
      </c>
      <c r="N34" s="480">
        <v>703</v>
      </c>
      <c r="O34" s="481">
        <v>272014</v>
      </c>
      <c r="P34" s="482">
        <v>36</v>
      </c>
      <c r="Q34" s="490"/>
      <c r="R34" s="490"/>
      <c r="S34" s="490"/>
      <c r="T34" s="490"/>
      <c r="U34" s="490"/>
      <c r="V34" s="490"/>
      <c r="W34" s="490"/>
      <c r="X34" s="490"/>
      <c r="Y34" s="63"/>
      <c r="Z34" s="63"/>
      <c r="AA34" s="63"/>
      <c r="AB34" s="63"/>
      <c r="AC34" s="63"/>
    </row>
    <row r="35" spans="1:29" s="63" customFormat="1" ht="21" customHeight="1" thickBot="1" x14ac:dyDescent="0.25">
      <c r="A35" s="245" t="str">
        <f>'5.Bev.össz'!A37</f>
        <v>KÖH (eredeti előirányzat 2025. év)</v>
      </c>
      <c r="B35" s="106">
        <f t="shared" ref="B35:J35" si="38">SUM(B43)</f>
        <v>222571</v>
      </c>
      <c r="C35" s="106">
        <f t="shared" si="38"/>
        <v>28688</v>
      </c>
      <c r="D35" s="106">
        <f t="shared" si="38"/>
        <v>26222</v>
      </c>
      <c r="E35" s="106">
        <f t="shared" si="38"/>
        <v>0</v>
      </c>
      <c r="F35" s="106">
        <f t="shared" si="38"/>
        <v>0</v>
      </c>
      <c r="G35" s="106">
        <f t="shared" si="38"/>
        <v>0</v>
      </c>
      <c r="H35" s="106">
        <f t="shared" si="38"/>
        <v>0</v>
      </c>
      <c r="I35" s="106">
        <f t="shared" si="38"/>
        <v>0</v>
      </c>
      <c r="J35" s="99">
        <f t="shared" si="38"/>
        <v>277481</v>
      </c>
      <c r="K35" s="99">
        <f t="shared" ref="K35:M39" si="39">K43</f>
        <v>700</v>
      </c>
      <c r="L35" s="99">
        <f t="shared" si="39"/>
        <v>0</v>
      </c>
      <c r="M35" s="99">
        <f t="shared" si="39"/>
        <v>0</v>
      </c>
      <c r="N35" s="99">
        <f>K35+L35+M35</f>
        <v>700</v>
      </c>
      <c r="O35" s="112">
        <f>(N35+J35)</f>
        <v>278181</v>
      </c>
      <c r="P35" s="249">
        <f>P43</f>
        <v>32</v>
      </c>
      <c r="Q35" s="249">
        <f t="shared" ref="Q35:X39" si="40">Q43</f>
        <v>0</v>
      </c>
      <c r="R35" s="249">
        <f t="shared" si="40"/>
        <v>0</v>
      </c>
      <c r="S35" s="249">
        <f t="shared" si="40"/>
        <v>0</v>
      </c>
      <c r="T35" s="249">
        <f t="shared" si="40"/>
        <v>0</v>
      </c>
      <c r="U35" s="249">
        <f t="shared" si="40"/>
        <v>3</v>
      </c>
      <c r="V35" s="249">
        <f t="shared" si="40"/>
        <v>0</v>
      </c>
      <c r="W35" s="249">
        <f t="shared" si="40"/>
        <v>26</v>
      </c>
      <c r="X35" s="249">
        <f t="shared" si="40"/>
        <v>3</v>
      </c>
    </row>
    <row r="36" spans="1:29" s="63" customFormat="1" ht="21" hidden="1" customHeight="1" thickBot="1" x14ac:dyDescent="0.25">
      <c r="A36" s="245" t="str">
        <f>'5.Bev.össz'!A38</f>
        <v>KÖH (módosított előirányzat 2025.06. havi)</v>
      </c>
      <c r="B36" s="106">
        <f t="shared" ref="B36:J37" si="41">SUM(B44)</f>
        <v>235216</v>
      </c>
      <c r="C36" s="106">
        <f t="shared" si="41"/>
        <v>30306</v>
      </c>
      <c r="D36" s="106">
        <f t="shared" si="41"/>
        <v>28692</v>
      </c>
      <c r="E36" s="106">
        <f t="shared" si="41"/>
        <v>0</v>
      </c>
      <c r="F36" s="106">
        <f t="shared" si="41"/>
        <v>0</v>
      </c>
      <c r="G36" s="106">
        <f t="shared" si="41"/>
        <v>0</v>
      </c>
      <c r="H36" s="106">
        <f t="shared" si="41"/>
        <v>0</v>
      </c>
      <c r="I36" s="106">
        <f t="shared" si="41"/>
        <v>0</v>
      </c>
      <c r="J36" s="99">
        <f t="shared" si="41"/>
        <v>294214</v>
      </c>
      <c r="K36" s="99">
        <f t="shared" si="39"/>
        <v>700</v>
      </c>
      <c r="L36" s="99">
        <f t="shared" si="39"/>
        <v>0</v>
      </c>
      <c r="M36" s="99">
        <f t="shared" si="39"/>
        <v>0</v>
      </c>
      <c r="N36" s="99">
        <f t="shared" ref="N36:N41" si="42">K36+L36+M36</f>
        <v>700</v>
      </c>
      <c r="O36" s="112">
        <f t="shared" ref="O36:O41" si="43">(N36+J36)</f>
        <v>294914</v>
      </c>
      <c r="P36" s="249">
        <f t="shared" ref="P36:W36" si="44">P44</f>
        <v>31</v>
      </c>
      <c r="Q36" s="249">
        <f t="shared" si="44"/>
        <v>0</v>
      </c>
      <c r="R36" s="249">
        <f t="shared" si="44"/>
        <v>0</v>
      </c>
      <c r="S36" s="249">
        <f t="shared" si="44"/>
        <v>0</v>
      </c>
      <c r="T36" s="249">
        <f t="shared" si="44"/>
        <v>0</v>
      </c>
      <c r="U36" s="249">
        <f t="shared" si="44"/>
        <v>3</v>
      </c>
      <c r="V36" s="249">
        <f t="shared" si="44"/>
        <v>0</v>
      </c>
      <c r="W36" s="249">
        <f t="shared" si="44"/>
        <v>27</v>
      </c>
      <c r="X36" s="249">
        <f t="shared" si="40"/>
        <v>1</v>
      </c>
    </row>
    <row r="37" spans="1:29" s="63" customFormat="1" ht="21" hidden="1" customHeight="1" thickBot="1" x14ac:dyDescent="0.25">
      <c r="A37" s="245" t="str">
        <f>'5.Bev.össz'!A39</f>
        <v>KÖH (módosított előirányzat 2025.09. havi)</v>
      </c>
      <c r="B37" s="106">
        <f t="shared" si="41"/>
        <v>235216</v>
      </c>
      <c r="C37" s="106">
        <f t="shared" si="41"/>
        <v>30306</v>
      </c>
      <c r="D37" s="106">
        <f t="shared" si="41"/>
        <v>28942</v>
      </c>
      <c r="E37" s="106">
        <f t="shared" si="41"/>
        <v>0</v>
      </c>
      <c r="F37" s="106">
        <f t="shared" si="41"/>
        <v>0</v>
      </c>
      <c r="G37" s="106">
        <f t="shared" si="41"/>
        <v>0</v>
      </c>
      <c r="H37" s="106">
        <f t="shared" si="41"/>
        <v>0</v>
      </c>
      <c r="I37" s="106">
        <f t="shared" si="41"/>
        <v>0</v>
      </c>
      <c r="J37" s="99">
        <f t="shared" si="41"/>
        <v>294464</v>
      </c>
      <c r="K37" s="99">
        <f t="shared" si="39"/>
        <v>700</v>
      </c>
      <c r="L37" s="99">
        <f t="shared" si="39"/>
        <v>0</v>
      </c>
      <c r="M37" s="99">
        <f t="shared" si="39"/>
        <v>0</v>
      </c>
      <c r="N37" s="99">
        <f t="shared" ref="N37" si="45">K37+L37+M37</f>
        <v>700</v>
      </c>
      <c r="O37" s="112">
        <f t="shared" ref="O37" si="46">(N37+J37)</f>
        <v>295164</v>
      </c>
      <c r="P37" s="249">
        <f t="shared" ref="P37:W39" si="47">P45</f>
        <v>31</v>
      </c>
      <c r="Q37" s="249">
        <f t="shared" si="47"/>
        <v>0</v>
      </c>
      <c r="R37" s="249">
        <f t="shared" si="47"/>
        <v>0</v>
      </c>
      <c r="S37" s="249">
        <f t="shared" si="47"/>
        <v>0</v>
      </c>
      <c r="T37" s="249">
        <f t="shared" si="47"/>
        <v>0</v>
      </c>
      <c r="U37" s="249">
        <f t="shared" si="47"/>
        <v>3</v>
      </c>
      <c r="V37" s="249">
        <f t="shared" si="47"/>
        <v>0</v>
      </c>
      <c r="W37" s="249">
        <f t="shared" si="47"/>
        <v>27</v>
      </c>
      <c r="X37" s="249">
        <f t="shared" si="40"/>
        <v>1</v>
      </c>
    </row>
    <row r="38" spans="1:29" s="63" customFormat="1" ht="21" hidden="1" customHeight="1" thickBot="1" x14ac:dyDescent="0.25">
      <c r="A38" s="245" t="str">
        <f>'5.Bev.össz'!A40</f>
        <v>KÖH (módosított előirányzat 2025.12. havi)</v>
      </c>
      <c r="B38" s="106">
        <f t="shared" ref="B38:J39" si="48">SUM(B46)</f>
        <v>235216</v>
      </c>
      <c r="C38" s="106">
        <f t="shared" si="48"/>
        <v>30306</v>
      </c>
      <c r="D38" s="106">
        <f t="shared" si="48"/>
        <v>28942</v>
      </c>
      <c r="E38" s="106">
        <f t="shared" si="48"/>
        <v>0</v>
      </c>
      <c r="F38" s="106">
        <f t="shared" si="48"/>
        <v>0</v>
      </c>
      <c r="G38" s="106">
        <f t="shared" si="48"/>
        <v>0</v>
      </c>
      <c r="H38" s="106">
        <f t="shared" si="48"/>
        <v>0</v>
      </c>
      <c r="I38" s="106">
        <f t="shared" si="48"/>
        <v>0</v>
      </c>
      <c r="J38" s="99">
        <f t="shared" si="48"/>
        <v>294464</v>
      </c>
      <c r="K38" s="99">
        <f t="shared" si="39"/>
        <v>700</v>
      </c>
      <c r="L38" s="99">
        <f t="shared" si="39"/>
        <v>0</v>
      </c>
      <c r="M38" s="99">
        <f t="shared" si="39"/>
        <v>0</v>
      </c>
      <c r="N38" s="99">
        <f t="shared" si="42"/>
        <v>700</v>
      </c>
      <c r="O38" s="112">
        <f t="shared" si="43"/>
        <v>295164</v>
      </c>
      <c r="P38" s="249">
        <f t="shared" si="47"/>
        <v>30</v>
      </c>
      <c r="Q38" s="249">
        <f t="shared" si="47"/>
        <v>0</v>
      </c>
      <c r="R38" s="249">
        <f t="shared" si="47"/>
        <v>0</v>
      </c>
      <c r="S38" s="249">
        <f t="shared" si="47"/>
        <v>0</v>
      </c>
      <c r="T38" s="249">
        <f t="shared" si="47"/>
        <v>0</v>
      </c>
      <c r="U38" s="249">
        <f t="shared" si="47"/>
        <v>4</v>
      </c>
      <c r="V38" s="249">
        <f t="shared" si="47"/>
        <v>0</v>
      </c>
      <c r="W38" s="249">
        <f t="shared" si="47"/>
        <v>25</v>
      </c>
      <c r="X38" s="249">
        <f t="shared" si="40"/>
        <v>1</v>
      </c>
    </row>
    <row r="39" spans="1:29" s="63" customFormat="1" ht="21" customHeight="1" thickBot="1" x14ac:dyDescent="0.25">
      <c r="A39" s="245" t="str">
        <f>'5.Bev.össz'!A41</f>
        <v>KÖH (módosított előirányzat 2025.12.31)</v>
      </c>
      <c r="B39" s="106">
        <f t="shared" si="48"/>
        <v>235216</v>
      </c>
      <c r="C39" s="106">
        <f t="shared" si="48"/>
        <v>30306</v>
      </c>
      <c r="D39" s="106">
        <f t="shared" si="48"/>
        <v>28942</v>
      </c>
      <c r="E39" s="106">
        <f t="shared" si="48"/>
        <v>0</v>
      </c>
      <c r="F39" s="106">
        <f t="shared" si="48"/>
        <v>0</v>
      </c>
      <c r="G39" s="106">
        <f t="shared" si="48"/>
        <v>0</v>
      </c>
      <c r="H39" s="106">
        <f t="shared" si="48"/>
        <v>0</v>
      </c>
      <c r="I39" s="106">
        <f t="shared" si="48"/>
        <v>0</v>
      </c>
      <c r="J39" s="99">
        <f t="shared" si="48"/>
        <v>294464</v>
      </c>
      <c r="K39" s="99">
        <f t="shared" si="39"/>
        <v>700</v>
      </c>
      <c r="L39" s="99">
        <f t="shared" si="39"/>
        <v>0</v>
      </c>
      <c r="M39" s="99">
        <f t="shared" si="39"/>
        <v>0</v>
      </c>
      <c r="N39" s="99">
        <f t="shared" ref="N39" si="49">K39+L39+M39</f>
        <v>700</v>
      </c>
      <c r="O39" s="112">
        <f t="shared" ref="O39" si="50">(N39+J39)</f>
        <v>295164</v>
      </c>
      <c r="P39" s="249">
        <f t="shared" si="47"/>
        <v>30</v>
      </c>
      <c r="Q39" s="249">
        <f t="shared" si="47"/>
        <v>0</v>
      </c>
      <c r="R39" s="249">
        <f t="shared" si="47"/>
        <v>0</v>
      </c>
      <c r="S39" s="249">
        <f t="shared" si="47"/>
        <v>0</v>
      </c>
      <c r="T39" s="249">
        <f t="shared" si="47"/>
        <v>0</v>
      </c>
      <c r="U39" s="249">
        <f t="shared" si="47"/>
        <v>4</v>
      </c>
      <c r="V39" s="249">
        <f t="shared" si="47"/>
        <v>0</v>
      </c>
      <c r="W39" s="249">
        <f t="shared" si="47"/>
        <v>25</v>
      </c>
      <c r="X39" s="249">
        <f t="shared" si="40"/>
        <v>1</v>
      </c>
    </row>
    <row r="40" spans="1:29" s="63" customFormat="1" ht="13.5" hidden="1" thickBot="1" x14ac:dyDescent="0.25">
      <c r="A40" s="245">
        <f>'5.Bev.össz'!A42</f>
        <v>0</v>
      </c>
      <c r="B40" s="106">
        <f t="shared" ref="B40:J40" si="51">SUM(B48)</f>
        <v>0</v>
      </c>
      <c r="C40" s="106">
        <f t="shared" si="51"/>
        <v>0</v>
      </c>
      <c r="D40" s="106">
        <f t="shared" si="51"/>
        <v>0</v>
      </c>
      <c r="E40" s="106">
        <f t="shared" si="51"/>
        <v>0</v>
      </c>
      <c r="F40" s="106">
        <f t="shared" si="51"/>
        <v>0</v>
      </c>
      <c r="G40" s="106">
        <f t="shared" si="51"/>
        <v>0</v>
      </c>
      <c r="H40" s="106">
        <f t="shared" si="51"/>
        <v>0</v>
      </c>
      <c r="I40" s="106">
        <f t="shared" si="51"/>
        <v>0</v>
      </c>
      <c r="J40" s="99">
        <f t="shared" si="51"/>
        <v>0</v>
      </c>
      <c r="K40" s="99">
        <f t="shared" ref="K40:M41" si="52">K48</f>
        <v>0</v>
      </c>
      <c r="L40" s="99">
        <f t="shared" si="52"/>
        <v>0</v>
      </c>
      <c r="M40" s="99">
        <f t="shared" si="52"/>
        <v>0</v>
      </c>
      <c r="N40" s="99">
        <f t="shared" si="42"/>
        <v>0</v>
      </c>
      <c r="O40" s="112">
        <f t="shared" si="43"/>
        <v>0</v>
      </c>
      <c r="P40" s="249">
        <f t="shared" ref="P40:X40" si="53">P48</f>
        <v>0</v>
      </c>
      <c r="Q40" s="249">
        <f t="shared" si="53"/>
        <v>0</v>
      </c>
      <c r="R40" s="249">
        <f t="shared" si="53"/>
        <v>0</v>
      </c>
      <c r="S40" s="249">
        <f t="shared" si="53"/>
        <v>0</v>
      </c>
      <c r="T40" s="249">
        <f t="shared" si="53"/>
        <v>0</v>
      </c>
      <c r="U40" s="249">
        <f t="shared" si="53"/>
        <v>0</v>
      </c>
      <c r="V40" s="249">
        <f t="shared" si="53"/>
        <v>0</v>
      </c>
      <c r="W40" s="249">
        <f t="shared" si="53"/>
        <v>0</v>
      </c>
      <c r="X40" s="249">
        <f t="shared" si="53"/>
        <v>0</v>
      </c>
    </row>
    <row r="41" spans="1:29" s="63" customFormat="1" ht="13.5" thickBot="1" x14ac:dyDescent="0.25">
      <c r="A41" s="245" t="str">
        <f>'5.Bev.össz'!A43</f>
        <v>KÖH: Teljesítés 2025.12.31.</v>
      </c>
      <c r="B41" s="106">
        <f t="shared" ref="B41:J41" si="54">SUM(B49)</f>
        <v>231133</v>
      </c>
      <c r="C41" s="106">
        <f t="shared" si="54"/>
        <v>29666</v>
      </c>
      <c r="D41" s="106">
        <f t="shared" si="54"/>
        <v>25680</v>
      </c>
      <c r="E41" s="106">
        <f t="shared" si="54"/>
        <v>0</v>
      </c>
      <c r="F41" s="106">
        <f t="shared" si="54"/>
        <v>0</v>
      </c>
      <c r="G41" s="106">
        <f t="shared" si="54"/>
        <v>0</v>
      </c>
      <c r="H41" s="106">
        <f t="shared" si="54"/>
        <v>0</v>
      </c>
      <c r="I41" s="106">
        <f t="shared" si="54"/>
        <v>0</v>
      </c>
      <c r="J41" s="99">
        <f t="shared" si="54"/>
        <v>286479</v>
      </c>
      <c r="K41" s="99">
        <f t="shared" si="52"/>
        <v>349</v>
      </c>
      <c r="L41" s="99">
        <f t="shared" si="52"/>
        <v>0</v>
      </c>
      <c r="M41" s="99">
        <f t="shared" si="52"/>
        <v>0</v>
      </c>
      <c r="N41" s="99">
        <f t="shared" si="42"/>
        <v>349</v>
      </c>
      <c r="O41" s="112">
        <f t="shared" si="43"/>
        <v>286828</v>
      </c>
      <c r="P41" s="249">
        <f t="shared" ref="P41:X41" si="55">P49</f>
        <v>30</v>
      </c>
      <c r="Q41" s="249">
        <f t="shared" si="55"/>
        <v>0</v>
      </c>
      <c r="R41" s="249">
        <f t="shared" si="55"/>
        <v>0</v>
      </c>
      <c r="S41" s="249">
        <f t="shared" si="55"/>
        <v>0</v>
      </c>
      <c r="T41" s="249">
        <f t="shared" si="55"/>
        <v>0</v>
      </c>
      <c r="U41" s="249">
        <f t="shared" si="55"/>
        <v>4</v>
      </c>
      <c r="V41" s="249">
        <f t="shared" si="55"/>
        <v>0</v>
      </c>
      <c r="W41" s="249">
        <f t="shared" si="55"/>
        <v>25</v>
      </c>
      <c r="X41" s="249">
        <f t="shared" si="55"/>
        <v>1</v>
      </c>
    </row>
    <row r="42" spans="1:29" s="468" customFormat="1" ht="18.75" customHeight="1" x14ac:dyDescent="0.2">
      <c r="A42" s="465" t="s">
        <v>782</v>
      </c>
      <c r="B42" s="489">
        <v>219185</v>
      </c>
      <c r="C42" s="489">
        <v>27744</v>
      </c>
      <c r="D42" s="489">
        <v>24382</v>
      </c>
      <c r="E42" s="489"/>
      <c r="F42" s="489">
        <v>0</v>
      </c>
      <c r="G42" s="489"/>
      <c r="H42" s="489"/>
      <c r="I42" s="489"/>
      <c r="J42" s="491">
        <v>271311</v>
      </c>
      <c r="K42" s="489">
        <v>703</v>
      </c>
      <c r="L42" s="489"/>
      <c r="M42" s="489"/>
      <c r="N42" s="485">
        <v>703</v>
      </c>
      <c r="O42" s="473">
        <v>272014</v>
      </c>
      <c r="P42" s="487">
        <v>36</v>
      </c>
      <c r="Q42" s="487"/>
      <c r="R42" s="487"/>
      <c r="S42" s="487"/>
      <c r="T42" s="487"/>
      <c r="U42" s="487"/>
      <c r="V42" s="487"/>
      <c r="W42" s="487"/>
      <c r="X42" s="487"/>
      <c r="Y42" s="63"/>
      <c r="Z42" s="63"/>
      <c r="AA42" s="63"/>
      <c r="AB42" s="63"/>
      <c r="AC42" s="63"/>
    </row>
    <row r="43" spans="1:29" s="63" customFormat="1" ht="20.25" customHeight="1" x14ac:dyDescent="0.2">
      <c r="A43" s="246" t="str">
        <f>A18</f>
        <v xml:space="preserve">       Kötelező (eredeti előirányzat 2025. év)</v>
      </c>
      <c r="B43" s="62">
        <f>SUM('7.finanszírozás.'!D110)</f>
        <v>222571</v>
      </c>
      <c r="C43" s="62">
        <f>SUM('7.finanszírozás.'!D118)</f>
        <v>28688</v>
      </c>
      <c r="D43" s="62">
        <f>SUM('7.finanszírozás.'!D126)</f>
        <v>26222</v>
      </c>
      <c r="E43" s="62"/>
      <c r="F43" s="62"/>
      <c r="G43" s="62"/>
      <c r="H43" s="62"/>
      <c r="I43" s="62"/>
      <c r="J43" s="110">
        <f>SUM(B43:I43)</f>
        <v>277481</v>
      </c>
      <c r="K43" s="62">
        <f>'7.finanszírozás.'!D134</f>
        <v>700</v>
      </c>
      <c r="L43" s="62"/>
      <c r="M43" s="62"/>
      <c r="N43" s="111">
        <f>SUM(K43:M43)</f>
        <v>700</v>
      </c>
      <c r="O43" s="247">
        <f>SUM(J43+N43)</f>
        <v>278181</v>
      </c>
      <c r="P43" s="248">
        <f>SUM(Q43:X43)</f>
        <v>32</v>
      </c>
      <c r="Q43" s="248">
        <v>0</v>
      </c>
      <c r="R43" s="248">
        <v>0</v>
      </c>
      <c r="S43" s="248">
        <v>0</v>
      </c>
      <c r="T43" s="248">
        <v>0</v>
      </c>
      <c r="U43" s="248">
        <v>3</v>
      </c>
      <c r="V43" s="248">
        <v>0</v>
      </c>
      <c r="W43" s="248">
        <v>26</v>
      </c>
      <c r="X43" s="248">
        <v>3</v>
      </c>
    </row>
    <row r="44" spans="1:29" s="63" customFormat="1" ht="19.5" hidden="1" customHeight="1" x14ac:dyDescent="0.2">
      <c r="A44" s="246" t="str">
        <f>'5.Bev.össz'!A46</f>
        <v xml:space="preserve">       Kötelező (módosított előirányzat 2025.06. havi)</v>
      </c>
      <c r="B44" s="62">
        <f>SUM('7.finanszírozás.'!D111)</f>
        <v>235216</v>
      </c>
      <c r="C44" s="62">
        <f>SUM('7.finanszírozás.'!D119)</f>
        <v>30306</v>
      </c>
      <c r="D44" s="62">
        <f>SUM('7.finanszírozás.'!D127)</f>
        <v>28692</v>
      </c>
      <c r="E44" s="62"/>
      <c r="F44" s="62"/>
      <c r="G44" s="62"/>
      <c r="H44" s="62"/>
      <c r="I44" s="62"/>
      <c r="J44" s="110">
        <f t="shared" ref="J44:J49" si="56">SUM(B44:I44)</f>
        <v>294214</v>
      </c>
      <c r="K44" s="62">
        <f>'7.finanszírozás.'!D135</f>
        <v>700</v>
      </c>
      <c r="L44" s="62"/>
      <c r="M44" s="62"/>
      <c r="N44" s="111">
        <f t="shared" ref="N44:N49" si="57">SUM(K44:M44)</f>
        <v>700</v>
      </c>
      <c r="O44" s="247">
        <f t="shared" ref="O44:O49" si="58">SUM(J44+N44)</f>
        <v>294914</v>
      </c>
      <c r="P44" s="248">
        <f t="shared" ref="P44:P46" si="59">SUM(Q44:X44)</f>
        <v>31</v>
      </c>
      <c r="Q44" s="248">
        <v>0</v>
      </c>
      <c r="R44" s="248">
        <v>0</v>
      </c>
      <c r="S44" s="248">
        <v>0</v>
      </c>
      <c r="T44" s="248">
        <v>0</v>
      </c>
      <c r="U44" s="248">
        <v>3</v>
      </c>
      <c r="V44" s="248">
        <v>0</v>
      </c>
      <c r="W44" s="248">
        <v>27</v>
      </c>
      <c r="X44" s="248">
        <v>1</v>
      </c>
    </row>
    <row r="45" spans="1:29" s="63" customFormat="1" ht="15.75" hidden="1" customHeight="1" x14ac:dyDescent="0.2">
      <c r="A45" s="246" t="str">
        <f>'5.Bev.össz'!A47</f>
        <v xml:space="preserve">       Kötelező (módosított előirányzat 2025.09.havi)</v>
      </c>
      <c r="B45" s="62">
        <f>SUM('7.finanszírozás.'!D112)</f>
        <v>235216</v>
      </c>
      <c r="C45" s="62">
        <f>SUM('7.finanszírozás.'!D120)</f>
        <v>30306</v>
      </c>
      <c r="D45" s="62">
        <f>SUM('7.finanszírozás.'!D128)</f>
        <v>28942</v>
      </c>
      <c r="E45" s="62"/>
      <c r="F45" s="62"/>
      <c r="G45" s="62"/>
      <c r="H45" s="62"/>
      <c r="I45" s="62"/>
      <c r="J45" s="110">
        <f t="shared" ref="J45" si="60">SUM(B45:I45)</f>
        <v>294464</v>
      </c>
      <c r="K45" s="62">
        <f>'7.finanszírozás.'!D136</f>
        <v>700</v>
      </c>
      <c r="L45" s="62"/>
      <c r="M45" s="62"/>
      <c r="N45" s="111">
        <f t="shared" ref="N45" si="61">SUM(K45:M45)</f>
        <v>700</v>
      </c>
      <c r="O45" s="247">
        <f t="shared" ref="O45" si="62">SUM(J45+N45)</f>
        <v>295164</v>
      </c>
      <c r="P45" s="248">
        <f t="shared" si="59"/>
        <v>31</v>
      </c>
      <c r="Q45" s="248">
        <v>0</v>
      </c>
      <c r="R45" s="248">
        <v>0</v>
      </c>
      <c r="S45" s="248">
        <v>0</v>
      </c>
      <c r="T45" s="248">
        <v>0</v>
      </c>
      <c r="U45" s="248">
        <v>3</v>
      </c>
      <c r="V45" s="248">
        <v>0</v>
      </c>
      <c r="W45" s="248">
        <v>27</v>
      </c>
      <c r="X45" s="248">
        <v>1</v>
      </c>
    </row>
    <row r="46" spans="1:29" s="63" customFormat="1" ht="18" hidden="1" customHeight="1" x14ac:dyDescent="0.2">
      <c r="A46" s="246" t="str">
        <f>'5.Bev.össz'!A48</f>
        <v xml:space="preserve">       Kötelező (módosított előirányzat 2025.12.havi)</v>
      </c>
      <c r="B46" s="62">
        <f>SUM('7.finanszírozás.'!D113)</f>
        <v>235216</v>
      </c>
      <c r="C46" s="62">
        <f>SUM('7.finanszírozás.'!D121)</f>
        <v>30306</v>
      </c>
      <c r="D46" s="62">
        <f>SUM('7.finanszírozás.'!D129)</f>
        <v>28942</v>
      </c>
      <c r="E46" s="62"/>
      <c r="F46" s="62"/>
      <c r="G46" s="62"/>
      <c r="H46" s="62"/>
      <c r="I46" s="62"/>
      <c r="J46" s="110">
        <f t="shared" si="56"/>
        <v>294464</v>
      </c>
      <c r="K46" s="62">
        <f>'7.finanszírozás.'!D137</f>
        <v>700</v>
      </c>
      <c r="L46" s="62"/>
      <c r="M46" s="62"/>
      <c r="N46" s="111">
        <f t="shared" si="57"/>
        <v>700</v>
      </c>
      <c r="O46" s="247">
        <f t="shared" si="58"/>
        <v>295164</v>
      </c>
      <c r="P46" s="248">
        <f t="shared" si="59"/>
        <v>30</v>
      </c>
      <c r="Q46" s="248">
        <v>0</v>
      </c>
      <c r="R46" s="248">
        <v>0</v>
      </c>
      <c r="S46" s="248">
        <v>0</v>
      </c>
      <c r="T46" s="248">
        <v>0</v>
      </c>
      <c r="U46" s="248">
        <v>4</v>
      </c>
      <c r="V46" s="248">
        <v>0</v>
      </c>
      <c r="W46" s="248">
        <v>25</v>
      </c>
      <c r="X46" s="248">
        <v>1</v>
      </c>
    </row>
    <row r="47" spans="1:29" s="63" customFormat="1" ht="18" customHeight="1" x14ac:dyDescent="0.2">
      <c r="A47" s="246" t="str">
        <f>'5.Bev.össz'!A49</f>
        <v xml:space="preserve">       Kötelező (módosított előirányzat 2025.12.31)</v>
      </c>
      <c r="B47" s="62">
        <f>SUM('7.finanszírozás.'!D114)</f>
        <v>235216</v>
      </c>
      <c r="C47" s="62">
        <f>SUM('7.finanszírozás.'!D122)</f>
        <v>30306</v>
      </c>
      <c r="D47" s="62">
        <f>SUM('7.finanszírozás.'!D130)</f>
        <v>28942</v>
      </c>
      <c r="E47" s="62"/>
      <c r="F47" s="62"/>
      <c r="G47" s="62"/>
      <c r="H47" s="62"/>
      <c r="I47" s="62"/>
      <c r="J47" s="110">
        <f t="shared" ref="J47" si="63">SUM(B47:I47)</f>
        <v>294464</v>
      </c>
      <c r="K47" s="62">
        <f>'7.finanszírozás.'!D138</f>
        <v>700</v>
      </c>
      <c r="L47" s="62"/>
      <c r="M47" s="62"/>
      <c r="N47" s="111">
        <f t="shared" ref="N47" si="64">SUM(K47:M47)</f>
        <v>700</v>
      </c>
      <c r="O47" s="247">
        <f t="shared" ref="O47" si="65">SUM(J47+N47)</f>
        <v>295164</v>
      </c>
      <c r="P47" s="248">
        <f t="shared" ref="P47:P49" si="66">SUM(Q47:X47)</f>
        <v>30</v>
      </c>
      <c r="Q47" s="248">
        <v>0</v>
      </c>
      <c r="R47" s="248">
        <v>0</v>
      </c>
      <c r="S47" s="248">
        <v>0</v>
      </c>
      <c r="T47" s="248">
        <v>0</v>
      </c>
      <c r="U47" s="248">
        <v>4</v>
      </c>
      <c r="V47" s="248">
        <v>0</v>
      </c>
      <c r="W47" s="248">
        <v>25</v>
      </c>
      <c r="X47" s="248">
        <v>1</v>
      </c>
    </row>
    <row r="48" spans="1:29" s="63" customFormat="1" hidden="1" x14ac:dyDescent="0.2">
      <c r="A48" s="246">
        <f>'5.Bev.össz'!A50</f>
        <v>0</v>
      </c>
      <c r="B48" s="62">
        <f>SUM('7.finanszírozás.'!D115)</f>
        <v>0</v>
      </c>
      <c r="C48" s="62">
        <f>SUM('7.finanszírozás.'!D123)</f>
        <v>0</v>
      </c>
      <c r="D48" s="62">
        <f>SUM('7.finanszírozás.'!D131)</f>
        <v>0</v>
      </c>
      <c r="E48" s="62"/>
      <c r="F48" s="62">
        <f>'7.finanszírozás.'!D155</f>
        <v>0</v>
      </c>
      <c r="G48" s="62"/>
      <c r="H48" s="62"/>
      <c r="I48" s="62"/>
      <c r="J48" s="110">
        <f t="shared" si="56"/>
        <v>0</v>
      </c>
      <c r="K48" s="62">
        <f>'7.finanszírozás.'!D139</f>
        <v>0</v>
      </c>
      <c r="L48" s="62"/>
      <c r="M48" s="62"/>
      <c r="N48" s="111">
        <f t="shared" si="57"/>
        <v>0</v>
      </c>
      <c r="O48" s="247">
        <f t="shared" si="58"/>
        <v>0</v>
      </c>
      <c r="P48" s="248">
        <f t="shared" si="66"/>
        <v>0</v>
      </c>
      <c r="Q48" s="248"/>
      <c r="R48" s="248"/>
      <c r="S48" s="248"/>
      <c r="T48" s="248"/>
      <c r="U48" s="248"/>
      <c r="V48" s="248"/>
      <c r="W48" s="248"/>
      <c r="X48" s="248"/>
    </row>
    <row r="49" spans="1:29" s="63" customFormat="1" x14ac:dyDescent="0.2">
      <c r="A49" s="246" t="str">
        <f>'5.Bev.össz'!A51</f>
        <v xml:space="preserve">       Teljesítés 2025.12.31.</v>
      </c>
      <c r="B49" s="62">
        <f>SUM('7.finanszírozás.'!D116)</f>
        <v>231133</v>
      </c>
      <c r="C49" s="62">
        <f>SUM('7.finanszírozás.'!D124)</f>
        <v>29666</v>
      </c>
      <c r="D49" s="62">
        <f>SUM('7.finanszírozás.'!D132)</f>
        <v>25680</v>
      </c>
      <c r="E49" s="62"/>
      <c r="F49" s="62"/>
      <c r="G49" s="62"/>
      <c r="H49" s="62"/>
      <c r="I49" s="62"/>
      <c r="J49" s="110">
        <f t="shared" si="56"/>
        <v>286479</v>
      </c>
      <c r="K49" s="62">
        <f>'7.finanszírozás.'!D140</f>
        <v>349</v>
      </c>
      <c r="L49" s="62"/>
      <c r="M49" s="62"/>
      <c r="N49" s="111">
        <f t="shared" si="57"/>
        <v>349</v>
      </c>
      <c r="O49" s="247">
        <f t="shared" si="58"/>
        <v>286828</v>
      </c>
      <c r="P49" s="248">
        <f t="shared" si="66"/>
        <v>30</v>
      </c>
      <c r="Q49" s="248">
        <v>0</v>
      </c>
      <c r="R49" s="248">
        <v>0</v>
      </c>
      <c r="S49" s="248">
        <v>0</v>
      </c>
      <c r="T49" s="248">
        <v>0</v>
      </c>
      <c r="U49" s="248">
        <v>4</v>
      </c>
      <c r="V49" s="248">
        <v>0</v>
      </c>
      <c r="W49" s="248">
        <v>25</v>
      </c>
      <c r="X49" s="248">
        <v>1</v>
      </c>
    </row>
    <row r="50" spans="1:29" s="63" customFormat="1" ht="18.75" customHeight="1" x14ac:dyDescent="0.2">
      <c r="A50" s="246" t="str">
        <f>'5.Bev.össz'!A52</f>
        <v xml:space="preserve">       Önként vállalt (eredeti előirányzat 2025. év)</v>
      </c>
      <c r="B50" s="62"/>
      <c r="C50" s="62"/>
      <c r="D50" s="62"/>
      <c r="E50" s="62"/>
      <c r="F50" s="62"/>
      <c r="G50" s="62"/>
      <c r="H50" s="62"/>
      <c r="I50" s="62"/>
      <c r="J50" s="110"/>
      <c r="K50" s="62"/>
      <c r="L50" s="62"/>
      <c r="M50" s="62"/>
      <c r="N50" s="111"/>
      <c r="O50" s="247"/>
      <c r="P50" s="248"/>
      <c r="Q50" s="248"/>
      <c r="R50" s="248"/>
      <c r="S50" s="248"/>
      <c r="T50" s="248"/>
      <c r="U50" s="248"/>
      <c r="V50" s="248"/>
      <c r="W50" s="248"/>
      <c r="X50" s="248"/>
    </row>
    <row r="51" spans="1:29" s="63" customFormat="1" ht="18.75" customHeight="1" thickBot="1" x14ac:dyDescent="0.25">
      <c r="A51" s="246" t="str">
        <f>'5.Bev.össz'!A53</f>
        <v xml:space="preserve">       Államigazgatási feladatok (eredeti előirányzat 2025. év)</v>
      </c>
      <c r="B51" s="297"/>
      <c r="C51" s="297"/>
      <c r="D51" s="297"/>
      <c r="E51" s="297"/>
      <c r="F51" s="297"/>
      <c r="G51" s="297"/>
      <c r="H51" s="297"/>
      <c r="I51" s="297"/>
      <c r="J51" s="296"/>
      <c r="K51" s="297"/>
      <c r="L51" s="297"/>
      <c r="M51" s="297"/>
      <c r="N51" s="296"/>
      <c r="O51" s="295"/>
      <c r="P51" s="248"/>
      <c r="Q51" s="248"/>
      <c r="R51" s="248"/>
      <c r="S51" s="248"/>
      <c r="T51" s="248"/>
      <c r="U51" s="248"/>
      <c r="V51" s="248"/>
      <c r="W51" s="248"/>
      <c r="X51" s="248"/>
    </row>
    <row r="52" spans="1:29" s="468" customFormat="1" ht="18" customHeight="1" thickBot="1" x14ac:dyDescent="0.25">
      <c r="A52" s="492" t="s">
        <v>784</v>
      </c>
      <c r="B52" s="477">
        <v>275450</v>
      </c>
      <c r="C52" s="477">
        <v>34735</v>
      </c>
      <c r="D52" s="477">
        <v>475680</v>
      </c>
      <c r="E52" s="477">
        <v>17943</v>
      </c>
      <c r="F52" s="477">
        <v>628994</v>
      </c>
      <c r="G52" s="477">
        <v>205443</v>
      </c>
      <c r="H52" s="477">
        <v>104991</v>
      </c>
      <c r="I52" s="477">
        <v>0</v>
      </c>
      <c r="J52" s="477">
        <v>1743236</v>
      </c>
      <c r="K52" s="477">
        <v>206350</v>
      </c>
      <c r="L52" s="477">
        <v>522079</v>
      </c>
      <c r="M52" s="477">
        <v>850465</v>
      </c>
      <c r="N52" s="477">
        <v>1578894</v>
      </c>
      <c r="O52" s="478">
        <v>3322130</v>
      </c>
      <c r="P52" s="493">
        <v>43</v>
      </c>
      <c r="Q52" s="493"/>
      <c r="R52" s="493"/>
      <c r="S52" s="493"/>
      <c r="T52" s="493"/>
      <c r="U52" s="493"/>
      <c r="V52" s="493"/>
      <c r="W52" s="493"/>
      <c r="X52" s="493"/>
      <c r="Y52" s="63"/>
      <c r="Z52" s="63"/>
      <c r="AA52" s="63"/>
      <c r="AB52" s="63"/>
      <c r="AC52" s="63"/>
    </row>
    <row r="53" spans="1:29" s="63" customFormat="1" ht="23.25" customHeight="1" thickBot="1" x14ac:dyDescent="0.25">
      <c r="A53" s="107" t="str">
        <f>'5.Bev.össz'!A55</f>
        <v>Önk.mindösszesen (eredeti előirányzat 2025. év)</v>
      </c>
      <c r="B53" s="108">
        <f t="shared" ref="B53:O53" si="67">SUM(B10+B35)</f>
        <v>294286</v>
      </c>
      <c r="C53" s="108">
        <f t="shared" si="67"/>
        <v>37978</v>
      </c>
      <c r="D53" s="108">
        <f t="shared" si="67"/>
        <v>660926</v>
      </c>
      <c r="E53" s="108">
        <f t="shared" si="67"/>
        <v>17943</v>
      </c>
      <c r="F53" s="108">
        <f t="shared" si="67"/>
        <v>697774</v>
      </c>
      <c r="G53" s="108">
        <f t="shared" si="67"/>
        <v>223334</v>
      </c>
      <c r="H53" s="108">
        <f t="shared" si="67"/>
        <v>115874</v>
      </c>
      <c r="I53" s="108">
        <f t="shared" si="67"/>
        <v>79892</v>
      </c>
      <c r="J53" s="108">
        <f t="shared" si="67"/>
        <v>2128007</v>
      </c>
      <c r="K53" s="108">
        <f t="shared" si="67"/>
        <v>772610</v>
      </c>
      <c r="L53" s="108">
        <f t="shared" si="67"/>
        <v>323580</v>
      </c>
      <c r="M53" s="108">
        <f t="shared" si="67"/>
        <v>0</v>
      </c>
      <c r="N53" s="108">
        <f t="shared" si="67"/>
        <v>1096190</v>
      </c>
      <c r="O53" s="109">
        <f t="shared" si="67"/>
        <v>3224197</v>
      </c>
      <c r="P53" s="252">
        <f t="shared" ref="P53:X53" si="68">P10+P35</f>
        <v>44</v>
      </c>
      <c r="Q53" s="252">
        <f t="shared" si="68"/>
        <v>1</v>
      </c>
      <c r="R53" s="252">
        <f t="shared" si="68"/>
        <v>2</v>
      </c>
      <c r="S53" s="252">
        <f t="shared" si="68"/>
        <v>4</v>
      </c>
      <c r="T53" s="252">
        <f t="shared" si="68"/>
        <v>3</v>
      </c>
      <c r="U53" s="252">
        <f t="shared" si="68"/>
        <v>5</v>
      </c>
      <c r="V53" s="252">
        <f t="shared" si="68"/>
        <v>0</v>
      </c>
      <c r="W53" s="252">
        <f t="shared" si="68"/>
        <v>26</v>
      </c>
      <c r="X53" s="252">
        <f t="shared" si="68"/>
        <v>3</v>
      </c>
    </row>
    <row r="54" spans="1:29" s="63" customFormat="1" ht="32.25" hidden="1" thickBot="1" x14ac:dyDescent="0.25">
      <c r="A54" s="107" t="str">
        <f>'5.Bev.össz'!A56</f>
        <v>Önk.mindösszesen (módosított ei. 2025.06. havi)</v>
      </c>
      <c r="B54" s="108">
        <f t="shared" ref="B54:O54" si="69">SUM(B11+B36)</f>
        <v>313730</v>
      </c>
      <c r="C54" s="108">
        <f t="shared" si="69"/>
        <v>40089</v>
      </c>
      <c r="D54" s="108">
        <f t="shared" si="69"/>
        <v>666028</v>
      </c>
      <c r="E54" s="108">
        <f t="shared" si="69"/>
        <v>18000</v>
      </c>
      <c r="F54" s="108">
        <f t="shared" si="69"/>
        <v>696828</v>
      </c>
      <c r="G54" s="108">
        <f t="shared" si="69"/>
        <v>240067</v>
      </c>
      <c r="H54" s="108">
        <f t="shared" si="69"/>
        <v>115874</v>
      </c>
      <c r="I54" s="108">
        <f t="shared" si="69"/>
        <v>46948</v>
      </c>
      <c r="J54" s="108">
        <f t="shared" si="69"/>
        <v>2137564</v>
      </c>
      <c r="K54" s="108">
        <f t="shared" si="69"/>
        <v>794867</v>
      </c>
      <c r="L54" s="108">
        <f t="shared" si="69"/>
        <v>373178</v>
      </c>
      <c r="M54" s="108">
        <f t="shared" si="69"/>
        <v>0</v>
      </c>
      <c r="N54" s="108">
        <f t="shared" si="69"/>
        <v>1168045</v>
      </c>
      <c r="O54" s="109">
        <f t="shared" si="69"/>
        <v>3305609</v>
      </c>
      <c r="P54" s="252">
        <f t="shared" ref="P54:X54" si="70">P11+P36</f>
        <v>43</v>
      </c>
      <c r="Q54" s="252">
        <f t="shared" si="70"/>
        <v>1</v>
      </c>
      <c r="R54" s="252">
        <f t="shared" si="70"/>
        <v>2</v>
      </c>
      <c r="S54" s="252">
        <f t="shared" si="70"/>
        <v>4</v>
      </c>
      <c r="T54" s="252">
        <f t="shared" si="70"/>
        <v>3</v>
      </c>
      <c r="U54" s="252">
        <f t="shared" si="70"/>
        <v>5</v>
      </c>
      <c r="V54" s="252">
        <f t="shared" si="70"/>
        <v>0</v>
      </c>
      <c r="W54" s="252">
        <f t="shared" si="70"/>
        <v>27</v>
      </c>
      <c r="X54" s="252">
        <f t="shared" si="70"/>
        <v>1</v>
      </c>
    </row>
    <row r="55" spans="1:29" s="63" customFormat="1" ht="29.25" hidden="1" customHeight="1" thickBot="1" x14ac:dyDescent="0.25">
      <c r="A55" s="107" t="str">
        <f>'5.Bev.össz'!A57</f>
        <v>Önk.mindösszesen (módosított ei. 2025.09. havi)</v>
      </c>
      <c r="B55" s="108">
        <f t="shared" ref="B55:O55" si="71">SUM(B12+B37)</f>
        <v>313730</v>
      </c>
      <c r="C55" s="108">
        <f t="shared" si="71"/>
        <v>40089</v>
      </c>
      <c r="D55" s="108">
        <f t="shared" si="71"/>
        <v>668969</v>
      </c>
      <c r="E55" s="108">
        <f t="shared" si="71"/>
        <v>18000</v>
      </c>
      <c r="F55" s="108">
        <f t="shared" si="71"/>
        <v>701325</v>
      </c>
      <c r="G55" s="108">
        <f t="shared" si="71"/>
        <v>240067</v>
      </c>
      <c r="H55" s="108">
        <f t="shared" si="71"/>
        <v>115874</v>
      </c>
      <c r="I55" s="108">
        <f t="shared" si="71"/>
        <v>49907</v>
      </c>
      <c r="J55" s="108">
        <f t="shared" si="71"/>
        <v>2147961</v>
      </c>
      <c r="K55" s="108">
        <f t="shared" si="71"/>
        <v>794867</v>
      </c>
      <c r="L55" s="108">
        <f t="shared" si="71"/>
        <v>373178</v>
      </c>
      <c r="M55" s="108">
        <f t="shared" si="71"/>
        <v>0</v>
      </c>
      <c r="N55" s="108">
        <f t="shared" si="71"/>
        <v>1168045</v>
      </c>
      <c r="O55" s="109">
        <f t="shared" si="71"/>
        <v>3316006</v>
      </c>
      <c r="P55" s="252">
        <f t="shared" ref="P55:X55" si="72">P12+P37</f>
        <v>43</v>
      </c>
      <c r="Q55" s="252">
        <f t="shared" si="72"/>
        <v>1</v>
      </c>
      <c r="R55" s="252">
        <f t="shared" si="72"/>
        <v>2</v>
      </c>
      <c r="S55" s="252">
        <f t="shared" si="72"/>
        <v>4</v>
      </c>
      <c r="T55" s="252">
        <f t="shared" si="72"/>
        <v>3</v>
      </c>
      <c r="U55" s="252">
        <f t="shared" si="72"/>
        <v>5</v>
      </c>
      <c r="V55" s="252">
        <f t="shared" si="72"/>
        <v>0</v>
      </c>
      <c r="W55" s="252">
        <f t="shared" si="72"/>
        <v>27</v>
      </c>
      <c r="X55" s="252">
        <f t="shared" si="72"/>
        <v>1</v>
      </c>
    </row>
    <row r="56" spans="1:29" s="63" customFormat="1" ht="24" hidden="1" customHeight="1" thickBot="1" x14ac:dyDescent="0.25">
      <c r="A56" s="107" t="str">
        <f>'5.Bev.össz'!A58</f>
        <v>Önk.mindösszesen (módosított ei. 2025.12. havi)</v>
      </c>
      <c r="B56" s="108">
        <f t="shared" ref="B56:O57" si="73">SUM(B13+B38)</f>
        <v>314195</v>
      </c>
      <c r="C56" s="108">
        <f t="shared" si="73"/>
        <v>39961</v>
      </c>
      <c r="D56" s="108">
        <f t="shared" si="73"/>
        <v>488220</v>
      </c>
      <c r="E56" s="108">
        <f t="shared" si="73"/>
        <v>8000</v>
      </c>
      <c r="F56" s="108">
        <f t="shared" si="73"/>
        <v>707966</v>
      </c>
      <c r="G56" s="108">
        <f t="shared" si="73"/>
        <v>240067</v>
      </c>
      <c r="H56" s="108">
        <f t="shared" si="73"/>
        <v>115874</v>
      </c>
      <c r="I56" s="108">
        <f t="shared" si="73"/>
        <v>82434</v>
      </c>
      <c r="J56" s="108">
        <f t="shared" si="73"/>
        <v>1996717</v>
      </c>
      <c r="K56" s="108">
        <f t="shared" si="73"/>
        <v>807867</v>
      </c>
      <c r="L56" s="108">
        <f t="shared" si="73"/>
        <v>393775</v>
      </c>
      <c r="M56" s="108">
        <f t="shared" si="73"/>
        <v>0</v>
      </c>
      <c r="N56" s="108">
        <f t="shared" si="73"/>
        <v>1201642</v>
      </c>
      <c r="O56" s="109">
        <f t="shared" si="73"/>
        <v>3198359</v>
      </c>
      <c r="P56" s="252">
        <f t="shared" ref="P56:X56" si="74">P13+P38</f>
        <v>42</v>
      </c>
      <c r="Q56" s="252">
        <f t="shared" si="74"/>
        <v>1</v>
      </c>
      <c r="R56" s="252">
        <f t="shared" si="74"/>
        <v>2</v>
      </c>
      <c r="S56" s="252">
        <f t="shared" si="74"/>
        <v>4</v>
      </c>
      <c r="T56" s="252">
        <f t="shared" si="74"/>
        <v>3</v>
      </c>
      <c r="U56" s="252">
        <f t="shared" si="74"/>
        <v>6</v>
      </c>
      <c r="V56" s="252">
        <f t="shared" si="74"/>
        <v>0</v>
      </c>
      <c r="W56" s="252">
        <f t="shared" si="74"/>
        <v>25</v>
      </c>
      <c r="X56" s="252">
        <f t="shared" si="74"/>
        <v>1</v>
      </c>
    </row>
    <row r="57" spans="1:29" s="63" customFormat="1" ht="24" customHeight="1" thickBot="1" x14ac:dyDescent="0.25">
      <c r="A57" s="107" t="str">
        <f>'5.Bev.össz'!A59</f>
        <v>Önk.mindösszesen (módosított ei. 2025.12.31)</v>
      </c>
      <c r="B57" s="108">
        <f t="shared" si="73"/>
        <v>314195</v>
      </c>
      <c r="C57" s="108">
        <f t="shared" si="73"/>
        <v>39961</v>
      </c>
      <c r="D57" s="108">
        <f t="shared" si="73"/>
        <v>489870</v>
      </c>
      <c r="E57" s="108">
        <f t="shared" si="73"/>
        <v>8000</v>
      </c>
      <c r="F57" s="108">
        <f t="shared" si="73"/>
        <v>707966</v>
      </c>
      <c r="G57" s="108">
        <f t="shared" si="73"/>
        <v>240067</v>
      </c>
      <c r="H57" s="108">
        <f t="shared" si="73"/>
        <v>115874</v>
      </c>
      <c r="I57" s="108">
        <f t="shared" si="73"/>
        <v>84199</v>
      </c>
      <c r="J57" s="108">
        <f t="shared" si="73"/>
        <v>2000132</v>
      </c>
      <c r="K57" s="108">
        <f t="shared" si="73"/>
        <v>807867</v>
      </c>
      <c r="L57" s="108">
        <f t="shared" si="73"/>
        <v>393775</v>
      </c>
      <c r="M57" s="108">
        <f t="shared" si="73"/>
        <v>0</v>
      </c>
      <c r="N57" s="108">
        <f t="shared" si="73"/>
        <v>1201642</v>
      </c>
      <c r="O57" s="109">
        <f t="shared" si="73"/>
        <v>3201774</v>
      </c>
      <c r="P57" s="252">
        <f t="shared" ref="P57:X57" si="75">P14+P39</f>
        <v>42</v>
      </c>
      <c r="Q57" s="252">
        <f t="shared" si="75"/>
        <v>1</v>
      </c>
      <c r="R57" s="252">
        <f t="shared" si="75"/>
        <v>2</v>
      </c>
      <c r="S57" s="252">
        <f t="shared" si="75"/>
        <v>4</v>
      </c>
      <c r="T57" s="252">
        <f t="shared" si="75"/>
        <v>3</v>
      </c>
      <c r="U57" s="252">
        <f t="shared" si="75"/>
        <v>6</v>
      </c>
      <c r="V57" s="252">
        <f t="shared" si="75"/>
        <v>0</v>
      </c>
      <c r="W57" s="252">
        <f t="shared" si="75"/>
        <v>25</v>
      </c>
      <c r="X57" s="252">
        <f t="shared" si="75"/>
        <v>1</v>
      </c>
    </row>
    <row r="58" spans="1:29" s="63" customFormat="1" ht="24" hidden="1" customHeight="1" thickBot="1" x14ac:dyDescent="0.25">
      <c r="A58" s="107">
        <f>'5.Bev.össz'!A60</f>
        <v>0</v>
      </c>
      <c r="B58" s="108">
        <f t="shared" ref="B58:O58" si="76">SUM(B15+B40)</f>
        <v>0</v>
      </c>
      <c r="C58" s="108">
        <f t="shared" si="76"/>
        <v>0</v>
      </c>
      <c r="D58" s="108">
        <f t="shared" si="76"/>
        <v>0</v>
      </c>
      <c r="E58" s="108">
        <f t="shared" si="76"/>
        <v>0</v>
      </c>
      <c r="F58" s="108">
        <f t="shared" si="76"/>
        <v>38648</v>
      </c>
      <c r="G58" s="108">
        <f t="shared" si="76"/>
        <v>0</v>
      </c>
      <c r="H58" s="108">
        <f t="shared" si="76"/>
        <v>0</v>
      </c>
      <c r="I58" s="108">
        <f t="shared" si="76"/>
        <v>0</v>
      </c>
      <c r="J58" s="108">
        <f t="shared" si="76"/>
        <v>38648</v>
      </c>
      <c r="K58" s="108">
        <f t="shared" si="76"/>
        <v>636919</v>
      </c>
      <c r="L58" s="108">
        <f t="shared" si="76"/>
        <v>323580</v>
      </c>
      <c r="M58" s="108">
        <f t="shared" si="76"/>
        <v>0</v>
      </c>
      <c r="N58" s="108">
        <f t="shared" si="76"/>
        <v>960499</v>
      </c>
      <c r="O58" s="109">
        <f t="shared" si="76"/>
        <v>999147</v>
      </c>
      <c r="P58" s="252">
        <f t="shared" ref="P58:X58" si="77">P15+P40</f>
        <v>0</v>
      </c>
      <c r="Q58" s="252">
        <f t="shared" si="77"/>
        <v>0</v>
      </c>
      <c r="R58" s="252">
        <f t="shared" si="77"/>
        <v>0</v>
      </c>
      <c r="S58" s="252">
        <f t="shared" si="77"/>
        <v>0</v>
      </c>
      <c r="T58" s="252">
        <f t="shared" si="77"/>
        <v>0</v>
      </c>
      <c r="U58" s="252">
        <f t="shared" si="77"/>
        <v>0</v>
      </c>
      <c r="V58" s="252">
        <f t="shared" si="77"/>
        <v>0</v>
      </c>
      <c r="W58" s="252">
        <f t="shared" si="77"/>
        <v>0</v>
      </c>
      <c r="X58" s="252">
        <f t="shared" si="77"/>
        <v>0</v>
      </c>
    </row>
    <row r="59" spans="1:29" s="63" customFormat="1" ht="15.75" customHeight="1" thickBot="1" x14ac:dyDescent="0.25">
      <c r="A59" s="107" t="str">
        <f>'5.Bev.össz'!A61</f>
        <v>Önk.mindösszesen (Teljesítés 2025.12.31.)</v>
      </c>
      <c r="B59" s="108">
        <f t="shared" ref="B59:O59" si="78">SUM(B16+B41)</f>
        <v>308647</v>
      </c>
      <c r="C59" s="108">
        <f t="shared" si="78"/>
        <v>38354</v>
      </c>
      <c r="D59" s="108">
        <f t="shared" si="78"/>
        <v>350567</v>
      </c>
      <c r="E59" s="108">
        <f t="shared" si="78"/>
        <v>6187</v>
      </c>
      <c r="F59" s="108">
        <f t="shared" si="78"/>
        <v>707464</v>
      </c>
      <c r="G59" s="108">
        <f t="shared" si="78"/>
        <v>240067</v>
      </c>
      <c r="H59" s="108">
        <f t="shared" si="78"/>
        <v>115874</v>
      </c>
      <c r="I59" s="108">
        <f t="shared" si="78"/>
        <v>0</v>
      </c>
      <c r="J59" s="108">
        <f t="shared" si="78"/>
        <v>1767160</v>
      </c>
      <c r="K59" s="108">
        <f t="shared" si="78"/>
        <v>188483</v>
      </c>
      <c r="L59" s="108">
        <f t="shared" si="78"/>
        <v>172659</v>
      </c>
      <c r="M59" s="108">
        <f t="shared" si="78"/>
        <v>0</v>
      </c>
      <c r="N59" s="108">
        <f t="shared" si="78"/>
        <v>361142</v>
      </c>
      <c r="O59" s="109">
        <f t="shared" si="78"/>
        <v>2128302</v>
      </c>
      <c r="P59" s="252">
        <f t="shared" ref="P59:X59" si="79">P16+P41</f>
        <v>42</v>
      </c>
      <c r="Q59" s="252">
        <f t="shared" si="79"/>
        <v>1</v>
      </c>
      <c r="R59" s="252">
        <f t="shared" si="79"/>
        <v>2</v>
      </c>
      <c r="S59" s="252">
        <f t="shared" si="79"/>
        <v>4</v>
      </c>
      <c r="T59" s="252">
        <f t="shared" si="79"/>
        <v>3</v>
      </c>
      <c r="U59" s="252">
        <f t="shared" si="79"/>
        <v>6</v>
      </c>
      <c r="V59" s="252">
        <f t="shared" si="79"/>
        <v>0</v>
      </c>
      <c r="W59" s="252">
        <f t="shared" si="79"/>
        <v>25</v>
      </c>
      <c r="X59" s="252">
        <f t="shared" si="79"/>
        <v>1</v>
      </c>
    </row>
    <row r="60" spans="1:29" x14ac:dyDescent="0.2">
      <c r="A60" s="65" t="s">
        <v>331</v>
      </c>
      <c r="O60" s="60">
        <f>SUM('7.finanszírozás.'!F105)</f>
        <v>-240067</v>
      </c>
      <c r="Y60" s="63"/>
      <c r="Z60" s="63"/>
      <c r="AA60" s="63"/>
      <c r="AB60" s="63"/>
      <c r="AC60" s="63"/>
    </row>
    <row r="61" spans="1:29" x14ac:dyDescent="0.2">
      <c r="A61" s="65" t="s">
        <v>335</v>
      </c>
      <c r="O61" s="305">
        <f>SUM(O59+O60)</f>
        <v>1888235</v>
      </c>
      <c r="Y61" s="63"/>
      <c r="Z61" s="63"/>
      <c r="AA61" s="63"/>
      <c r="AB61" s="63"/>
      <c r="AC61" s="63"/>
    </row>
    <row r="62" spans="1:29" s="63" customFormat="1" ht="12.95" customHeight="1" x14ac:dyDescent="0.2">
      <c r="A62" s="65" t="s">
        <v>855</v>
      </c>
      <c r="B62" s="304">
        <f>SUM(B59/B57)*100</f>
        <v>98.23421760371744</v>
      </c>
      <c r="C62" s="304">
        <f t="shared" ref="C62:O62" si="80">SUM(C59/C57)*100</f>
        <v>95.978579114636773</v>
      </c>
      <c r="D62" s="304">
        <f t="shared" si="80"/>
        <v>71.563271888460207</v>
      </c>
      <c r="E62" s="304">
        <f t="shared" si="80"/>
        <v>77.337500000000006</v>
      </c>
      <c r="F62" s="304">
        <f t="shared" si="80"/>
        <v>99.929092640042043</v>
      </c>
      <c r="G62" s="304">
        <f t="shared" si="80"/>
        <v>100</v>
      </c>
      <c r="H62" s="304">
        <f t="shared" si="80"/>
        <v>100</v>
      </c>
      <c r="I62" s="304">
        <f t="shared" si="80"/>
        <v>0</v>
      </c>
      <c r="J62" s="304">
        <f t="shared" si="80"/>
        <v>88.352168756862042</v>
      </c>
      <c r="K62" s="304">
        <f t="shared" si="80"/>
        <v>23.330944326231918</v>
      </c>
      <c r="L62" s="304">
        <f t="shared" si="80"/>
        <v>43.847120817725859</v>
      </c>
      <c r="M62" s="304"/>
      <c r="N62" s="304">
        <f t="shared" si="80"/>
        <v>30.054042718213907</v>
      </c>
      <c r="O62" s="304">
        <f t="shared" si="80"/>
        <v>66.472586759715085</v>
      </c>
    </row>
    <row r="63" spans="1:29" x14ac:dyDescent="0.2">
      <c r="Y63" s="63"/>
      <c r="Z63" s="63"/>
      <c r="AA63" s="63"/>
      <c r="AB63" s="63"/>
      <c r="AC63" s="63"/>
    </row>
    <row r="64" spans="1:29" x14ac:dyDescent="0.2">
      <c r="Y64" s="63"/>
      <c r="Z64" s="63"/>
      <c r="AA64" s="63"/>
      <c r="AB64" s="63"/>
      <c r="AC64" s="63"/>
    </row>
    <row r="65" spans="4:29" x14ac:dyDescent="0.2">
      <c r="Y65" s="63"/>
      <c r="Z65" s="63"/>
      <c r="AA65" s="63"/>
      <c r="AB65" s="63"/>
      <c r="AC65" s="63"/>
    </row>
    <row r="66" spans="4:29" x14ac:dyDescent="0.2">
      <c r="Y66" s="63"/>
      <c r="Z66" s="63"/>
      <c r="AA66" s="63"/>
      <c r="AB66" s="63"/>
      <c r="AC66" s="63"/>
    </row>
    <row r="67" spans="4:29" x14ac:dyDescent="0.2">
      <c r="Y67" s="63"/>
      <c r="Z67" s="63"/>
      <c r="AA67" s="63"/>
      <c r="AB67" s="63"/>
      <c r="AC67" s="63"/>
    </row>
    <row r="68" spans="4:29" x14ac:dyDescent="0.2">
      <c r="Y68" s="63"/>
      <c r="Z68" s="63"/>
      <c r="AA68" s="63"/>
      <c r="AB68" s="63"/>
      <c r="AC68" s="63"/>
    </row>
    <row r="69" spans="4:29" x14ac:dyDescent="0.2">
      <c r="Y69" s="63"/>
      <c r="Z69" s="63"/>
      <c r="AA69" s="63"/>
      <c r="AB69" s="63"/>
      <c r="AC69" s="63"/>
    </row>
    <row r="70" spans="4:29" x14ac:dyDescent="0.2">
      <c r="Y70" s="63"/>
      <c r="Z70" s="63"/>
      <c r="AA70" s="63"/>
      <c r="AB70" s="63"/>
      <c r="AC70" s="63"/>
    </row>
    <row r="71" spans="4:29" x14ac:dyDescent="0.2">
      <c r="D71" s="60" t="s">
        <v>433</v>
      </c>
      <c r="Y71" s="63"/>
      <c r="Z71" s="63"/>
      <c r="AA71" s="63"/>
      <c r="AB71" s="63"/>
      <c r="AC71" s="63"/>
    </row>
  </sheetData>
  <mergeCells count="26">
    <mergeCell ref="T6:T8"/>
    <mergeCell ref="V6:V8"/>
    <mergeCell ref="R6:R8"/>
    <mergeCell ref="U6:U8"/>
    <mergeCell ref="K7:K8"/>
    <mergeCell ref="L7:L8"/>
    <mergeCell ref="M7:M8"/>
    <mergeCell ref="P6:P8"/>
    <mergeCell ref="S6:S8"/>
    <mergeCell ref="Q6:Q8"/>
    <mergeCell ref="W6:W8"/>
    <mergeCell ref="X6:X8"/>
    <mergeCell ref="I7:I8"/>
    <mergeCell ref="G7:H7"/>
    <mergeCell ref="A4:O4"/>
    <mergeCell ref="A6:A8"/>
    <mergeCell ref="B6:I6"/>
    <mergeCell ref="J6:J8"/>
    <mergeCell ref="B7:B8"/>
    <mergeCell ref="C7:C8"/>
    <mergeCell ref="D7:D8"/>
    <mergeCell ref="E7:E8"/>
    <mergeCell ref="F7:F8"/>
    <mergeCell ref="K6:N6"/>
    <mergeCell ref="O6:O8"/>
    <mergeCell ref="N7:N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74"/>
  <sheetViews>
    <sheetView zoomScaleNormal="100" zoomScaleSheetLayoutView="70" workbookViewId="0">
      <selection activeCell="Q27" sqref="Q27"/>
    </sheetView>
  </sheetViews>
  <sheetFormatPr defaultRowHeight="12.75" x14ac:dyDescent="0.2"/>
  <cols>
    <col min="1" max="1" width="2" style="49" customWidth="1"/>
    <col min="2" max="2" width="43.85546875" customWidth="1"/>
    <col min="3" max="5" width="16.140625" customWidth="1"/>
    <col min="6" max="6" width="18.28515625" customWidth="1"/>
    <col min="7" max="7" width="8.7109375" style="9" hidden="1" customWidth="1"/>
    <col min="8" max="8" width="9.140625" hidden="1" customWidth="1"/>
    <col min="9" max="9" width="13.42578125" hidden="1" customWidth="1"/>
    <col min="11" max="11" width="13.7109375" hidden="1" customWidth="1"/>
  </cols>
  <sheetData>
    <row r="1" spans="2:8" x14ac:dyDescent="0.2">
      <c r="B1" s="3"/>
      <c r="C1" s="3"/>
      <c r="D1" s="3"/>
      <c r="E1" s="3"/>
      <c r="F1" s="89" t="s">
        <v>208</v>
      </c>
    </row>
    <row r="2" spans="2:8" x14ac:dyDescent="0.2">
      <c r="B2" s="3"/>
      <c r="C2" s="3"/>
      <c r="D2" s="3"/>
      <c r="E2" s="3"/>
      <c r="F2" s="300" t="str">
        <f>'1.Bev-kiad.'!L2</f>
        <v>a 9/2026.(V.29.) önkormányzati rendelethez</v>
      </c>
    </row>
    <row r="3" spans="2:8" ht="11.25" customHeight="1" x14ac:dyDescent="0.2">
      <c r="B3" s="3"/>
      <c r="C3" s="3"/>
      <c r="D3" s="3"/>
      <c r="E3" s="3"/>
      <c r="F3" s="300"/>
    </row>
    <row r="4" spans="2:8" x14ac:dyDescent="0.2">
      <c r="B4" s="3"/>
      <c r="C4" s="3"/>
      <c r="D4" s="3"/>
      <c r="E4" s="3"/>
      <c r="F4" s="145"/>
    </row>
    <row r="5" spans="2:8" ht="42.75" customHeight="1" x14ac:dyDescent="0.2">
      <c r="B5" s="746" t="s">
        <v>1171</v>
      </c>
      <c r="C5" s="747"/>
      <c r="D5" s="747"/>
      <c r="E5" s="747"/>
      <c r="F5" s="747"/>
    </row>
    <row r="6" spans="2:8" ht="11.25" customHeight="1" thickBot="1" x14ac:dyDescent="0.25">
      <c r="B6" s="3"/>
      <c r="C6" s="3"/>
      <c r="D6" s="3"/>
      <c r="E6" s="3"/>
      <c r="F6" s="53" t="s">
        <v>0</v>
      </c>
    </row>
    <row r="7" spans="2:8" ht="12.75" customHeight="1" x14ac:dyDescent="0.2">
      <c r="B7" s="748" t="s">
        <v>40</v>
      </c>
      <c r="C7" s="750" t="s">
        <v>39</v>
      </c>
      <c r="D7" s="236" t="s">
        <v>1168</v>
      </c>
      <c r="E7" s="750" t="s">
        <v>1169</v>
      </c>
      <c r="F7" s="744" t="s">
        <v>1170</v>
      </c>
      <c r="G7" s="26"/>
    </row>
    <row r="8" spans="2:8" ht="21.75" customHeight="1" thickBot="1" x14ac:dyDescent="0.25">
      <c r="B8" s="749"/>
      <c r="C8" s="751"/>
      <c r="D8" s="66" t="s">
        <v>42</v>
      </c>
      <c r="E8" s="751"/>
      <c r="F8" s="745"/>
      <c r="G8" s="26"/>
    </row>
    <row r="9" spans="2:8" ht="13.5" customHeight="1" x14ac:dyDescent="0.2">
      <c r="B9" s="225" t="s">
        <v>333</v>
      </c>
      <c r="C9" s="93"/>
      <c r="D9" s="94"/>
      <c r="E9" s="94"/>
      <c r="F9" s="94"/>
      <c r="G9" s="26"/>
    </row>
    <row r="10" spans="2:8" x14ac:dyDescent="0.2">
      <c r="B10" s="182" t="s">
        <v>504</v>
      </c>
      <c r="C10" s="197">
        <f>SUM('2.működés'!D8)-E10</f>
        <v>1730633</v>
      </c>
      <c r="D10" s="197">
        <f>SUM('9.Hivatal'!Y90+'9.Hivatal'!Y91+'9.Hivatal'!Y92+'9.Hivatal'!Y94+'9.Hivatal'!Y93)</f>
        <v>52800</v>
      </c>
      <c r="E10" s="196">
        <f t="shared" ref="E10:E16" si="0">SUM(D10:D10)</f>
        <v>52800</v>
      </c>
      <c r="F10" s="196">
        <f t="shared" ref="F10:F16" si="1">SUM(C10+E10)</f>
        <v>1783433</v>
      </c>
      <c r="G10" s="26"/>
      <c r="H10" s="70"/>
    </row>
    <row r="11" spans="2:8" hidden="1" x14ac:dyDescent="0.2">
      <c r="B11" s="182" t="s">
        <v>765</v>
      </c>
      <c r="C11" s="197">
        <f>SUM('2.működés'!E8)-E11</f>
        <v>1745255</v>
      </c>
      <c r="D11" s="197">
        <f>SUM('9.Hivatal'!Z90+'9.Hivatal'!Z91+'9.Hivatal'!Z92+'9.Hivatal'!Z94+'9.Hivatal'!Z93)</f>
        <v>52800</v>
      </c>
      <c r="E11" s="196">
        <f>SUM(D11:D11)</f>
        <v>52800</v>
      </c>
      <c r="F11" s="196">
        <f>SUM(C11+E11)</f>
        <v>1798055</v>
      </c>
      <c r="G11" s="26"/>
      <c r="H11" s="70"/>
    </row>
    <row r="12" spans="2:8" hidden="1" x14ac:dyDescent="0.2">
      <c r="B12" s="182" t="s">
        <v>801</v>
      </c>
      <c r="C12" s="197">
        <f>SUM('2.működés'!G8)-E12</f>
        <v>1755402</v>
      </c>
      <c r="D12" s="197">
        <f>SUM('9.Hivatal'!AA90+'9.Hivatal'!AA91+'9.Hivatal'!AA92+'9.Hivatal'!AA94+'9.Hivatal'!AA93)</f>
        <v>53050</v>
      </c>
      <c r="E12" s="196">
        <f t="shared" si="0"/>
        <v>53050</v>
      </c>
      <c r="F12" s="196">
        <f t="shared" si="1"/>
        <v>1808452</v>
      </c>
      <c r="G12" s="26"/>
      <c r="H12" s="70"/>
    </row>
    <row r="13" spans="2:8" hidden="1" x14ac:dyDescent="0.2">
      <c r="B13" s="182" t="s">
        <v>812</v>
      </c>
      <c r="C13" s="197">
        <f>SUM('2.működés'!I8)-E13</f>
        <v>1613594</v>
      </c>
      <c r="D13" s="197">
        <f>SUM('9.Hivatal'!AB90+'9.Hivatal'!AB91+'9.Hivatal'!AB92+'9.Hivatal'!AB94+'9.Hivatal'!AB93)</f>
        <v>53050</v>
      </c>
      <c r="E13" s="196">
        <f t="shared" si="0"/>
        <v>53050</v>
      </c>
      <c r="F13" s="196">
        <f t="shared" si="1"/>
        <v>1666644</v>
      </c>
      <c r="G13" s="26"/>
      <c r="H13" s="70"/>
    </row>
    <row r="14" spans="2:8" x14ac:dyDescent="0.2">
      <c r="B14" s="182" t="s">
        <v>822</v>
      </c>
      <c r="C14" s="197">
        <f>SUM('2.működés'!K8)-E14</f>
        <v>1612786</v>
      </c>
      <c r="D14" s="197">
        <f>SUM('9.Hivatal'!AC90+'9.Hivatal'!AC91+'9.Hivatal'!AC92+'9.Hivatal'!AC94+'9.Hivatal'!AC93)</f>
        <v>53050</v>
      </c>
      <c r="E14" s="196">
        <f t="shared" ref="E14:E15" si="2">SUM(D14:D14)</f>
        <v>53050</v>
      </c>
      <c r="F14" s="196">
        <f t="shared" ref="F14:F15" si="3">SUM(C14+E14)</f>
        <v>1665836</v>
      </c>
      <c r="G14" s="26"/>
      <c r="H14" s="70"/>
    </row>
    <row r="15" spans="2:8" hidden="1" x14ac:dyDescent="0.2">
      <c r="B15" s="182" t="s">
        <v>381</v>
      </c>
      <c r="C15" s="197">
        <f>SUM('2.működés'!I10)-E15</f>
        <v>665206</v>
      </c>
      <c r="D15" s="197">
        <f>SUM('9.Hivatal'!AC91+'9.Hivatal'!AC92+'9.Hivatal'!AC93+'9.Hivatal'!AC95+'9.Hivatal'!AC94)</f>
        <v>51530</v>
      </c>
      <c r="E15" s="196">
        <f t="shared" si="2"/>
        <v>51530</v>
      </c>
      <c r="F15" s="196">
        <f t="shared" si="3"/>
        <v>716736</v>
      </c>
      <c r="G15" s="26"/>
      <c r="H15" s="70"/>
    </row>
    <row r="16" spans="2:8" ht="13.5" customHeight="1" x14ac:dyDescent="0.2">
      <c r="B16" s="182" t="s">
        <v>752</v>
      </c>
      <c r="C16" s="197">
        <f>SUM('2.működés'!L8)-E16</f>
        <v>1536920</v>
      </c>
      <c r="D16" s="197">
        <f>SUM('9.Hivatal'!AD90+'9.Hivatal'!AD91+'9.Hivatal'!AD92+'9.Hivatal'!AD93+'9.Hivatal'!AD94)</f>
        <v>52814</v>
      </c>
      <c r="E16" s="196">
        <f t="shared" si="0"/>
        <v>52814</v>
      </c>
      <c r="F16" s="196">
        <f t="shared" si="1"/>
        <v>1589734</v>
      </c>
      <c r="G16" s="26"/>
      <c r="H16" s="176"/>
    </row>
    <row r="17" spans="2:9" ht="6.75" customHeight="1" x14ac:dyDescent="0.2">
      <c r="B17" s="182"/>
      <c r="C17" s="197"/>
      <c r="D17" s="197"/>
      <c r="E17" s="196"/>
      <c r="F17" s="196"/>
      <c r="G17" s="26"/>
    </row>
    <row r="18" spans="2:9" ht="13.5" customHeight="1" x14ac:dyDescent="0.2">
      <c r="B18" s="223" t="s">
        <v>293</v>
      </c>
      <c r="C18" s="197"/>
      <c r="D18" s="197"/>
      <c r="E18" s="197"/>
      <c r="F18" s="196"/>
      <c r="G18" s="26"/>
      <c r="H18" s="70"/>
    </row>
    <row r="19" spans="2:9" ht="13.5" customHeight="1" x14ac:dyDescent="0.2">
      <c r="B19" s="182" t="str">
        <f t="shared" ref="B19:B24" si="4">B10</f>
        <v>2025. évi eredeti előirányzat</v>
      </c>
      <c r="C19" s="197">
        <f>'1.Bev-kiad.'!D17+'1.Bev-kiad.'!D41+'1.Bev-kiad.'!D51</f>
        <v>856834</v>
      </c>
      <c r="D19" s="197">
        <v>0</v>
      </c>
      <c r="E19" s="196">
        <v>0</v>
      </c>
      <c r="F19" s="196">
        <f t="shared" ref="F19:F25" si="5">SUM(C19+E19)</f>
        <v>856834</v>
      </c>
      <c r="G19" s="26"/>
      <c r="H19" s="70"/>
    </row>
    <row r="20" spans="2:9" ht="13.5" hidden="1" customHeight="1" x14ac:dyDescent="0.2">
      <c r="B20" s="182" t="str">
        <f t="shared" si="4"/>
        <v>Módosított előirányzat 2025.06.hó</v>
      </c>
      <c r="C20" s="197">
        <f>'1.Bev-kiad.'!E17+'1.Bev-kiad.'!E41+'1.Bev-kiad.'!E51</f>
        <v>906834</v>
      </c>
      <c r="D20" s="197">
        <v>0</v>
      </c>
      <c r="E20" s="196">
        <f t="shared" ref="E20:E25" si="6">SUM(D20:D20)</f>
        <v>0</v>
      </c>
      <c r="F20" s="196">
        <f t="shared" si="5"/>
        <v>906834</v>
      </c>
      <c r="G20" s="26"/>
      <c r="H20" s="70"/>
    </row>
    <row r="21" spans="2:9" ht="13.5" hidden="1" customHeight="1" x14ac:dyDescent="0.2">
      <c r="B21" s="182" t="str">
        <f t="shared" si="4"/>
        <v>Módosított előirányzat 2025.09.hó</v>
      </c>
      <c r="C21" s="197">
        <f>'1.Bev-kiad.'!G17+'1.Bev-kiad.'!G41+'1.Bev-kiad.'!G51</f>
        <v>906834</v>
      </c>
      <c r="D21" s="197">
        <v>0</v>
      </c>
      <c r="E21" s="196">
        <f t="shared" si="6"/>
        <v>0</v>
      </c>
      <c r="F21" s="196">
        <f t="shared" si="5"/>
        <v>906834</v>
      </c>
      <c r="G21" s="26"/>
      <c r="H21" s="70"/>
    </row>
    <row r="22" spans="2:9" ht="13.5" hidden="1" customHeight="1" x14ac:dyDescent="0.2">
      <c r="B22" s="182" t="str">
        <f t="shared" si="4"/>
        <v>Módosított előirányzat 2025.12.hó</v>
      </c>
      <c r="C22" s="197">
        <f>'1.Bev-kiad.'!I17+'1.Bev-kiad.'!I41+'1.Bev-kiad.'!I51</f>
        <v>906834</v>
      </c>
      <c r="D22" s="197">
        <v>0</v>
      </c>
      <c r="E22" s="196">
        <f t="shared" si="6"/>
        <v>0</v>
      </c>
      <c r="F22" s="196">
        <f t="shared" si="5"/>
        <v>906834</v>
      </c>
      <c r="G22" s="26"/>
      <c r="H22" s="70"/>
    </row>
    <row r="23" spans="2:9" ht="13.5" customHeight="1" x14ac:dyDescent="0.2">
      <c r="B23" s="182" t="str">
        <f t="shared" si="4"/>
        <v>Módosított előirányzat 2025.12.31</v>
      </c>
      <c r="C23" s="197">
        <f>'1.Bev-kiad.'!K17+'1.Bev-kiad.'!K41+'1.Bev-kiad.'!K51</f>
        <v>907642</v>
      </c>
      <c r="D23" s="197">
        <v>0</v>
      </c>
      <c r="E23" s="196">
        <f t="shared" si="6"/>
        <v>0</v>
      </c>
      <c r="F23" s="196">
        <f t="shared" ref="F23" si="7">SUM(C23+E23)</f>
        <v>907642</v>
      </c>
      <c r="G23" s="26"/>
      <c r="H23" s="70"/>
    </row>
    <row r="24" spans="2:9" ht="13.5" hidden="1" customHeight="1" x14ac:dyDescent="0.2">
      <c r="B24" s="182" t="str">
        <f t="shared" si="4"/>
        <v>Beszámoló előtti ei.mód.</v>
      </c>
      <c r="C24" s="197"/>
      <c r="D24" s="197">
        <v>0</v>
      </c>
      <c r="E24" s="196">
        <f t="shared" si="6"/>
        <v>0</v>
      </c>
      <c r="F24" s="196">
        <f t="shared" si="5"/>
        <v>0</v>
      </c>
      <c r="G24" s="26"/>
      <c r="H24" s="70"/>
    </row>
    <row r="25" spans="2:9" ht="13.5" customHeight="1" x14ac:dyDescent="0.2">
      <c r="B25" s="182" t="str">
        <f t="shared" ref="B25" si="8">B16</f>
        <v>Teljesítés 2025.12.31.</v>
      </c>
      <c r="C25" s="197">
        <f>'1.Bev-kiad.'!L17+'1.Bev-kiad.'!L41+'1.Bev-kiad.'!L51</f>
        <v>405885</v>
      </c>
      <c r="D25" s="197">
        <v>0</v>
      </c>
      <c r="E25" s="196">
        <f t="shared" si="6"/>
        <v>0</v>
      </c>
      <c r="F25" s="196">
        <f t="shared" si="5"/>
        <v>405885</v>
      </c>
      <c r="G25" s="26"/>
      <c r="H25" s="70"/>
    </row>
    <row r="26" spans="2:9" ht="7.5" customHeight="1" x14ac:dyDescent="0.2">
      <c r="B26" s="182"/>
      <c r="C26" s="197"/>
      <c r="D26" s="197"/>
      <c r="E26" s="197"/>
      <c r="F26" s="196"/>
      <c r="G26" s="26"/>
      <c r="H26" s="70"/>
    </row>
    <row r="27" spans="2:9" ht="15.75" customHeight="1" x14ac:dyDescent="0.2">
      <c r="B27" s="223" t="s">
        <v>43</v>
      </c>
      <c r="C27" s="197"/>
      <c r="D27" s="197"/>
      <c r="E27" s="197"/>
      <c r="F27" s="197"/>
      <c r="G27" s="27"/>
      <c r="I27" s="70"/>
    </row>
    <row r="28" spans="2:9" x14ac:dyDescent="0.2">
      <c r="B28" s="182" t="str">
        <f t="shared" ref="B28:B34" si="9">B19</f>
        <v>2025. évi eredeti előirányzat</v>
      </c>
      <c r="C28" s="197">
        <f>SUM(C37+C69)</f>
        <v>358606</v>
      </c>
      <c r="D28" s="197">
        <f t="shared" ref="D28:D34" si="10">SUM(D51+D60+D37)</f>
        <v>225381</v>
      </c>
      <c r="E28" s="196">
        <f t="shared" ref="E28:E34" si="11">SUM(D28:D28)</f>
        <v>225381</v>
      </c>
      <c r="F28" s="196">
        <f t="shared" ref="F28:F34" si="12">SUM(C28+E28)</f>
        <v>583987</v>
      </c>
      <c r="G28" s="130"/>
    </row>
    <row r="29" spans="2:9" hidden="1" x14ac:dyDescent="0.2">
      <c r="B29" s="182" t="str">
        <f t="shared" si="9"/>
        <v>Módosított előirányzat 2025.06.hó</v>
      </c>
      <c r="C29" s="197">
        <f>SUM(C38+C70)</f>
        <v>358606</v>
      </c>
      <c r="D29" s="197">
        <f t="shared" si="10"/>
        <v>242114</v>
      </c>
      <c r="E29" s="196">
        <f t="shared" si="11"/>
        <v>242114</v>
      </c>
      <c r="F29" s="196">
        <f t="shared" si="12"/>
        <v>600720</v>
      </c>
      <c r="G29" s="130"/>
    </row>
    <row r="30" spans="2:9" hidden="1" x14ac:dyDescent="0.2">
      <c r="B30" s="182" t="str">
        <f t="shared" si="9"/>
        <v>Módosított előirányzat 2025.09.hó</v>
      </c>
      <c r="C30" s="197">
        <f>SUM(C39+C71)</f>
        <v>358606</v>
      </c>
      <c r="D30" s="197">
        <f t="shared" si="10"/>
        <v>242114</v>
      </c>
      <c r="E30" s="196">
        <f t="shared" si="11"/>
        <v>242114</v>
      </c>
      <c r="F30" s="196">
        <f t="shared" si="12"/>
        <v>600720</v>
      </c>
      <c r="G30" s="26"/>
    </row>
    <row r="31" spans="2:9" hidden="1" x14ac:dyDescent="0.2">
      <c r="B31" s="182" t="str">
        <f t="shared" si="9"/>
        <v>Módosított előirányzat 2025.12.hó</v>
      </c>
      <c r="C31" s="197">
        <f>SUM(C40+C72)+C46</f>
        <v>382767</v>
      </c>
      <c r="D31" s="197">
        <f t="shared" si="10"/>
        <v>242114</v>
      </c>
      <c r="E31" s="196">
        <f t="shared" si="11"/>
        <v>242114</v>
      </c>
      <c r="F31" s="196">
        <f t="shared" si="12"/>
        <v>624881</v>
      </c>
      <c r="G31" s="26"/>
    </row>
    <row r="32" spans="2:9" x14ac:dyDescent="0.2">
      <c r="B32" s="182" t="str">
        <f t="shared" si="9"/>
        <v>Módosított előirányzat 2025.12.31</v>
      </c>
      <c r="C32" s="197">
        <f t="shared" ref="C32:C33" si="13">SUM(C41+C73)+C47</f>
        <v>386182</v>
      </c>
      <c r="D32" s="197">
        <f t="shared" si="10"/>
        <v>242114</v>
      </c>
      <c r="E32" s="196">
        <f t="shared" ref="E32" si="14">SUM(D32:D32)</f>
        <v>242114</v>
      </c>
      <c r="F32" s="196">
        <f t="shared" ref="F32" si="15">SUM(C32+E32)</f>
        <v>628296</v>
      </c>
      <c r="G32" s="26"/>
    </row>
    <row r="33" spans="2:9" hidden="1" x14ac:dyDescent="0.2">
      <c r="B33" s="182" t="str">
        <f t="shared" si="9"/>
        <v>Beszámoló előtti ei.mód.</v>
      </c>
      <c r="C33" s="197">
        <f t="shared" si="13"/>
        <v>27576</v>
      </c>
      <c r="D33" s="197">
        <f t="shared" si="10"/>
        <v>0</v>
      </c>
      <c r="E33" s="196">
        <f t="shared" si="11"/>
        <v>0</v>
      </c>
      <c r="F33" s="196">
        <f t="shared" si="12"/>
        <v>27576</v>
      </c>
      <c r="G33" s="26"/>
    </row>
    <row r="34" spans="2:9" x14ac:dyDescent="0.2">
      <c r="B34" s="182" t="str">
        <f t="shared" si="9"/>
        <v>Teljesítés 2025.12.31.</v>
      </c>
      <c r="C34" s="197">
        <f>SUM(C43+C75)+C48</f>
        <v>386182</v>
      </c>
      <c r="D34" s="197">
        <f t="shared" si="10"/>
        <v>242114</v>
      </c>
      <c r="E34" s="196">
        <f t="shared" si="11"/>
        <v>242114</v>
      </c>
      <c r="F34" s="196">
        <f t="shared" si="12"/>
        <v>628296</v>
      </c>
      <c r="G34" s="130"/>
    </row>
    <row r="35" spans="2:9" ht="6" customHeight="1" x14ac:dyDescent="0.2">
      <c r="B35" s="182"/>
      <c r="C35" s="197"/>
      <c r="D35" s="197"/>
      <c r="E35" s="196"/>
      <c r="F35" s="196"/>
      <c r="G35" s="27"/>
    </row>
    <row r="36" spans="2:9" ht="14.25" customHeight="1" x14ac:dyDescent="0.2">
      <c r="B36" s="233" t="s">
        <v>344</v>
      </c>
      <c r="C36" s="197"/>
      <c r="D36" s="197"/>
      <c r="E36" s="196"/>
      <c r="F36" s="196"/>
      <c r="G36" s="27"/>
    </row>
    <row r="37" spans="2:9" ht="14.25" customHeight="1" x14ac:dyDescent="0.2">
      <c r="B37" s="182" t="str">
        <f t="shared" ref="B37:B40" si="16">B28</f>
        <v>2025. évi eredeti előirányzat</v>
      </c>
      <c r="C37" s="197">
        <f>SUM('1.Bev-kiad.'!D57)-D37</f>
        <v>358606</v>
      </c>
      <c r="D37" s="197">
        <f>SUM('9.Hivatal'!Y88)</f>
        <v>2047</v>
      </c>
      <c r="E37" s="196">
        <f t="shared" ref="E37:E43" si="17">SUM(D37:D37)</f>
        <v>2047</v>
      </c>
      <c r="F37" s="196">
        <f t="shared" ref="F37:F43" si="18">SUM(C37+E37)</f>
        <v>360653</v>
      </c>
      <c r="G37" s="27"/>
    </row>
    <row r="38" spans="2:9" ht="14.25" hidden="1" customHeight="1" x14ac:dyDescent="0.2">
      <c r="B38" s="182" t="str">
        <f t="shared" si="16"/>
        <v>Módosított előirányzat 2025.06.hó</v>
      </c>
      <c r="C38" s="197">
        <f>SUM('1.Bev-kiad.'!E57)-D38</f>
        <v>358606</v>
      </c>
      <c r="D38" s="197">
        <f>SUM('9.Hivatal'!Z88)</f>
        <v>2047</v>
      </c>
      <c r="E38" s="196">
        <f t="shared" si="17"/>
        <v>2047</v>
      </c>
      <c r="F38" s="196">
        <f t="shared" si="18"/>
        <v>360653</v>
      </c>
      <c r="G38" s="27"/>
    </row>
    <row r="39" spans="2:9" ht="14.25" hidden="1" customHeight="1" x14ac:dyDescent="0.2">
      <c r="B39" s="182" t="str">
        <f t="shared" si="16"/>
        <v>Módosított előirányzat 2025.09.hó</v>
      </c>
      <c r="C39" s="197">
        <f>SUM('1.Bev-kiad.'!G57)-D39</f>
        <v>358606</v>
      </c>
      <c r="D39" s="197">
        <f>SUM('9.Hivatal'!AA88)</f>
        <v>2047</v>
      </c>
      <c r="E39" s="196">
        <f t="shared" si="17"/>
        <v>2047</v>
      </c>
      <c r="F39" s="196">
        <f t="shared" si="18"/>
        <v>360653</v>
      </c>
      <c r="G39" s="27"/>
    </row>
    <row r="40" spans="2:9" ht="14.25" hidden="1" customHeight="1" x14ac:dyDescent="0.2">
      <c r="B40" s="182" t="str">
        <f t="shared" si="16"/>
        <v>Módosított előirányzat 2025.12.hó</v>
      </c>
      <c r="C40" s="197">
        <f>SUM('1.Bev-kiad.'!I57)-D40</f>
        <v>358606</v>
      </c>
      <c r="D40" s="197">
        <f>SUM('9.Hivatal'!AB88)</f>
        <v>2047</v>
      </c>
      <c r="E40" s="196">
        <f t="shared" si="17"/>
        <v>2047</v>
      </c>
      <c r="F40" s="196">
        <f t="shared" si="18"/>
        <v>360653</v>
      </c>
      <c r="G40" s="27"/>
    </row>
    <row r="41" spans="2:9" ht="14.25" customHeight="1" x14ac:dyDescent="0.2">
      <c r="B41" s="182" t="str">
        <f>B32</f>
        <v>Módosított előirányzat 2025.12.31</v>
      </c>
      <c r="C41" s="197">
        <f>SUM('1.Bev-kiad.'!K57)-D41</f>
        <v>358606</v>
      </c>
      <c r="D41" s="197">
        <f>SUM('9.Hivatal'!AC88)</f>
        <v>2047</v>
      </c>
      <c r="E41" s="196">
        <f t="shared" ref="E41" si="19">SUM(D41:D41)</f>
        <v>2047</v>
      </c>
      <c r="F41" s="196">
        <f t="shared" ref="F41" si="20">SUM(C41+E41)</f>
        <v>360653</v>
      </c>
      <c r="G41" s="27"/>
    </row>
    <row r="42" spans="2:9" ht="14.25" hidden="1" customHeight="1" x14ac:dyDescent="0.2">
      <c r="B42" s="182" t="str">
        <f>B33</f>
        <v>Beszámoló előtti ei.mód.</v>
      </c>
      <c r="C42" s="197"/>
      <c r="D42" s="197"/>
      <c r="E42" s="196">
        <f t="shared" si="17"/>
        <v>0</v>
      </c>
      <c r="F42" s="196">
        <f t="shared" si="18"/>
        <v>0</v>
      </c>
      <c r="G42" s="27"/>
    </row>
    <row r="43" spans="2:9" ht="14.25" customHeight="1" x14ac:dyDescent="0.2">
      <c r="B43" s="182" t="str">
        <f>B34</f>
        <v>Teljesítés 2025.12.31.</v>
      </c>
      <c r="C43" s="197">
        <f>SUM('1.Bev-kiad.'!L57)-D43</f>
        <v>358606</v>
      </c>
      <c r="D43" s="197">
        <f>SUM('9.Hivatal'!AD88)</f>
        <v>2047</v>
      </c>
      <c r="E43" s="196">
        <f t="shared" si="17"/>
        <v>2047</v>
      </c>
      <c r="F43" s="196">
        <f t="shared" si="18"/>
        <v>360653</v>
      </c>
      <c r="G43" s="27"/>
    </row>
    <row r="44" spans="2:9" ht="5.25" customHeight="1" x14ac:dyDescent="0.2">
      <c r="B44" s="182"/>
      <c r="C44" s="197"/>
      <c r="D44" s="197"/>
      <c r="E44" s="196"/>
      <c r="F44" s="196"/>
      <c r="G44" s="27"/>
    </row>
    <row r="45" spans="2:9" x14ac:dyDescent="0.2">
      <c r="B45" s="233" t="s">
        <v>820</v>
      </c>
      <c r="C45" s="197"/>
      <c r="D45" s="197"/>
      <c r="E45" s="196"/>
      <c r="F45" s="196"/>
      <c r="G45" s="130"/>
      <c r="H45" s="27"/>
      <c r="I45" s="27"/>
    </row>
    <row r="46" spans="2:9" hidden="1" x14ac:dyDescent="0.2">
      <c r="B46" s="182" t="str">
        <f>B13</f>
        <v>Módosított előirányzat 2025.12.hó</v>
      </c>
      <c r="C46" s="197">
        <f>'2.működés'!I113</f>
        <v>24161</v>
      </c>
      <c r="D46" s="226">
        <v>0</v>
      </c>
      <c r="E46" s="196">
        <f t="shared" ref="E46:E48" si="21">SUM(D46:D46)</f>
        <v>0</v>
      </c>
      <c r="F46" s="196">
        <f t="shared" ref="F46:F48" si="22">SUM(C46+E46)</f>
        <v>24161</v>
      </c>
      <c r="G46" s="130"/>
      <c r="H46" s="27"/>
      <c r="I46" s="27"/>
    </row>
    <row r="47" spans="2:9" x14ac:dyDescent="0.2">
      <c r="B47" s="182" t="str">
        <f>B14</f>
        <v>Módosított előirányzat 2025.12.31</v>
      </c>
      <c r="C47" s="197">
        <f>'2.működés'!K113</f>
        <v>27576</v>
      </c>
      <c r="D47" s="226">
        <v>0</v>
      </c>
      <c r="E47" s="196">
        <f t="shared" ref="E47" si="23">SUM(D47:D47)</f>
        <v>0</v>
      </c>
      <c r="F47" s="196">
        <f t="shared" ref="F47" si="24">SUM(C47+E47)</f>
        <v>27576</v>
      </c>
      <c r="G47" s="130"/>
      <c r="H47" s="27"/>
      <c r="I47" s="27"/>
    </row>
    <row r="48" spans="2:9" x14ac:dyDescent="0.2">
      <c r="B48" s="182" t="str">
        <f t="shared" ref="B48" si="25">B43</f>
        <v>Teljesítés 2025.12.31.</v>
      </c>
      <c r="C48" s="197">
        <f>'2.működés'!L113</f>
        <v>27576</v>
      </c>
      <c r="D48" s="226">
        <v>0</v>
      </c>
      <c r="E48" s="196">
        <f t="shared" si="21"/>
        <v>0</v>
      </c>
      <c r="F48" s="68">
        <f t="shared" si="22"/>
        <v>27576</v>
      </c>
      <c r="G48" s="130"/>
      <c r="H48" s="27"/>
      <c r="I48" s="27"/>
    </row>
    <row r="49" spans="2:9" ht="5.25" customHeight="1" x14ac:dyDescent="0.2">
      <c r="B49" s="182"/>
      <c r="C49" s="197"/>
      <c r="D49" s="197"/>
      <c r="E49" s="196"/>
      <c r="F49" s="196"/>
      <c r="G49" s="130"/>
      <c r="H49" s="27"/>
      <c r="I49" s="27"/>
    </row>
    <row r="50" spans="2:9" x14ac:dyDescent="0.2">
      <c r="B50" s="234" t="s">
        <v>414</v>
      </c>
      <c r="C50" s="197"/>
      <c r="D50" s="197"/>
      <c r="E50" s="197"/>
      <c r="F50" s="197"/>
      <c r="G50" s="69"/>
    </row>
    <row r="51" spans="2:9" x14ac:dyDescent="0.2">
      <c r="B51" s="182" t="str">
        <f t="shared" ref="B51:B57" si="26">B37</f>
        <v>2025. évi eredeti előirányzat</v>
      </c>
      <c r="C51" s="197">
        <v>0</v>
      </c>
      <c r="D51" s="197">
        <f>SUM('9.Hivatal'!Y89)</f>
        <v>134735</v>
      </c>
      <c r="E51" s="196">
        <f t="shared" ref="E51:E57" si="27">SUM(D51:D51)</f>
        <v>134735</v>
      </c>
      <c r="F51" s="196">
        <f t="shared" ref="F51:F57" si="28">SUM(C51+E51)</f>
        <v>134735</v>
      </c>
      <c r="G51" s="130"/>
      <c r="H51" s="27"/>
      <c r="I51" s="27"/>
    </row>
    <row r="52" spans="2:9" hidden="1" x14ac:dyDescent="0.2">
      <c r="B52" s="182" t="str">
        <f t="shared" si="26"/>
        <v>Módosított előirányzat 2025.06.hó</v>
      </c>
      <c r="C52" s="197">
        <v>0</v>
      </c>
      <c r="D52" s="197">
        <f>SUM('9.Hivatal'!Z89)</f>
        <v>166555</v>
      </c>
      <c r="E52" s="196">
        <f t="shared" si="27"/>
        <v>166555</v>
      </c>
      <c r="F52" s="196">
        <f t="shared" si="28"/>
        <v>166555</v>
      </c>
      <c r="G52" s="130"/>
      <c r="H52" s="27"/>
      <c r="I52" s="27"/>
    </row>
    <row r="53" spans="2:9" hidden="1" x14ac:dyDescent="0.2">
      <c r="B53" s="182" t="str">
        <f t="shared" si="26"/>
        <v>Módosított előirányzat 2025.09.hó</v>
      </c>
      <c r="C53" s="197">
        <v>0</v>
      </c>
      <c r="D53" s="197">
        <f>SUM('9.Hivatal'!AA89)</f>
        <v>166555</v>
      </c>
      <c r="E53" s="196">
        <f t="shared" si="27"/>
        <v>166555</v>
      </c>
      <c r="F53" s="196">
        <f t="shared" si="28"/>
        <v>166555</v>
      </c>
      <c r="G53" s="130"/>
      <c r="H53" s="27"/>
      <c r="I53" s="27"/>
    </row>
    <row r="54" spans="2:9" hidden="1" x14ac:dyDescent="0.2">
      <c r="B54" s="182" t="str">
        <f t="shared" si="26"/>
        <v>Módosított előirányzat 2025.12.hó</v>
      </c>
      <c r="C54" s="197">
        <v>0</v>
      </c>
      <c r="D54" s="197">
        <f>SUM('9.Hivatal'!AB89)</f>
        <v>166555</v>
      </c>
      <c r="E54" s="196">
        <f t="shared" si="27"/>
        <v>166555</v>
      </c>
      <c r="F54" s="196">
        <f t="shared" si="28"/>
        <v>166555</v>
      </c>
      <c r="G54" s="130"/>
      <c r="H54" s="27"/>
      <c r="I54" s="27"/>
    </row>
    <row r="55" spans="2:9" x14ac:dyDescent="0.2">
      <c r="B55" s="182" t="str">
        <f t="shared" si="26"/>
        <v>Módosított előirányzat 2025.12.31</v>
      </c>
      <c r="C55" s="197">
        <v>0</v>
      </c>
      <c r="D55" s="197">
        <f>SUM('9.Hivatal'!AC89)</f>
        <v>166555</v>
      </c>
      <c r="E55" s="196">
        <f t="shared" ref="E55" si="29">SUM(D55:D55)</f>
        <v>166555</v>
      </c>
      <c r="F55" s="196">
        <f t="shared" ref="F55" si="30">SUM(C55+E55)</f>
        <v>166555</v>
      </c>
      <c r="G55" s="130"/>
      <c r="H55" s="27"/>
      <c r="I55" s="27"/>
    </row>
    <row r="56" spans="2:9" hidden="1" x14ac:dyDescent="0.2">
      <c r="B56" s="182" t="str">
        <f t="shared" si="26"/>
        <v>Beszámoló előtti ei.mód.</v>
      </c>
      <c r="C56" s="197"/>
      <c r="D56" s="197">
        <v>0</v>
      </c>
      <c r="E56" s="196">
        <f t="shared" si="27"/>
        <v>0</v>
      </c>
      <c r="F56" s="196">
        <f t="shared" si="28"/>
        <v>0</v>
      </c>
      <c r="G56" s="130"/>
      <c r="H56" s="27"/>
      <c r="I56" s="27"/>
    </row>
    <row r="57" spans="2:9" ht="13.5" customHeight="1" x14ac:dyDescent="0.2">
      <c r="B57" s="182" t="str">
        <f t="shared" si="26"/>
        <v>Teljesítés 2025.12.31.</v>
      </c>
      <c r="C57" s="197">
        <v>0</v>
      </c>
      <c r="D57" s="197">
        <f>SUM('9.Hivatal'!AD89)</f>
        <v>166555</v>
      </c>
      <c r="E57" s="196">
        <f t="shared" si="27"/>
        <v>166555</v>
      </c>
      <c r="F57" s="196">
        <f t="shared" si="28"/>
        <v>166555</v>
      </c>
      <c r="G57" s="130"/>
      <c r="H57" s="27"/>
      <c r="I57" s="27"/>
    </row>
    <row r="58" spans="2:9" ht="6" customHeight="1" x14ac:dyDescent="0.2">
      <c r="B58" s="182"/>
      <c r="C58" s="197"/>
      <c r="D58" s="197"/>
      <c r="E58" s="196"/>
      <c r="F58" s="196"/>
      <c r="G58" s="27"/>
      <c r="H58" s="27"/>
      <c r="I58" s="27"/>
    </row>
    <row r="59" spans="2:9" ht="26.25" customHeight="1" x14ac:dyDescent="0.2">
      <c r="B59" s="234" t="s">
        <v>44</v>
      </c>
      <c r="C59" s="197"/>
      <c r="D59" s="197"/>
      <c r="E59" s="197"/>
      <c r="F59" s="197"/>
      <c r="G59" s="26"/>
      <c r="H59" s="26"/>
      <c r="I59" s="26"/>
    </row>
    <row r="60" spans="2:9" x14ac:dyDescent="0.2">
      <c r="B60" s="182" t="str">
        <f t="shared" ref="B60:B66" si="31">B51</f>
        <v>2025. évi eredeti előirányzat</v>
      </c>
      <c r="C60" s="197">
        <v>0</v>
      </c>
      <c r="D60" s="197">
        <f>SUM('9.Hivatal'!Y97)</f>
        <v>88599</v>
      </c>
      <c r="E60" s="196">
        <f t="shared" ref="E60:E66" si="32">SUM(D60:D60)</f>
        <v>88599</v>
      </c>
      <c r="F60" s="196">
        <f t="shared" ref="F60:F66" si="33">SUM(E60)</f>
        <v>88599</v>
      </c>
      <c r="G60" s="27">
        <f>SUM(E78-E10-E37)</f>
        <v>223334</v>
      </c>
      <c r="H60" s="27"/>
      <c r="I60" s="27"/>
    </row>
    <row r="61" spans="2:9" hidden="1" x14ac:dyDescent="0.2">
      <c r="B61" s="182" t="str">
        <f t="shared" si="31"/>
        <v>Módosított előirányzat 2025.06.hó</v>
      </c>
      <c r="C61" s="197">
        <v>0</v>
      </c>
      <c r="D61" s="197">
        <f>SUM('9.Hivatal'!Z97)</f>
        <v>73512</v>
      </c>
      <c r="E61" s="196">
        <f t="shared" si="32"/>
        <v>73512</v>
      </c>
      <c r="F61" s="196">
        <f t="shared" si="33"/>
        <v>73512</v>
      </c>
      <c r="G61" s="27">
        <f>SUM(E79-E11-E38)</f>
        <v>240067</v>
      </c>
      <c r="H61" s="27"/>
      <c r="I61" s="27"/>
    </row>
    <row r="62" spans="2:9" hidden="1" x14ac:dyDescent="0.2">
      <c r="B62" s="182" t="str">
        <f t="shared" si="31"/>
        <v>Módosított előirányzat 2025.09.hó</v>
      </c>
      <c r="C62" s="197">
        <v>0</v>
      </c>
      <c r="D62" s="197">
        <f>SUM('9.Hivatal'!AA97)</f>
        <v>73512</v>
      </c>
      <c r="E62" s="196">
        <f t="shared" si="32"/>
        <v>73512</v>
      </c>
      <c r="F62" s="196">
        <f t="shared" si="33"/>
        <v>73512</v>
      </c>
      <c r="G62" s="27">
        <f>SUM(E80-E12-E39)</f>
        <v>240067</v>
      </c>
      <c r="H62" s="27"/>
      <c r="I62" s="27"/>
    </row>
    <row r="63" spans="2:9" hidden="1" x14ac:dyDescent="0.2">
      <c r="B63" s="182" t="str">
        <f t="shared" si="31"/>
        <v>Módosított előirányzat 2025.12.hó</v>
      </c>
      <c r="C63" s="197">
        <v>0</v>
      </c>
      <c r="D63" s="197">
        <f>SUM('9.Hivatal'!AB97)</f>
        <v>73512</v>
      </c>
      <c r="E63" s="196">
        <f t="shared" si="32"/>
        <v>73512</v>
      </c>
      <c r="F63" s="196">
        <f t="shared" si="33"/>
        <v>73512</v>
      </c>
      <c r="G63" s="27">
        <f>SUM(E81-E13-E40)</f>
        <v>240067</v>
      </c>
      <c r="H63" s="27"/>
      <c r="I63" s="27"/>
    </row>
    <row r="64" spans="2:9" x14ac:dyDescent="0.2">
      <c r="B64" s="182" t="str">
        <f t="shared" si="31"/>
        <v>Módosított előirányzat 2025.12.31</v>
      </c>
      <c r="C64" s="197">
        <v>0</v>
      </c>
      <c r="D64" s="197">
        <f>SUM('9.Hivatal'!AC97)</f>
        <v>73512</v>
      </c>
      <c r="E64" s="196">
        <f t="shared" ref="E64" si="34">SUM(D64:D64)</f>
        <v>73512</v>
      </c>
      <c r="F64" s="196">
        <f t="shared" ref="F64" si="35">SUM(E64)</f>
        <v>73512</v>
      </c>
      <c r="G64" s="27"/>
      <c r="H64" s="27"/>
      <c r="I64" s="27"/>
    </row>
    <row r="65" spans="2:13" hidden="1" x14ac:dyDescent="0.2">
      <c r="B65" s="182" t="str">
        <f t="shared" si="31"/>
        <v>Beszámoló előtti ei.mód.</v>
      </c>
      <c r="C65" s="197"/>
      <c r="D65" s="197">
        <v>0</v>
      </c>
      <c r="E65" s="196">
        <f t="shared" si="32"/>
        <v>0</v>
      </c>
      <c r="F65" s="196">
        <f t="shared" si="33"/>
        <v>0</v>
      </c>
      <c r="G65" s="27">
        <f>SUM(E83-E15-E42)</f>
        <v>0</v>
      </c>
      <c r="H65" s="27"/>
      <c r="I65" s="27"/>
    </row>
    <row r="66" spans="2:13" ht="13.5" customHeight="1" x14ac:dyDescent="0.2">
      <c r="B66" s="182" t="str">
        <f t="shared" si="31"/>
        <v>Teljesítés 2025.12.31.</v>
      </c>
      <c r="C66" s="197">
        <v>0</v>
      </c>
      <c r="D66" s="197">
        <f>SUM('9.Hivatal'!AD97)</f>
        <v>73512</v>
      </c>
      <c r="E66" s="196">
        <f t="shared" si="32"/>
        <v>73512</v>
      </c>
      <c r="F66" s="196">
        <f t="shared" si="33"/>
        <v>73512</v>
      </c>
      <c r="G66" s="27">
        <f>SUM(E84-E16-E43)</f>
        <v>240067</v>
      </c>
      <c r="H66" s="27"/>
      <c r="I66" s="27"/>
    </row>
    <row r="67" spans="2:13" ht="6.75" customHeight="1" x14ac:dyDescent="0.2">
      <c r="B67" s="182"/>
      <c r="C67" s="197"/>
      <c r="D67" s="197"/>
      <c r="E67" s="196"/>
      <c r="F67" s="196"/>
      <c r="G67" s="27"/>
      <c r="H67" s="27"/>
      <c r="I67" s="27"/>
    </row>
    <row r="68" spans="2:13" ht="13.5" customHeight="1" x14ac:dyDescent="0.2">
      <c r="B68" s="234" t="s">
        <v>375</v>
      </c>
      <c r="C68" s="226"/>
      <c r="D68" s="226"/>
      <c r="E68" s="227"/>
      <c r="F68" s="227"/>
      <c r="G68" s="27"/>
      <c r="H68" s="27"/>
      <c r="I68" s="27"/>
    </row>
    <row r="69" spans="2:13" ht="14.25" customHeight="1" x14ac:dyDescent="0.2">
      <c r="B69" s="243" t="str">
        <f t="shared" ref="B69:B75" si="36">B60</f>
        <v>2025. évi eredeti előirányzat</v>
      </c>
      <c r="C69" s="226">
        <f>SUM('1.Bev-kiad.'!D61)</f>
        <v>0</v>
      </c>
      <c r="D69" s="226">
        <v>0</v>
      </c>
      <c r="E69" s="196">
        <f t="shared" ref="E69:E71" si="37">SUM(D69:D69)</f>
        <v>0</v>
      </c>
      <c r="F69" s="196">
        <f t="shared" ref="F69:F75" si="38">SUM(C69+E69)</f>
        <v>0</v>
      </c>
      <c r="G69" s="27"/>
      <c r="H69" s="27"/>
      <c r="I69" s="27"/>
      <c r="K69" s="70"/>
    </row>
    <row r="70" spans="2:13" ht="13.5" hidden="1" customHeight="1" x14ac:dyDescent="0.2">
      <c r="B70" s="243" t="str">
        <f t="shared" si="36"/>
        <v>Módosított előirányzat 2025.06.hó</v>
      </c>
      <c r="C70" s="226">
        <f>'1.Bev-kiad.'!E61</f>
        <v>0</v>
      </c>
      <c r="D70" s="226">
        <v>0</v>
      </c>
      <c r="E70" s="196">
        <f t="shared" si="37"/>
        <v>0</v>
      </c>
      <c r="F70" s="68">
        <f t="shared" si="38"/>
        <v>0</v>
      </c>
      <c r="G70" s="27"/>
      <c r="H70" s="27"/>
      <c r="I70" s="27"/>
    </row>
    <row r="71" spans="2:13" ht="13.5" hidden="1" customHeight="1" x14ac:dyDescent="0.2">
      <c r="B71" s="243" t="str">
        <f t="shared" si="36"/>
        <v>Módosított előirányzat 2025.09.hó</v>
      </c>
      <c r="C71" s="226">
        <f>'1.Bev-kiad.'!G61</f>
        <v>0</v>
      </c>
      <c r="D71" s="226">
        <v>0</v>
      </c>
      <c r="E71" s="196">
        <f t="shared" si="37"/>
        <v>0</v>
      </c>
      <c r="F71" s="68">
        <f t="shared" si="38"/>
        <v>0</v>
      </c>
      <c r="G71" s="27"/>
      <c r="H71" s="27"/>
      <c r="I71" s="27"/>
    </row>
    <row r="72" spans="2:13" ht="13.5" hidden="1" customHeight="1" x14ac:dyDescent="0.2">
      <c r="B72" s="243" t="str">
        <f t="shared" si="36"/>
        <v>Módosított előirányzat 2025.12.hó</v>
      </c>
      <c r="C72" s="226">
        <f>'1.Bev-kiad.'!G62</f>
        <v>0</v>
      </c>
      <c r="D72" s="226">
        <v>0</v>
      </c>
      <c r="E72" s="196">
        <f t="shared" ref="E72:E75" si="39">SUM(D72:D72)</f>
        <v>0</v>
      </c>
      <c r="F72" s="68">
        <f t="shared" ref="F72:F73" si="40">SUM(C72+E72)</f>
        <v>0</v>
      </c>
      <c r="G72" s="27"/>
      <c r="H72" s="27"/>
      <c r="I72" s="27"/>
    </row>
    <row r="73" spans="2:13" ht="13.5" customHeight="1" x14ac:dyDescent="0.2">
      <c r="B73" s="243" t="str">
        <f t="shared" si="36"/>
        <v>Módosított előirányzat 2025.12.31</v>
      </c>
      <c r="C73" s="226">
        <f>'1.Bev-kiad.'!G63</f>
        <v>0</v>
      </c>
      <c r="D73" s="226">
        <v>0</v>
      </c>
      <c r="E73" s="196">
        <f t="shared" si="39"/>
        <v>0</v>
      </c>
      <c r="F73" s="68">
        <f t="shared" si="40"/>
        <v>0</v>
      </c>
      <c r="G73" s="27"/>
      <c r="H73" s="27"/>
      <c r="I73" s="27"/>
    </row>
    <row r="74" spans="2:13" ht="13.5" hidden="1" customHeight="1" x14ac:dyDescent="0.2">
      <c r="B74" s="243" t="str">
        <f t="shared" si="36"/>
        <v>Beszámoló előtti ei.mód.</v>
      </c>
      <c r="C74" s="226">
        <f>'1.Bev-kiad.'!L61</f>
        <v>0</v>
      </c>
      <c r="D74" s="226"/>
      <c r="E74" s="196">
        <f t="shared" si="39"/>
        <v>0</v>
      </c>
      <c r="F74" s="68">
        <f t="shared" si="38"/>
        <v>0</v>
      </c>
      <c r="G74" s="27"/>
      <c r="H74" s="27"/>
      <c r="I74" s="27"/>
    </row>
    <row r="75" spans="2:13" ht="13.5" customHeight="1" x14ac:dyDescent="0.2">
      <c r="B75" s="243" t="str">
        <f t="shared" si="36"/>
        <v>Teljesítés 2025.12.31.</v>
      </c>
      <c r="C75" s="226">
        <f>'1.Bev-kiad.'!M61</f>
        <v>0</v>
      </c>
      <c r="D75" s="226">
        <v>0</v>
      </c>
      <c r="E75" s="196">
        <f t="shared" si="39"/>
        <v>0</v>
      </c>
      <c r="F75" s="68">
        <f t="shared" si="38"/>
        <v>0</v>
      </c>
      <c r="G75" s="27"/>
      <c r="H75" s="27"/>
      <c r="I75" s="27"/>
    </row>
    <row r="76" spans="2:13" ht="5.25" customHeight="1" thickBot="1" x14ac:dyDescent="0.25">
      <c r="B76" s="243"/>
      <c r="C76" s="226"/>
      <c r="D76" s="226"/>
      <c r="E76" s="196"/>
      <c r="F76" s="68"/>
      <c r="G76" s="27"/>
      <c r="H76" s="27"/>
      <c r="I76" s="27"/>
    </row>
    <row r="77" spans="2:13" ht="14.25" customHeight="1" x14ac:dyDescent="0.2">
      <c r="B77" s="90" t="s">
        <v>45</v>
      </c>
      <c r="C77" s="198"/>
      <c r="D77" s="198"/>
      <c r="E77" s="198"/>
      <c r="F77" s="203"/>
      <c r="G77" s="27"/>
      <c r="H77" s="70"/>
    </row>
    <row r="78" spans="2:13" ht="14.25" customHeight="1" x14ac:dyDescent="0.2">
      <c r="B78" s="175" t="str">
        <f t="shared" ref="B78:B84" si="41">B10</f>
        <v>2025. évi eredeti előirányzat</v>
      </c>
      <c r="C78" s="200">
        <f t="shared" ref="C78:C84" si="42">SUM(C10+C28+C19)</f>
        <v>2946073</v>
      </c>
      <c r="D78" s="200">
        <f t="shared" ref="D78:D84" si="43">SUM(D10+D28)</f>
        <v>278181</v>
      </c>
      <c r="E78" s="200">
        <f t="shared" ref="E78:E84" si="44">SUM(D78:D78)</f>
        <v>278181</v>
      </c>
      <c r="F78" s="204">
        <f t="shared" ref="F78:F84" si="45">SUM(C78+E78)</f>
        <v>3224254</v>
      </c>
      <c r="G78" s="130"/>
      <c r="H78" s="176"/>
      <c r="I78" s="70"/>
      <c r="K78" s="70"/>
      <c r="L78" s="70"/>
      <c r="M78" s="70"/>
    </row>
    <row r="79" spans="2:13" ht="14.25" hidden="1" customHeight="1" x14ac:dyDescent="0.2">
      <c r="B79" s="175" t="str">
        <f t="shared" si="41"/>
        <v>Módosított előirányzat 2025.06.hó</v>
      </c>
      <c r="C79" s="200">
        <f t="shared" si="42"/>
        <v>3010695</v>
      </c>
      <c r="D79" s="200">
        <f t="shared" si="43"/>
        <v>294914</v>
      </c>
      <c r="E79" s="200">
        <f t="shared" si="44"/>
        <v>294914</v>
      </c>
      <c r="F79" s="204">
        <f t="shared" si="45"/>
        <v>3305609</v>
      </c>
      <c r="G79" s="130"/>
      <c r="H79" s="176"/>
      <c r="K79" s="70"/>
    </row>
    <row r="80" spans="2:13" ht="14.25" hidden="1" customHeight="1" x14ac:dyDescent="0.2">
      <c r="B80" s="175" t="str">
        <f t="shared" si="41"/>
        <v>Módosított előirányzat 2025.09.hó</v>
      </c>
      <c r="C80" s="200">
        <f t="shared" si="42"/>
        <v>3020842</v>
      </c>
      <c r="D80" s="200">
        <f t="shared" si="43"/>
        <v>295164</v>
      </c>
      <c r="E80" s="200">
        <f t="shared" si="44"/>
        <v>295164</v>
      </c>
      <c r="F80" s="204">
        <f t="shared" si="45"/>
        <v>3316006</v>
      </c>
      <c r="G80" s="130"/>
      <c r="H80" s="176"/>
      <c r="K80" s="70"/>
    </row>
    <row r="81" spans="2:12" ht="14.25" hidden="1" customHeight="1" x14ac:dyDescent="0.2">
      <c r="B81" s="175" t="str">
        <f t="shared" si="41"/>
        <v>Módosított előirányzat 2025.12.hó</v>
      </c>
      <c r="C81" s="200">
        <f t="shared" si="42"/>
        <v>2903195</v>
      </c>
      <c r="D81" s="200">
        <f t="shared" si="43"/>
        <v>295164</v>
      </c>
      <c r="E81" s="200">
        <f t="shared" si="44"/>
        <v>295164</v>
      </c>
      <c r="F81" s="204">
        <f t="shared" si="45"/>
        <v>3198359</v>
      </c>
      <c r="G81" s="130"/>
      <c r="H81" s="176"/>
      <c r="K81" s="70"/>
    </row>
    <row r="82" spans="2:12" ht="14.25" customHeight="1" x14ac:dyDescent="0.2">
      <c r="B82" s="175" t="str">
        <f t="shared" si="41"/>
        <v>Módosított előirányzat 2025.12.31</v>
      </c>
      <c r="C82" s="200">
        <f t="shared" si="42"/>
        <v>2906610</v>
      </c>
      <c r="D82" s="200">
        <f t="shared" si="43"/>
        <v>295164</v>
      </c>
      <c r="E82" s="200">
        <f t="shared" ref="E82" si="46">SUM(D82:D82)</f>
        <v>295164</v>
      </c>
      <c r="F82" s="204">
        <f t="shared" ref="F82" si="47">SUM(C82+E82)</f>
        <v>3201774</v>
      </c>
      <c r="G82" s="130"/>
      <c r="H82" s="176"/>
      <c r="K82" s="70"/>
    </row>
    <row r="83" spans="2:12" ht="14.25" hidden="1" customHeight="1" x14ac:dyDescent="0.2">
      <c r="B83" s="175" t="str">
        <f t="shared" si="41"/>
        <v>Beszámoló előtti ei.mód.</v>
      </c>
      <c r="C83" s="200">
        <f t="shared" si="42"/>
        <v>692782</v>
      </c>
      <c r="D83" s="200">
        <f t="shared" si="43"/>
        <v>51530</v>
      </c>
      <c r="E83" s="200">
        <f t="shared" si="44"/>
        <v>51530</v>
      </c>
      <c r="F83" s="204">
        <f t="shared" si="45"/>
        <v>744312</v>
      </c>
      <c r="G83" s="130"/>
      <c r="H83" s="176"/>
      <c r="K83" s="70"/>
    </row>
    <row r="84" spans="2:12" x14ac:dyDescent="0.2">
      <c r="B84" s="175" t="str">
        <f t="shared" si="41"/>
        <v>Teljesítés 2025.12.31.</v>
      </c>
      <c r="C84" s="200">
        <f t="shared" si="42"/>
        <v>2328987</v>
      </c>
      <c r="D84" s="200">
        <f t="shared" si="43"/>
        <v>294928</v>
      </c>
      <c r="E84" s="200">
        <f t="shared" si="44"/>
        <v>294928</v>
      </c>
      <c r="F84" s="204">
        <f t="shared" si="45"/>
        <v>2623915</v>
      </c>
      <c r="G84" s="130"/>
      <c r="H84" s="176"/>
      <c r="J84" s="70"/>
      <c r="K84" s="70"/>
      <c r="L84" s="70"/>
    </row>
    <row r="85" spans="2:12" ht="14.25" customHeight="1" x14ac:dyDescent="0.2">
      <c r="B85" s="244" t="s">
        <v>46</v>
      </c>
      <c r="C85" s="200"/>
      <c r="D85" s="200"/>
      <c r="E85" s="200"/>
      <c r="F85" s="204">
        <f t="shared" ref="F85:F91" si="48">-E51-E60</f>
        <v>-223334</v>
      </c>
      <c r="G85" s="26"/>
      <c r="J85" s="70"/>
      <c r="K85" s="70"/>
      <c r="L85" s="70"/>
    </row>
    <row r="86" spans="2:12" ht="12.75" hidden="1" customHeight="1" x14ac:dyDescent="0.2">
      <c r="B86" s="244" t="str">
        <f t="shared" ref="B86:B91" si="49">B79</f>
        <v>Módosított előirányzat 2025.06.hó</v>
      </c>
      <c r="C86" s="200"/>
      <c r="D86" s="200"/>
      <c r="E86" s="200"/>
      <c r="F86" s="204">
        <f t="shared" si="48"/>
        <v>-240067</v>
      </c>
      <c r="G86" s="26"/>
      <c r="K86" s="70"/>
    </row>
    <row r="87" spans="2:12" ht="12.75" hidden="1" customHeight="1" x14ac:dyDescent="0.2">
      <c r="B87" s="244" t="str">
        <f t="shared" si="49"/>
        <v>Módosított előirányzat 2025.09.hó</v>
      </c>
      <c r="C87" s="199"/>
      <c r="D87" s="199"/>
      <c r="E87" s="199"/>
      <c r="F87" s="204">
        <f t="shared" si="48"/>
        <v>-240067</v>
      </c>
      <c r="G87" s="26"/>
      <c r="K87" s="70"/>
    </row>
    <row r="88" spans="2:12" ht="12.75" hidden="1" customHeight="1" x14ac:dyDescent="0.2">
      <c r="B88" s="244" t="str">
        <f t="shared" si="49"/>
        <v>Módosított előirányzat 2025.12.hó</v>
      </c>
      <c r="C88" s="199"/>
      <c r="D88" s="199"/>
      <c r="E88" s="199"/>
      <c r="F88" s="204">
        <f t="shared" si="48"/>
        <v>-240067</v>
      </c>
      <c r="G88" s="26"/>
      <c r="J88" s="70"/>
      <c r="K88" s="70"/>
    </row>
    <row r="89" spans="2:12" ht="12.75" customHeight="1" x14ac:dyDescent="0.2">
      <c r="B89" s="244" t="str">
        <f t="shared" si="49"/>
        <v>Módosított előirányzat 2025.12.31</v>
      </c>
      <c r="C89" s="199"/>
      <c r="D89" s="199"/>
      <c r="E89" s="199"/>
      <c r="F89" s="204">
        <f>-E55-E64</f>
        <v>-240067</v>
      </c>
      <c r="G89" s="26"/>
      <c r="K89" s="70"/>
    </row>
    <row r="90" spans="2:12" ht="12.75" hidden="1" customHeight="1" x14ac:dyDescent="0.2">
      <c r="B90" s="244" t="str">
        <f t="shared" si="49"/>
        <v>Beszámoló előtti ei.mód.</v>
      </c>
      <c r="C90" s="199"/>
      <c r="D90" s="199"/>
      <c r="E90" s="199"/>
      <c r="F90" s="204">
        <f t="shared" si="48"/>
        <v>0</v>
      </c>
      <c r="G90" s="26"/>
      <c r="K90" s="70"/>
    </row>
    <row r="91" spans="2:12" ht="13.5" thickBot="1" x14ac:dyDescent="0.25">
      <c r="B91" s="244" t="str">
        <f t="shared" si="49"/>
        <v>Teljesítés 2025.12.31.</v>
      </c>
      <c r="C91" s="199"/>
      <c r="D91" s="199"/>
      <c r="E91" s="199"/>
      <c r="F91" s="204">
        <f t="shared" si="48"/>
        <v>-240067</v>
      </c>
      <c r="G91" s="26"/>
      <c r="K91" s="70"/>
    </row>
    <row r="92" spans="2:12" ht="13.5" thickBot="1" x14ac:dyDescent="0.25">
      <c r="B92" s="71" t="s">
        <v>47</v>
      </c>
      <c r="C92" s="201"/>
      <c r="D92" s="201"/>
      <c r="E92" s="201"/>
      <c r="F92" s="205">
        <f>SUM(F84+F91)</f>
        <v>2383848</v>
      </c>
      <c r="G92" s="26"/>
      <c r="I92" s="70"/>
      <c r="J92" s="70"/>
      <c r="K92" s="70"/>
    </row>
    <row r="93" spans="2:12" ht="14.25" customHeight="1" x14ac:dyDescent="0.2">
      <c r="B93" s="235" t="s">
        <v>48</v>
      </c>
      <c r="C93" s="202"/>
      <c r="D93" s="202"/>
      <c r="E93" s="202"/>
      <c r="F93" s="206"/>
      <c r="G93" s="27"/>
      <c r="J93" s="70"/>
    </row>
    <row r="94" spans="2:12" x14ac:dyDescent="0.2">
      <c r="B94" s="175" t="str">
        <f t="shared" ref="B94:B107" si="50">B78</f>
        <v>2025. évi eredeti előirányzat</v>
      </c>
      <c r="C94" s="200">
        <f t="shared" ref="C94:C100" si="51">SUM(C110+C118+C126+C134+C142+C150+C158+C166)</f>
        <v>2946016</v>
      </c>
      <c r="D94" s="200">
        <f t="shared" ref="D94:D100" si="52">SUM(D110+D118+D126+D134+D150)</f>
        <v>278181</v>
      </c>
      <c r="E94" s="200">
        <f t="shared" ref="E94:E100" si="53">SUM(D94:D94)</f>
        <v>278181</v>
      </c>
      <c r="F94" s="204">
        <f t="shared" ref="F94:F100" si="54">SUM(C94+E94)</f>
        <v>3224197</v>
      </c>
      <c r="G94" s="130">
        <f>SUM(F110+F118+F126+F134+F142+F150+F158+F166)</f>
        <v>3224197</v>
      </c>
      <c r="H94" s="176">
        <f>SUM(E110+E118+E126+E134)</f>
        <v>278181</v>
      </c>
      <c r="I94" s="33">
        <f>SUM(F110+F118+F126+F134+F142+F150+F158+F166)</f>
        <v>3224197</v>
      </c>
    </row>
    <row r="95" spans="2:12" hidden="1" x14ac:dyDescent="0.2">
      <c r="B95" s="175" t="str">
        <f t="shared" si="50"/>
        <v>Módosított előirányzat 2025.06.hó</v>
      </c>
      <c r="C95" s="200">
        <f t="shared" si="51"/>
        <v>3010695</v>
      </c>
      <c r="D95" s="200">
        <f t="shared" si="52"/>
        <v>294914</v>
      </c>
      <c r="E95" s="200">
        <f t="shared" si="53"/>
        <v>294914</v>
      </c>
      <c r="F95" s="204">
        <f t="shared" si="54"/>
        <v>3305609</v>
      </c>
      <c r="G95" s="130">
        <f>SUM(F111+F119+F127+F135+F143+F151+F159+F167)</f>
        <v>3305609</v>
      </c>
      <c r="H95" s="176">
        <f>SUM(E111+E119+E127+E135)</f>
        <v>294914</v>
      </c>
      <c r="J95" s="70"/>
    </row>
    <row r="96" spans="2:12" hidden="1" x14ac:dyDescent="0.2">
      <c r="B96" s="175" t="str">
        <f t="shared" si="50"/>
        <v>Módosított előirányzat 2025.09.hó</v>
      </c>
      <c r="C96" s="200">
        <f t="shared" si="51"/>
        <v>3020842</v>
      </c>
      <c r="D96" s="200">
        <f t="shared" si="52"/>
        <v>295164</v>
      </c>
      <c r="E96" s="200">
        <f t="shared" si="53"/>
        <v>295164</v>
      </c>
      <c r="F96" s="204">
        <f t="shared" si="54"/>
        <v>3316006</v>
      </c>
      <c r="G96" s="130">
        <f>SUM(F112+F120+F128+F136+F144+F152+F160+F168)</f>
        <v>3316006</v>
      </c>
      <c r="H96" s="176">
        <f>SUM(E112+E120+E128+E136)</f>
        <v>295164</v>
      </c>
    </row>
    <row r="97" spans="2:12" hidden="1" x14ac:dyDescent="0.2">
      <c r="B97" s="175" t="str">
        <f t="shared" si="50"/>
        <v>Módosított előirányzat 2025.12.hó</v>
      </c>
      <c r="C97" s="200">
        <f t="shared" si="51"/>
        <v>2903195</v>
      </c>
      <c r="D97" s="200">
        <f t="shared" si="52"/>
        <v>295164</v>
      </c>
      <c r="E97" s="200">
        <f t="shared" si="53"/>
        <v>295164</v>
      </c>
      <c r="F97" s="204">
        <f t="shared" si="54"/>
        <v>3198359</v>
      </c>
      <c r="G97" s="130">
        <f>SUM(F113+F121+F129+F137+F145+F153+F161+F169)</f>
        <v>3198359</v>
      </c>
      <c r="H97" s="176">
        <f>SUM(E113+E121+E129+E137)</f>
        <v>295164</v>
      </c>
    </row>
    <row r="98" spans="2:12" x14ac:dyDescent="0.2">
      <c r="B98" s="175" t="str">
        <f t="shared" si="50"/>
        <v>Módosított előirányzat 2025.12.31</v>
      </c>
      <c r="C98" s="200">
        <f t="shared" si="51"/>
        <v>2906610</v>
      </c>
      <c r="D98" s="200">
        <f t="shared" si="52"/>
        <v>295164</v>
      </c>
      <c r="E98" s="200">
        <f t="shared" ref="E98" si="55">SUM(D98:D98)</f>
        <v>295164</v>
      </c>
      <c r="F98" s="204">
        <f t="shared" ref="F98" si="56">SUM(C98+E98)</f>
        <v>3201774</v>
      </c>
      <c r="G98" s="130"/>
      <c r="H98" s="176"/>
    </row>
    <row r="99" spans="2:12" hidden="1" x14ac:dyDescent="0.2">
      <c r="B99" s="175" t="str">
        <f t="shared" si="50"/>
        <v>Beszámoló előtti ei.mód.</v>
      </c>
      <c r="C99" s="200">
        <f t="shared" si="51"/>
        <v>123897</v>
      </c>
      <c r="D99" s="200">
        <f t="shared" si="52"/>
        <v>0</v>
      </c>
      <c r="E99" s="200">
        <f t="shared" si="53"/>
        <v>0</v>
      </c>
      <c r="F99" s="204">
        <f t="shared" si="54"/>
        <v>123897</v>
      </c>
      <c r="G99" s="130">
        <f>SUM(F115+F123+F131+F139+F147+F155+F163+F171)</f>
        <v>123897</v>
      </c>
      <c r="H99" s="176">
        <f>SUM(E115+E123+E131+E139)</f>
        <v>0</v>
      </c>
    </row>
    <row r="100" spans="2:12" x14ac:dyDescent="0.2">
      <c r="B100" s="175" t="str">
        <f t="shared" si="50"/>
        <v>Teljesítés 2025.12.31.</v>
      </c>
      <c r="C100" s="200">
        <f t="shared" si="51"/>
        <v>1841474</v>
      </c>
      <c r="D100" s="200">
        <f t="shared" si="52"/>
        <v>286828</v>
      </c>
      <c r="E100" s="200">
        <f t="shared" si="53"/>
        <v>286828</v>
      </c>
      <c r="F100" s="204">
        <f t="shared" si="54"/>
        <v>2128302</v>
      </c>
      <c r="G100" s="130">
        <f>SUM(F116+F124+F132+F140+F148+F156+F164+F172)</f>
        <v>2128302</v>
      </c>
      <c r="H100" s="176">
        <f>SUM(E116+E124+E132+E140)</f>
        <v>286828</v>
      </c>
    </row>
    <row r="101" spans="2:12" x14ac:dyDescent="0.2">
      <c r="B101" s="175" t="str">
        <f t="shared" si="50"/>
        <v xml:space="preserve">Intézményfinanszírozás </v>
      </c>
      <c r="C101" s="200"/>
      <c r="D101" s="200"/>
      <c r="E101" s="200"/>
      <c r="F101" s="204">
        <f t="shared" ref="F101:F107" si="57">F85</f>
        <v>-223334</v>
      </c>
      <c r="G101" s="26"/>
      <c r="I101" s="70"/>
    </row>
    <row r="102" spans="2:12" hidden="1" x14ac:dyDescent="0.2">
      <c r="B102" s="175" t="str">
        <f t="shared" si="50"/>
        <v>Módosított előirányzat 2025.06.hó</v>
      </c>
      <c r="C102" s="199"/>
      <c r="D102" s="199"/>
      <c r="E102" s="199"/>
      <c r="F102" s="204">
        <f t="shared" si="57"/>
        <v>-240067</v>
      </c>
      <c r="G102" s="26"/>
    </row>
    <row r="103" spans="2:12" hidden="1" x14ac:dyDescent="0.2">
      <c r="B103" s="175" t="str">
        <f t="shared" si="50"/>
        <v>Módosított előirányzat 2025.09.hó</v>
      </c>
      <c r="C103" s="199"/>
      <c r="D103" s="199"/>
      <c r="E103" s="199"/>
      <c r="F103" s="204">
        <f t="shared" si="57"/>
        <v>-240067</v>
      </c>
      <c r="G103" s="26"/>
    </row>
    <row r="104" spans="2:12" hidden="1" x14ac:dyDescent="0.2">
      <c r="B104" s="175" t="str">
        <f t="shared" si="50"/>
        <v>Módosított előirányzat 2025.12.hó</v>
      </c>
      <c r="C104" s="199"/>
      <c r="D104" s="199"/>
      <c r="E104" s="199"/>
      <c r="F104" s="204">
        <f t="shared" si="57"/>
        <v>-240067</v>
      </c>
      <c r="G104" s="26"/>
    </row>
    <row r="105" spans="2:12" x14ac:dyDescent="0.2">
      <c r="B105" s="175" t="str">
        <f t="shared" si="50"/>
        <v>Módosított előirányzat 2025.12.31</v>
      </c>
      <c r="C105" s="199"/>
      <c r="D105" s="199"/>
      <c r="E105" s="199"/>
      <c r="F105" s="204">
        <f t="shared" si="57"/>
        <v>-240067</v>
      </c>
      <c r="G105" s="26"/>
    </row>
    <row r="106" spans="2:12" hidden="1" x14ac:dyDescent="0.2">
      <c r="B106" s="175" t="str">
        <f t="shared" si="50"/>
        <v>Beszámoló előtti ei.mód.</v>
      </c>
      <c r="C106" s="199"/>
      <c r="D106" s="199"/>
      <c r="E106" s="199"/>
      <c r="F106" s="204">
        <f t="shared" si="57"/>
        <v>0</v>
      </c>
      <c r="G106" s="26"/>
    </row>
    <row r="107" spans="2:12" ht="13.5" thickBot="1" x14ac:dyDescent="0.25">
      <c r="B107" s="175" t="str">
        <f t="shared" si="50"/>
        <v>Teljesítés 2025.12.31.</v>
      </c>
      <c r="C107" s="199"/>
      <c r="D107" s="199"/>
      <c r="E107" s="199"/>
      <c r="F107" s="204">
        <f t="shared" si="57"/>
        <v>-240067</v>
      </c>
      <c r="G107" s="26"/>
    </row>
    <row r="108" spans="2:12" ht="14.25" customHeight="1" thickBot="1" x14ac:dyDescent="0.25">
      <c r="B108" s="71" t="s">
        <v>49</v>
      </c>
      <c r="C108" s="201"/>
      <c r="D108" s="201"/>
      <c r="E108" s="201"/>
      <c r="F108" s="205">
        <f>SUM(F100+F107)</f>
        <v>1888235</v>
      </c>
      <c r="G108" s="27"/>
      <c r="H108" s="70"/>
      <c r="J108" s="70"/>
      <c r="K108" s="70"/>
      <c r="L108" s="70"/>
    </row>
    <row r="109" spans="2:12" ht="13.5" customHeight="1" x14ac:dyDescent="0.2">
      <c r="B109" s="225" t="s">
        <v>29</v>
      </c>
      <c r="C109" s="121"/>
      <c r="D109" s="121"/>
      <c r="E109" s="121"/>
      <c r="F109" s="121"/>
      <c r="G109" s="27"/>
      <c r="K109" s="70"/>
    </row>
    <row r="110" spans="2:12" ht="13.5" customHeight="1" x14ac:dyDescent="0.2">
      <c r="B110" s="182" t="str">
        <f>B10</f>
        <v>2025. évi eredeti előirányzat</v>
      </c>
      <c r="C110" s="197">
        <f>SUM('2.működés'!D119)</f>
        <v>71715</v>
      </c>
      <c r="D110" s="197">
        <f>SUM('9.Hivatal'!Y26)</f>
        <v>222571</v>
      </c>
      <c r="E110" s="196">
        <f t="shared" ref="E110:E116" si="58">SUM(D110)</f>
        <v>222571</v>
      </c>
      <c r="F110" s="196">
        <f t="shared" ref="F110:F116" si="59">SUM(C110+E110)</f>
        <v>294286</v>
      </c>
      <c r="G110" s="27"/>
      <c r="H110" s="283"/>
      <c r="I110" s="33">
        <f>SUM(E110+E118+E126+E134)</f>
        <v>278181</v>
      </c>
    </row>
    <row r="111" spans="2:12" ht="13.5" hidden="1" customHeight="1" x14ac:dyDescent="0.2">
      <c r="B111" s="182" t="str">
        <f t="shared" ref="B111:B116" si="60">B79</f>
        <v>Módosított előirányzat 2025.06.hó</v>
      </c>
      <c r="C111" s="197">
        <f>SUM('2.működés'!E119)</f>
        <v>78514</v>
      </c>
      <c r="D111" s="197">
        <f>SUM('9.Hivatal'!Z26)</f>
        <v>235216</v>
      </c>
      <c r="E111" s="196">
        <f t="shared" si="58"/>
        <v>235216</v>
      </c>
      <c r="F111" s="196">
        <f t="shared" si="59"/>
        <v>313730</v>
      </c>
      <c r="G111" s="27"/>
    </row>
    <row r="112" spans="2:12" ht="13.5" hidden="1" customHeight="1" x14ac:dyDescent="0.2">
      <c r="B112" s="182" t="str">
        <f t="shared" si="60"/>
        <v>Módosított előirányzat 2025.09.hó</v>
      </c>
      <c r="C112" s="197">
        <f>SUM('2.működés'!G119)</f>
        <v>78514</v>
      </c>
      <c r="D112" s="197">
        <f>SUM('9.Hivatal'!AA26)</f>
        <v>235216</v>
      </c>
      <c r="E112" s="196">
        <f t="shared" si="58"/>
        <v>235216</v>
      </c>
      <c r="F112" s="196">
        <f t="shared" si="59"/>
        <v>313730</v>
      </c>
      <c r="G112" s="27"/>
    </row>
    <row r="113" spans="2:7" ht="13.5" hidden="1" customHeight="1" x14ac:dyDescent="0.2">
      <c r="B113" s="182" t="str">
        <f t="shared" si="60"/>
        <v>Módosított előirányzat 2025.12.hó</v>
      </c>
      <c r="C113" s="197">
        <f>SUM('2.működés'!I119)</f>
        <v>78979</v>
      </c>
      <c r="D113" s="197">
        <f>SUM('9.Hivatal'!AB26)</f>
        <v>235216</v>
      </c>
      <c r="E113" s="196">
        <f t="shared" si="58"/>
        <v>235216</v>
      </c>
      <c r="F113" s="196">
        <f t="shared" si="59"/>
        <v>314195</v>
      </c>
      <c r="G113" s="27"/>
    </row>
    <row r="114" spans="2:7" ht="13.5" customHeight="1" x14ac:dyDescent="0.2">
      <c r="B114" s="182" t="str">
        <f t="shared" si="60"/>
        <v>Módosított előirányzat 2025.12.31</v>
      </c>
      <c r="C114" s="197">
        <f>SUM('2.működés'!K119)</f>
        <v>78979</v>
      </c>
      <c r="D114" s="197">
        <f>SUM('9.Hivatal'!AC26)</f>
        <v>235216</v>
      </c>
      <c r="E114" s="196">
        <f t="shared" ref="E114" si="61">SUM(D114)</f>
        <v>235216</v>
      </c>
      <c r="F114" s="196">
        <f t="shared" ref="F114" si="62">SUM(C114+E114)</f>
        <v>314195</v>
      </c>
      <c r="G114" s="27"/>
    </row>
    <row r="115" spans="2:7" ht="13.5" hidden="1" customHeight="1" x14ac:dyDescent="0.2">
      <c r="B115" s="182" t="str">
        <f t="shared" si="60"/>
        <v>Beszámoló előtti ei.mód.</v>
      </c>
      <c r="C115" s="197"/>
      <c r="D115" s="197"/>
      <c r="E115" s="196">
        <f t="shared" si="58"/>
        <v>0</v>
      </c>
      <c r="F115" s="196">
        <f t="shared" si="59"/>
        <v>0</v>
      </c>
      <c r="G115" s="27"/>
    </row>
    <row r="116" spans="2:7" x14ac:dyDescent="0.2">
      <c r="B116" s="182" t="str">
        <f t="shared" si="60"/>
        <v>Teljesítés 2025.12.31.</v>
      </c>
      <c r="C116" s="197">
        <f>SUM('2.működés'!L119)</f>
        <v>77514</v>
      </c>
      <c r="D116" s="197">
        <f>SUM('9.Hivatal'!AD26)</f>
        <v>231133</v>
      </c>
      <c r="E116" s="196">
        <f t="shared" si="58"/>
        <v>231133</v>
      </c>
      <c r="F116" s="196">
        <f t="shared" si="59"/>
        <v>308647</v>
      </c>
      <c r="G116" s="27"/>
    </row>
    <row r="117" spans="2:7" ht="14.25" customHeight="1" x14ac:dyDescent="0.2">
      <c r="B117" s="225" t="s">
        <v>350</v>
      </c>
      <c r="C117" s="197"/>
      <c r="D117" s="197"/>
      <c r="E117" s="196"/>
      <c r="F117" s="196"/>
      <c r="G117" s="26"/>
    </row>
    <row r="118" spans="2:7" ht="13.5" customHeight="1" x14ac:dyDescent="0.2">
      <c r="B118" s="182" t="str">
        <f t="shared" ref="B118:B124" si="63">B110</f>
        <v>2025. évi eredeti előirányzat</v>
      </c>
      <c r="C118" s="197">
        <f>SUM('2.működés'!D122)</f>
        <v>9290</v>
      </c>
      <c r="D118" s="197">
        <f>SUM('9.Hivatal'!Y29)</f>
        <v>28688</v>
      </c>
      <c r="E118" s="196">
        <f t="shared" ref="E118:E124" si="64">SUM(D118)</f>
        <v>28688</v>
      </c>
      <c r="F118" s="196">
        <f t="shared" ref="F118:F124" si="65">SUM(C118+E118)</f>
        <v>37978</v>
      </c>
      <c r="G118" s="26"/>
    </row>
    <row r="119" spans="2:7" ht="13.5" hidden="1" customHeight="1" x14ac:dyDescent="0.2">
      <c r="B119" s="182" t="str">
        <f t="shared" si="63"/>
        <v>Módosított előirányzat 2025.06.hó</v>
      </c>
      <c r="C119" s="197">
        <f>SUM('2.működés'!E122)</f>
        <v>9783</v>
      </c>
      <c r="D119" s="197">
        <f>SUM('9.Hivatal'!Z29)</f>
        <v>30306</v>
      </c>
      <c r="E119" s="196">
        <f t="shared" si="64"/>
        <v>30306</v>
      </c>
      <c r="F119" s="196">
        <f t="shared" si="65"/>
        <v>40089</v>
      </c>
      <c r="G119" s="26"/>
    </row>
    <row r="120" spans="2:7" ht="13.5" hidden="1" customHeight="1" x14ac:dyDescent="0.2">
      <c r="B120" s="182" t="str">
        <f t="shared" si="63"/>
        <v>Módosított előirányzat 2025.09.hó</v>
      </c>
      <c r="C120" s="197">
        <f>SUM('2.működés'!G122)</f>
        <v>9783</v>
      </c>
      <c r="D120" s="197">
        <f>SUM('9.Hivatal'!AA29)</f>
        <v>30306</v>
      </c>
      <c r="E120" s="196">
        <f t="shared" si="64"/>
        <v>30306</v>
      </c>
      <c r="F120" s="196">
        <f t="shared" si="65"/>
        <v>40089</v>
      </c>
      <c r="G120" s="26"/>
    </row>
    <row r="121" spans="2:7" ht="13.5" hidden="1" customHeight="1" x14ac:dyDescent="0.2">
      <c r="B121" s="182" t="str">
        <f t="shared" si="63"/>
        <v>Módosított előirányzat 2025.12.hó</v>
      </c>
      <c r="C121" s="197">
        <f>SUM('2.működés'!I122)</f>
        <v>9655</v>
      </c>
      <c r="D121" s="197">
        <f>SUM('9.Hivatal'!AB29)</f>
        <v>30306</v>
      </c>
      <c r="E121" s="196">
        <f t="shared" si="64"/>
        <v>30306</v>
      </c>
      <c r="F121" s="196">
        <f t="shared" si="65"/>
        <v>39961</v>
      </c>
      <c r="G121" s="26"/>
    </row>
    <row r="122" spans="2:7" ht="13.5" customHeight="1" x14ac:dyDescent="0.2">
      <c r="B122" s="182" t="str">
        <f t="shared" si="63"/>
        <v>Módosított előirányzat 2025.12.31</v>
      </c>
      <c r="C122" s="197">
        <f>SUM('2.működés'!K122)</f>
        <v>9655</v>
      </c>
      <c r="D122" s="197">
        <f>SUM('9.Hivatal'!AC29)</f>
        <v>30306</v>
      </c>
      <c r="E122" s="196">
        <f t="shared" ref="E122" si="66">SUM(D122)</f>
        <v>30306</v>
      </c>
      <c r="F122" s="196">
        <f t="shared" ref="F122" si="67">SUM(C122+E122)</f>
        <v>39961</v>
      </c>
      <c r="G122" s="26"/>
    </row>
    <row r="123" spans="2:7" ht="13.5" hidden="1" customHeight="1" x14ac:dyDescent="0.2">
      <c r="B123" s="182" t="str">
        <f t="shared" si="63"/>
        <v>Beszámoló előtti ei.mód.</v>
      </c>
      <c r="C123" s="197"/>
      <c r="D123" s="197"/>
      <c r="E123" s="196">
        <f t="shared" si="64"/>
        <v>0</v>
      </c>
      <c r="F123" s="196">
        <f t="shared" si="65"/>
        <v>0</v>
      </c>
      <c r="G123" s="26"/>
    </row>
    <row r="124" spans="2:7" x14ac:dyDescent="0.2">
      <c r="B124" s="182" t="str">
        <f t="shared" si="63"/>
        <v>Teljesítés 2025.12.31.</v>
      </c>
      <c r="C124" s="197">
        <f>SUM('2.működés'!L122)</f>
        <v>8688</v>
      </c>
      <c r="D124" s="197">
        <f>SUM('9.Hivatal'!AD29)</f>
        <v>29666</v>
      </c>
      <c r="E124" s="196">
        <f t="shared" si="64"/>
        <v>29666</v>
      </c>
      <c r="F124" s="196">
        <f t="shared" si="65"/>
        <v>38354</v>
      </c>
      <c r="G124" s="26"/>
    </row>
    <row r="125" spans="2:7" ht="13.5" customHeight="1" x14ac:dyDescent="0.2">
      <c r="B125" s="223" t="s">
        <v>34</v>
      </c>
      <c r="C125" s="197"/>
      <c r="D125" s="197"/>
      <c r="E125" s="196"/>
      <c r="F125" s="196"/>
      <c r="G125" s="26"/>
    </row>
    <row r="126" spans="2:7" ht="13.5" customHeight="1" x14ac:dyDescent="0.2">
      <c r="B126" s="182" t="str">
        <f t="shared" ref="B126:B132" si="68">B118</f>
        <v>2025. évi eredeti előirányzat</v>
      </c>
      <c r="C126" s="197">
        <f>SUM('2.működés'!D125)</f>
        <v>634704</v>
      </c>
      <c r="D126" s="197">
        <f>SUM('9.Hivatal'!Y77)</f>
        <v>26222</v>
      </c>
      <c r="E126" s="196">
        <f t="shared" ref="E126:E132" si="69">SUM(D126)</f>
        <v>26222</v>
      </c>
      <c r="F126" s="196">
        <f t="shared" ref="F126:F132" si="70">SUM(C126+E126)</f>
        <v>660926</v>
      </c>
      <c r="G126" s="26"/>
    </row>
    <row r="127" spans="2:7" ht="13.5" hidden="1" customHeight="1" x14ac:dyDescent="0.2">
      <c r="B127" s="182" t="str">
        <f t="shared" si="68"/>
        <v>Módosított előirányzat 2025.06.hó</v>
      </c>
      <c r="C127" s="197">
        <f>SUM('2.működés'!E125)</f>
        <v>637336</v>
      </c>
      <c r="D127" s="197">
        <f>SUM('9.Hivatal'!Z77)</f>
        <v>28692</v>
      </c>
      <c r="E127" s="196">
        <f t="shared" si="69"/>
        <v>28692</v>
      </c>
      <c r="F127" s="196">
        <f t="shared" si="70"/>
        <v>666028</v>
      </c>
      <c r="G127" s="26"/>
    </row>
    <row r="128" spans="2:7" ht="13.5" hidden="1" customHeight="1" x14ac:dyDescent="0.2">
      <c r="B128" s="182" t="str">
        <f t="shared" si="68"/>
        <v>Módosított előirányzat 2025.09.hó</v>
      </c>
      <c r="C128" s="197">
        <f>SUM('2.működés'!G125)</f>
        <v>640027</v>
      </c>
      <c r="D128" s="197">
        <f>SUM('9.Hivatal'!AA77)</f>
        <v>28942</v>
      </c>
      <c r="E128" s="196">
        <f t="shared" si="69"/>
        <v>28942</v>
      </c>
      <c r="F128" s="196">
        <f t="shared" si="70"/>
        <v>668969</v>
      </c>
      <c r="G128" s="26"/>
    </row>
    <row r="129" spans="2:7" ht="13.5" hidden="1" customHeight="1" x14ac:dyDescent="0.2">
      <c r="B129" s="182" t="str">
        <f t="shared" si="68"/>
        <v>Módosított előirányzat 2025.12.hó</v>
      </c>
      <c r="C129" s="197">
        <f>SUM('2.működés'!I125)</f>
        <v>459278</v>
      </c>
      <c r="D129" s="197">
        <f>SUM('9.Hivatal'!AB77)</f>
        <v>28942</v>
      </c>
      <c r="E129" s="196">
        <f t="shared" si="69"/>
        <v>28942</v>
      </c>
      <c r="F129" s="196">
        <f t="shared" si="70"/>
        <v>488220</v>
      </c>
      <c r="G129" s="26"/>
    </row>
    <row r="130" spans="2:7" ht="13.5" customHeight="1" x14ac:dyDescent="0.2">
      <c r="B130" s="182" t="str">
        <f t="shared" si="68"/>
        <v>Módosított előirányzat 2025.12.31</v>
      </c>
      <c r="C130" s="197">
        <f>SUM('2.működés'!K125)</f>
        <v>460928</v>
      </c>
      <c r="D130" s="197">
        <f>SUM('9.Hivatal'!AC77)</f>
        <v>28942</v>
      </c>
      <c r="E130" s="196">
        <f t="shared" ref="E130" si="71">SUM(D130)</f>
        <v>28942</v>
      </c>
      <c r="F130" s="196">
        <f t="shared" ref="F130" si="72">SUM(C130+E130)</f>
        <v>489870</v>
      </c>
      <c r="G130" s="26"/>
    </row>
    <row r="131" spans="2:7" ht="13.5" hidden="1" customHeight="1" x14ac:dyDescent="0.2">
      <c r="B131" s="182" t="str">
        <f t="shared" si="68"/>
        <v>Beszámoló előtti ei.mód.</v>
      </c>
      <c r="C131" s="197"/>
      <c r="D131" s="197"/>
      <c r="E131" s="196">
        <f t="shared" si="69"/>
        <v>0</v>
      </c>
      <c r="F131" s="196">
        <f t="shared" si="70"/>
        <v>0</v>
      </c>
      <c r="G131" s="26"/>
    </row>
    <row r="132" spans="2:7" x14ac:dyDescent="0.2">
      <c r="B132" s="182" t="str">
        <f t="shared" si="68"/>
        <v>Teljesítés 2025.12.31.</v>
      </c>
      <c r="C132" s="197">
        <f>SUM('2.működés'!L125)</f>
        <v>324887</v>
      </c>
      <c r="D132" s="197">
        <f>SUM('9.Hivatal'!AD77)</f>
        <v>25680</v>
      </c>
      <c r="E132" s="196">
        <f t="shared" si="69"/>
        <v>25680</v>
      </c>
      <c r="F132" s="196">
        <f t="shared" si="70"/>
        <v>350567</v>
      </c>
      <c r="G132" s="26"/>
    </row>
    <row r="133" spans="2:7" ht="25.5" customHeight="1" x14ac:dyDescent="0.2">
      <c r="B133" s="224" t="s">
        <v>283</v>
      </c>
      <c r="C133" s="197"/>
      <c r="D133" s="197"/>
      <c r="E133" s="196"/>
      <c r="F133" s="196"/>
      <c r="G133" s="26"/>
    </row>
    <row r="134" spans="2:7" ht="13.5" customHeight="1" x14ac:dyDescent="0.2">
      <c r="B134" s="182" t="str">
        <f t="shared" ref="B134:B140" si="73">B126</f>
        <v>2025. évi eredeti előirányzat</v>
      </c>
      <c r="C134" s="197">
        <f>SUM('3.felh'!D48+'3.felh'!D73)+'3.felh'!D94+'3.felh'!D98</f>
        <v>1095490</v>
      </c>
      <c r="D134" s="197">
        <f>SUM('9.Hivatal'!Y81)</f>
        <v>700</v>
      </c>
      <c r="E134" s="196">
        <f t="shared" ref="E134:E140" si="74">SUM(D134)</f>
        <v>700</v>
      </c>
      <c r="F134" s="196">
        <f t="shared" ref="F134:F140" si="75">SUM(C134+E134)</f>
        <v>1096190</v>
      </c>
      <c r="G134" s="26"/>
    </row>
    <row r="135" spans="2:7" ht="13.5" hidden="1" customHeight="1" x14ac:dyDescent="0.2">
      <c r="B135" s="182" t="str">
        <f t="shared" si="73"/>
        <v>Módosított előirányzat 2025.06.hó</v>
      </c>
      <c r="C135" s="197">
        <f>SUM('3.felh'!E48+'3.felh'!E73)+'3.felh'!E94+'3.felh'!E98</f>
        <v>1167345</v>
      </c>
      <c r="D135" s="197">
        <f>SUM('9.Hivatal'!Z81)</f>
        <v>700</v>
      </c>
      <c r="E135" s="196">
        <f t="shared" si="74"/>
        <v>700</v>
      </c>
      <c r="F135" s="196">
        <f t="shared" si="75"/>
        <v>1168045</v>
      </c>
      <c r="G135" s="26"/>
    </row>
    <row r="136" spans="2:7" ht="13.5" hidden="1" customHeight="1" x14ac:dyDescent="0.2">
      <c r="B136" s="182" t="str">
        <f t="shared" si="73"/>
        <v>Módosított előirányzat 2025.09.hó</v>
      </c>
      <c r="C136" s="197">
        <f>SUM('3.felh'!G48+'3.felh'!G73)+'3.felh'!G94+'3.felh'!G98</f>
        <v>1167345</v>
      </c>
      <c r="D136" s="197">
        <f>SUM('9.Hivatal'!AA81)</f>
        <v>700</v>
      </c>
      <c r="E136" s="196">
        <f t="shared" si="74"/>
        <v>700</v>
      </c>
      <c r="F136" s="196">
        <f t="shared" si="75"/>
        <v>1168045</v>
      </c>
      <c r="G136" s="26"/>
    </row>
    <row r="137" spans="2:7" ht="13.5" hidden="1" customHeight="1" x14ac:dyDescent="0.2">
      <c r="B137" s="182" t="str">
        <f t="shared" si="73"/>
        <v>Módosított előirányzat 2025.12.hó</v>
      </c>
      <c r="C137" s="197">
        <f>SUM('3.felh'!I48+'3.felh'!I73)</f>
        <v>1200942</v>
      </c>
      <c r="D137" s="197">
        <f>SUM('9.Hivatal'!AB81)</f>
        <v>700</v>
      </c>
      <c r="E137" s="196">
        <f t="shared" si="74"/>
        <v>700</v>
      </c>
      <c r="F137" s="196">
        <f t="shared" si="75"/>
        <v>1201642</v>
      </c>
      <c r="G137" s="26"/>
    </row>
    <row r="138" spans="2:7" ht="13.5" customHeight="1" x14ac:dyDescent="0.2">
      <c r="B138" s="182" t="str">
        <f t="shared" si="73"/>
        <v>Módosított előirányzat 2025.12.31</v>
      </c>
      <c r="C138" s="197">
        <f>SUM('3.felh'!K48+'3.felh'!K73)</f>
        <v>1200942</v>
      </c>
      <c r="D138" s="197">
        <f>SUM('9.Hivatal'!AC81)</f>
        <v>700</v>
      </c>
      <c r="E138" s="196">
        <f t="shared" ref="E138" si="76">SUM(D138)</f>
        <v>700</v>
      </c>
      <c r="F138" s="196">
        <f t="shared" ref="F138" si="77">SUM(C138+E138)</f>
        <v>1201642</v>
      </c>
      <c r="G138" s="26"/>
    </row>
    <row r="139" spans="2:7" ht="13.5" hidden="1" customHeight="1" x14ac:dyDescent="0.2">
      <c r="B139" s="182" t="str">
        <f t="shared" si="73"/>
        <v>Beszámoló előtti ei.mód.</v>
      </c>
      <c r="C139" s="197"/>
      <c r="D139" s="197"/>
      <c r="E139" s="196">
        <f t="shared" si="74"/>
        <v>0</v>
      </c>
      <c r="F139" s="196">
        <f t="shared" si="75"/>
        <v>0</v>
      </c>
      <c r="G139" s="26"/>
    </row>
    <row r="140" spans="2:7" x14ac:dyDescent="0.2">
      <c r="B140" s="182" t="str">
        <f t="shared" si="73"/>
        <v>Teljesítés 2025.12.31.</v>
      </c>
      <c r="C140" s="197">
        <f>SUM('3.felh'!L48+'3.felh'!L73)</f>
        <v>360793</v>
      </c>
      <c r="D140" s="197">
        <f>SUM('9.Hivatal'!AD81)</f>
        <v>349</v>
      </c>
      <c r="E140" s="196">
        <f t="shared" si="74"/>
        <v>349</v>
      </c>
      <c r="F140" s="196">
        <f t="shared" si="75"/>
        <v>361142</v>
      </c>
      <c r="G140" s="26"/>
    </row>
    <row r="141" spans="2:7" ht="13.5" customHeight="1" x14ac:dyDescent="0.2">
      <c r="B141" s="222" t="s">
        <v>352</v>
      </c>
      <c r="C141" s="197"/>
      <c r="D141" s="197"/>
      <c r="E141" s="196"/>
      <c r="F141" s="196"/>
      <c r="G141" s="26"/>
    </row>
    <row r="142" spans="2:7" ht="13.5" customHeight="1" x14ac:dyDescent="0.2">
      <c r="B142" s="182" t="str">
        <f t="shared" ref="B142:B148" si="78">B134</f>
        <v>2025. évi eredeti előirányzat</v>
      </c>
      <c r="C142" s="197">
        <f>SUM('8.Önk.'!BT102)</f>
        <v>17943</v>
      </c>
      <c r="D142" s="197"/>
      <c r="E142" s="196">
        <f t="shared" ref="E142:E146" si="79">SUM(D142)</f>
        <v>0</v>
      </c>
      <c r="F142" s="196">
        <f t="shared" ref="F142:F148" si="80">SUM(C142)</f>
        <v>17943</v>
      </c>
      <c r="G142" s="26"/>
    </row>
    <row r="143" spans="2:7" ht="13.5" hidden="1" customHeight="1" x14ac:dyDescent="0.2">
      <c r="B143" s="182" t="str">
        <f t="shared" si="78"/>
        <v>Módosított előirányzat 2025.06.hó</v>
      </c>
      <c r="C143" s="197">
        <f>SUM('8.Önk.'!BV102)</f>
        <v>18000</v>
      </c>
      <c r="D143" s="197"/>
      <c r="E143" s="196">
        <f t="shared" si="79"/>
        <v>0</v>
      </c>
      <c r="F143" s="196">
        <f t="shared" si="80"/>
        <v>18000</v>
      </c>
      <c r="G143" s="26"/>
    </row>
    <row r="144" spans="2:7" ht="13.5" hidden="1" customHeight="1" x14ac:dyDescent="0.2">
      <c r="B144" s="182" t="str">
        <f t="shared" si="78"/>
        <v>Módosított előirányzat 2025.09.hó</v>
      </c>
      <c r="C144" s="197">
        <f>SUM('8.Önk.'!BW102)</f>
        <v>18000</v>
      </c>
      <c r="D144" s="197"/>
      <c r="E144" s="196">
        <f t="shared" si="79"/>
        <v>0</v>
      </c>
      <c r="F144" s="196">
        <f t="shared" si="80"/>
        <v>18000</v>
      </c>
      <c r="G144" s="26"/>
    </row>
    <row r="145" spans="2:7" ht="13.5" hidden="1" customHeight="1" x14ac:dyDescent="0.2">
      <c r="B145" s="182" t="str">
        <f t="shared" si="78"/>
        <v>Módosított előirányzat 2025.12.hó</v>
      </c>
      <c r="C145" s="197">
        <f>SUM('8.Önk.'!BX102)</f>
        <v>8000</v>
      </c>
      <c r="D145" s="197"/>
      <c r="E145" s="196">
        <f t="shared" si="79"/>
        <v>0</v>
      </c>
      <c r="F145" s="196">
        <f t="shared" si="80"/>
        <v>8000</v>
      </c>
      <c r="G145" s="26"/>
    </row>
    <row r="146" spans="2:7" ht="13.5" customHeight="1" x14ac:dyDescent="0.2">
      <c r="B146" s="182" t="str">
        <f t="shared" si="78"/>
        <v>Módosított előirányzat 2025.12.31</v>
      </c>
      <c r="C146" s="197">
        <f>SUM('8.Önk.'!BY102)</f>
        <v>8000</v>
      </c>
      <c r="D146" s="197"/>
      <c r="E146" s="196">
        <f t="shared" si="79"/>
        <v>0</v>
      </c>
      <c r="F146" s="196">
        <f t="shared" ref="F146" si="81">SUM(C146)</f>
        <v>8000</v>
      </c>
      <c r="G146" s="26"/>
    </row>
    <row r="147" spans="2:7" ht="13.5" hidden="1" customHeight="1" x14ac:dyDescent="0.2">
      <c r="B147" s="182" t="str">
        <f t="shared" si="78"/>
        <v>Beszámoló előtti ei.mód.</v>
      </c>
      <c r="C147" s="197"/>
      <c r="D147" s="197"/>
      <c r="E147" s="196"/>
      <c r="F147" s="196">
        <f t="shared" si="80"/>
        <v>0</v>
      </c>
      <c r="G147" s="26"/>
    </row>
    <row r="148" spans="2:7" x14ac:dyDescent="0.2">
      <c r="B148" s="182" t="str">
        <f t="shared" si="78"/>
        <v>Teljesítés 2025.12.31.</v>
      </c>
      <c r="C148" s="197">
        <f>SUM('8.Önk.'!BZ102)</f>
        <v>6187</v>
      </c>
      <c r="D148" s="197"/>
      <c r="E148" s="196"/>
      <c r="F148" s="196">
        <f t="shared" si="80"/>
        <v>6187</v>
      </c>
      <c r="G148" s="26"/>
    </row>
    <row r="149" spans="2:7" ht="13.5" customHeight="1" x14ac:dyDescent="0.2">
      <c r="B149" s="223" t="s">
        <v>35</v>
      </c>
      <c r="C149" s="197"/>
      <c r="D149" s="197"/>
      <c r="E149" s="196"/>
      <c r="F149" s="196"/>
      <c r="G149" s="26"/>
    </row>
    <row r="150" spans="2:7" ht="13.5" customHeight="1" x14ac:dyDescent="0.2">
      <c r="B150" s="182" t="str">
        <f t="shared" ref="B150:B156" si="82">B142</f>
        <v>2025. évi eredeti előirányzat</v>
      </c>
      <c r="C150" s="197">
        <f>'2.működés'!D129+'2.működés'!D131+'2.működés'!D132</f>
        <v>697774</v>
      </c>
      <c r="D150" s="197"/>
      <c r="E150" s="196">
        <f t="shared" ref="E150:E164" si="83">SUM(D150)</f>
        <v>0</v>
      </c>
      <c r="F150" s="196">
        <f t="shared" ref="F150:F156" si="84">SUM(C150+E150)</f>
        <v>697774</v>
      </c>
      <c r="G150" s="26"/>
    </row>
    <row r="151" spans="2:7" ht="13.5" hidden="1" customHeight="1" x14ac:dyDescent="0.2">
      <c r="B151" s="182" t="str">
        <f t="shared" si="82"/>
        <v>Módosított előirányzat 2025.06.hó</v>
      </c>
      <c r="C151" s="197">
        <f>'2.működés'!E129+'2.működés'!E131+'2.működés'!E132+'2.működés'!E133</f>
        <v>696828</v>
      </c>
      <c r="D151" s="197"/>
      <c r="E151" s="196">
        <f t="shared" si="83"/>
        <v>0</v>
      </c>
      <c r="F151" s="196">
        <f t="shared" si="84"/>
        <v>696828</v>
      </c>
      <c r="G151" s="26"/>
    </row>
    <row r="152" spans="2:7" ht="13.5" hidden="1" customHeight="1" x14ac:dyDescent="0.2">
      <c r="B152" s="182" t="str">
        <f t="shared" si="82"/>
        <v>Módosított előirányzat 2025.09.hó</v>
      </c>
      <c r="C152" s="197">
        <f>'2.működés'!G129+'2.működés'!G131+'2.működés'!G132+'2.működés'!G133</f>
        <v>701325</v>
      </c>
      <c r="D152" s="197"/>
      <c r="E152" s="196">
        <f t="shared" si="83"/>
        <v>0</v>
      </c>
      <c r="F152" s="196">
        <f t="shared" si="84"/>
        <v>701325</v>
      </c>
      <c r="G152" s="26"/>
    </row>
    <row r="153" spans="2:7" ht="13.5" hidden="1" customHeight="1" x14ac:dyDescent="0.2">
      <c r="B153" s="182" t="str">
        <f t="shared" si="82"/>
        <v>Módosított előirányzat 2025.12.hó</v>
      </c>
      <c r="C153" s="197">
        <f>'2.működés'!I129+'2.működés'!I131+'2.működés'!I132+'2.működés'!I133</f>
        <v>707966</v>
      </c>
      <c r="D153" s="197"/>
      <c r="E153" s="196">
        <f t="shared" si="83"/>
        <v>0</v>
      </c>
      <c r="F153" s="196">
        <f t="shared" si="84"/>
        <v>707966</v>
      </c>
      <c r="G153" s="26"/>
    </row>
    <row r="154" spans="2:7" ht="13.5" customHeight="1" x14ac:dyDescent="0.2">
      <c r="B154" s="182" t="str">
        <f t="shared" si="82"/>
        <v>Módosított előirányzat 2025.12.31</v>
      </c>
      <c r="C154" s="197">
        <f>'2.működés'!K129+'2.működés'!K131+'2.működés'!K132+'2.működés'!K133</f>
        <v>707966</v>
      </c>
      <c r="D154" s="197"/>
      <c r="E154" s="196">
        <f t="shared" ref="E154" si="85">SUM(D154)</f>
        <v>0</v>
      </c>
      <c r="F154" s="196">
        <f t="shared" ref="F154" si="86">SUM(C154+E154)</f>
        <v>707966</v>
      </c>
      <c r="G154" s="26"/>
    </row>
    <row r="155" spans="2:7" ht="13.5" hidden="1" customHeight="1" x14ac:dyDescent="0.2">
      <c r="B155" s="182" t="str">
        <f t="shared" si="82"/>
        <v>Beszámoló előtti ei.mód.</v>
      </c>
      <c r="C155" s="197">
        <f>'2.működés'!K130+'2.működés'!K132+'2.működés'!K133+'2.működés'!K134</f>
        <v>122847</v>
      </c>
      <c r="D155" s="197"/>
      <c r="E155" s="196">
        <f t="shared" si="83"/>
        <v>0</v>
      </c>
      <c r="F155" s="196">
        <f t="shared" si="84"/>
        <v>122847</v>
      </c>
      <c r="G155" s="26"/>
    </row>
    <row r="156" spans="2:7" x14ac:dyDescent="0.2">
      <c r="B156" s="182" t="str">
        <f t="shared" si="82"/>
        <v>Teljesítés 2025.12.31.</v>
      </c>
      <c r="C156" s="197">
        <f>'2.működés'!L129+'2.működés'!L131+'2.működés'!L132+'2.működés'!L133</f>
        <v>707464</v>
      </c>
      <c r="D156" s="197"/>
      <c r="E156" s="196">
        <f t="shared" si="83"/>
        <v>0</v>
      </c>
      <c r="F156" s="196">
        <f t="shared" si="84"/>
        <v>707464</v>
      </c>
      <c r="G156" s="26"/>
    </row>
    <row r="157" spans="2:7" ht="13.5" customHeight="1" x14ac:dyDescent="0.2">
      <c r="B157" s="223" t="s">
        <v>50</v>
      </c>
      <c r="C157" s="197"/>
      <c r="D157" s="197"/>
      <c r="E157" s="196"/>
      <c r="F157" s="196"/>
      <c r="G157" s="26"/>
    </row>
    <row r="158" spans="2:7" ht="13.5" customHeight="1" x14ac:dyDescent="0.2">
      <c r="B158" s="182" t="str">
        <f t="shared" ref="B158:B164" si="87">B150</f>
        <v>2025. évi eredeti előirányzat</v>
      </c>
      <c r="C158" s="197">
        <f>SUM('1.Bev-kiad.'!D83+-'7.finanszírozás.'!F85)</f>
        <v>339208</v>
      </c>
      <c r="D158" s="197"/>
      <c r="E158" s="196">
        <f t="shared" si="83"/>
        <v>0</v>
      </c>
      <c r="F158" s="196">
        <f t="shared" ref="F158:F164" si="88">SUM(C158)</f>
        <v>339208</v>
      </c>
      <c r="G158" s="26"/>
    </row>
    <row r="159" spans="2:7" ht="13.5" hidden="1" customHeight="1" x14ac:dyDescent="0.2">
      <c r="B159" s="182" t="str">
        <f t="shared" si="87"/>
        <v>Módosított előirányzat 2025.06.hó</v>
      </c>
      <c r="C159" s="197">
        <f>SUM('1.Bev-kiad.'!E83+-'7.finanszírozás.'!F86)</f>
        <v>355941</v>
      </c>
      <c r="D159" s="197"/>
      <c r="E159" s="196">
        <f t="shared" si="83"/>
        <v>0</v>
      </c>
      <c r="F159" s="196">
        <f t="shared" si="88"/>
        <v>355941</v>
      </c>
      <c r="G159" s="26"/>
    </row>
    <row r="160" spans="2:7" ht="13.5" hidden="1" customHeight="1" x14ac:dyDescent="0.2">
      <c r="B160" s="182" t="str">
        <f t="shared" si="87"/>
        <v>Módosított előirányzat 2025.09.hó</v>
      </c>
      <c r="C160" s="197">
        <f>SUM('1.Bev-kiad.'!G83+-'7.finanszírozás.'!F87)</f>
        <v>355941</v>
      </c>
      <c r="D160" s="197"/>
      <c r="E160" s="196">
        <f t="shared" si="83"/>
        <v>0</v>
      </c>
      <c r="F160" s="196">
        <f t="shared" si="88"/>
        <v>355941</v>
      </c>
      <c r="G160" s="26"/>
    </row>
    <row r="161" spans="2:7" ht="13.5" hidden="1" customHeight="1" x14ac:dyDescent="0.2">
      <c r="B161" s="182" t="str">
        <f t="shared" si="87"/>
        <v>Módosított előirányzat 2025.12.hó</v>
      </c>
      <c r="C161" s="197">
        <f>SUM('1.Bev-kiad.'!I83+-'7.finanszírozás.'!F88)</f>
        <v>355941</v>
      </c>
      <c r="D161" s="197"/>
      <c r="E161" s="196">
        <f t="shared" si="83"/>
        <v>0</v>
      </c>
      <c r="F161" s="196">
        <f t="shared" si="88"/>
        <v>355941</v>
      </c>
      <c r="G161" s="26"/>
    </row>
    <row r="162" spans="2:7" ht="13.5" customHeight="1" x14ac:dyDescent="0.2">
      <c r="B162" s="182" t="str">
        <f t="shared" si="87"/>
        <v>Módosított előirányzat 2025.12.31</v>
      </c>
      <c r="C162" s="197">
        <f>SUM('1.Bev-kiad.'!K83+-'7.finanszírozás.'!F89)</f>
        <v>355941</v>
      </c>
      <c r="D162" s="197"/>
      <c r="E162" s="196">
        <f t="shared" ref="E162" si="89">SUM(D162)</f>
        <v>0</v>
      </c>
      <c r="F162" s="196">
        <f t="shared" ref="F162" si="90">SUM(C162)</f>
        <v>355941</v>
      </c>
      <c r="G162" s="26"/>
    </row>
    <row r="163" spans="2:7" ht="13.5" hidden="1" customHeight="1" x14ac:dyDescent="0.2">
      <c r="B163" s="182" t="str">
        <f t="shared" si="87"/>
        <v>Beszámoló előtti ei.mód.</v>
      </c>
      <c r="C163" s="197"/>
      <c r="D163" s="197"/>
      <c r="E163" s="196">
        <f t="shared" si="83"/>
        <v>0</v>
      </c>
      <c r="F163" s="196">
        <f t="shared" si="88"/>
        <v>0</v>
      </c>
      <c r="G163" s="26"/>
    </row>
    <row r="164" spans="2:7" x14ac:dyDescent="0.2">
      <c r="B164" s="182" t="str">
        <f t="shared" si="87"/>
        <v>Teljesítés 2025.12.31.</v>
      </c>
      <c r="C164" s="197">
        <f>SUM('1.Bev-kiad.'!L83+-'7.finanszírozás.'!F91)</f>
        <v>355941</v>
      </c>
      <c r="D164" s="197"/>
      <c r="E164" s="196">
        <f t="shared" si="83"/>
        <v>0</v>
      </c>
      <c r="F164" s="196">
        <f t="shared" si="88"/>
        <v>355941</v>
      </c>
      <c r="G164" s="26"/>
    </row>
    <row r="165" spans="2:7" ht="13.5" customHeight="1" x14ac:dyDescent="0.2">
      <c r="B165" s="222" t="s">
        <v>284</v>
      </c>
      <c r="C165" s="197"/>
      <c r="D165" s="197"/>
      <c r="E165" s="196"/>
      <c r="F165" s="196"/>
      <c r="G165" s="26"/>
    </row>
    <row r="166" spans="2:7" ht="13.5" customHeight="1" x14ac:dyDescent="0.2">
      <c r="B166" s="182" t="str">
        <f t="shared" ref="B166:B172" si="91">B158</f>
        <v>2025. évi eredeti előirányzat</v>
      </c>
      <c r="C166" s="197">
        <f>'2.működés'!D130+'3.felh'!D99</f>
        <v>79892</v>
      </c>
      <c r="D166" s="197"/>
      <c r="E166" s="196">
        <f t="shared" ref="E166:E171" si="92">SUM(D166)</f>
        <v>0</v>
      </c>
      <c r="F166" s="196">
        <f t="shared" ref="F166:F172" si="93">SUM(C166)</f>
        <v>79892</v>
      </c>
      <c r="G166" s="26"/>
    </row>
    <row r="167" spans="2:7" ht="13.5" hidden="1" customHeight="1" x14ac:dyDescent="0.2">
      <c r="B167" s="182" t="str">
        <f t="shared" si="91"/>
        <v>Módosított előirányzat 2025.06.hó</v>
      </c>
      <c r="C167" s="197">
        <f>'2.működés'!E130+'3.felh'!E99</f>
        <v>46948</v>
      </c>
      <c r="D167" s="197"/>
      <c r="E167" s="196">
        <f t="shared" si="92"/>
        <v>0</v>
      </c>
      <c r="F167" s="196">
        <f t="shared" si="93"/>
        <v>46948</v>
      </c>
      <c r="G167" s="26"/>
    </row>
    <row r="168" spans="2:7" ht="13.5" hidden="1" customHeight="1" x14ac:dyDescent="0.2">
      <c r="B168" s="182" t="str">
        <f t="shared" si="91"/>
        <v>Módosított előirányzat 2025.09.hó</v>
      </c>
      <c r="C168" s="197">
        <f>'2.működés'!G130+'3.felh'!G99</f>
        <v>49907</v>
      </c>
      <c r="D168" s="197"/>
      <c r="E168" s="196">
        <f t="shared" si="92"/>
        <v>0</v>
      </c>
      <c r="F168" s="196">
        <f t="shared" si="93"/>
        <v>49907</v>
      </c>
      <c r="G168" s="26"/>
    </row>
    <row r="169" spans="2:7" ht="13.5" hidden="1" customHeight="1" x14ac:dyDescent="0.2">
      <c r="B169" s="182" t="str">
        <f t="shared" si="91"/>
        <v>Módosított előirányzat 2025.12.hó</v>
      </c>
      <c r="C169" s="197">
        <f>'2.működés'!I130+'3.felh'!I99</f>
        <v>82434</v>
      </c>
      <c r="D169" s="197"/>
      <c r="E169" s="196">
        <f t="shared" si="92"/>
        <v>0</v>
      </c>
      <c r="F169" s="196">
        <f t="shared" si="93"/>
        <v>82434</v>
      </c>
      <c r="G169" s="26"/>
    </row>
    <row r="170" spans="2:7" ht="13.5" customHeight="1" x14ac:dyDescent="0.2">
      <c r="B170" s="182" t="str">
        <f t="shared" si="91"/>
        <v>Módosított előirányzat 2025.12.31</v>
      </c>
      <c r="C170" s="197">
        <f>'2.működés'!K130+'3.felh'!K99</f>
        <v>84199</v>
      </c>
      <c r="D170" s="197"/>
      <c r="E170" s="196">
        <f t="shared" ref="E170" si="94">SUM(D170)</f>
        <v>0</v>
      </c>
      <c r="F170" s="196">
        <f t="shared" ref="F170" si="95">SUM(C170)</f>
        <v>84199</v>
      </c>
      <c r="G170" s="26"/>
    </row>
    <row r="171" spans="2:7" ht="13.5" hidden="1" customHeight="1" x14ac:dyDescent="0.2">
      <c r="B171" s="182" t="str">
        <f t="shared" si="91"/>
        <v>Beszámoló előtti ei.mód.</v>
      </c>
      <c r="C171" s="197">
        <f>'2.működés'!K131+'3.felh'!K100</f>
        <v>1050</v>
      </c>
      <c r="D171" s="197"/>
      <c r="E171" s="196">
        <f t="shared" si="92"/>
        <v>0</v>
      </c>
      <c r="F171" s="196">
        <f t="shared" si="93"/>
        <v>1050</v>
      </c>
      <c r="G171" s="26"/>
    </row>
    <row r="172" spans="2:7" x14ac:dyDescent="0.2">
      <c r="B172" s="182" t="str">
        <f t="shared" si="91"/>
        <v>Teljesítés 2025.12.31.</v>
      </c>
      <c r="C172" s="197">
        <f>'2.működés'!L130+'3.felh'!L99</f>
        <v>0</v>
      </c>
      <c r="D172" s="197"/>
      <c r="E172" s="196"/>
      <c r="F172" s="196">
        <f t="shared" si="93"/>
        <v>0</v>
      </c>
      <c r="G172" s="26"/>
    </row>
    <row r="173" spans="2:7" x14ac:dyDescent="0.2">
      <c r="C173" s="9"/>
      <c r="D173" s="9"/>
    </row>
    <row r="174" spans="2:7" x14ac:dyDescent="0.2">
      <c r="C174" s="70"/>
    </row>
  </sheetData>
  <mergeCells count="5">
    <mergeCell ref="F7:F8"/>
    <mergeCell ref="B5:F5"/>
    <mergeCell ref="B7:B8"/>
    <mergeCell ref="C7:C8"/>
    <mergeCell ref="E7:E8"/>
  </mergeCells>
  <pageMargins left="0.36" right="0.16" top="0.27559055118110237" bottom="0.15748031496062992" header="0.15748031496062992" footer="0.15748031496062992"/>
  <pageSetup paperSize="9" scale="83" orientation="portrait" r:id="rId1"/>
  <rowBreaks count="2" manualBreakCount="2">
    <brk id="92" max="5" man="1"/>
    <brk id="17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A306"/>
  <sheetViews>
    <sheetView zoomScale="80" zoomScaleNormal="80" zoomScaleSheetLayoutView="50" zoomScalePageLayoutView="80" workbookViewId="0">
      <selection activeCell="B9" sqref="B9:B10"/>
    </sheetView>
  </sheetViews>
  <sheetFormatPr defaultRowHeight="12.75" x14ac:dyDescent="0.2"/>
  <cols>
    <col min="1" max="1" width="6" style="135" customWidth="1"/>
    <col min="2" max="2" width="59.5703125" customWidth="1"/>
    <col min="3" max="3" width="8" customWidth="1"/>
    <col min="4" max="4" width="12.28515625" customWidth="1"/>
    <col min="5" max="6" width="12.28515625" hidden="1" customWidth="1"/>
    <col min="7" max="7" width="11.5703125" hidden="1" customWidth="1"/>
    <col min="8" max="9" width="11.5703125" customWidth="1"/>
    <col min="10" max="10" width="17.140625" style="9" hidden="1" customWidth="1"/>
    <col min="11" max="12" width="9.140625" style="9" hidden="1" customWidth="1"/>
    <col min="13" max="14" width="10.140625" style="9" hidden="1" customWidth="1"/>
    <col min="15" max="15" width="10.140625" hidden="1" customWidth="1"/>
    <col min="16" max="16" width="6.7109375" customWidth="1"/>
    <col min="17" max="17" width="12.28515625" customWidth="1"/>
    <col min="18" max="19" width="12.28515625" hidden="1" customWidth="1"/>
    <col min="20" max="20" width="10.140625" hidden="1" customWidth="1"/>
    <col min="21" max="22" width="10.140625" customWidth="1"/>
    <col min="23" max="23" width="7.140625" customWidth="1"/>
    <col min="24" max="24" width="12.85546875" customWidth="1"/>
    <col min="25" max="26" width="12.85546875" hidden="1" customWidth="1"/>
    <col min="27" max="27" width="10.140625" hidden="1" customWidth="1"/>
    <col min="28" max="29" width="10.140625" customWidth="1"/>
    <col min="30" max="30" width="6.85546875" customWidth="1"/>
    <col min="31" max="31" width="12.42578125" customWidth="1"/>
    <col min="32" max="33" width="12.42578125" hidden="1" customWidth="1"/>
    <col min="34" max="34" width="10.140625" hidden="1" customWidth="1"/>
    <col min="35" max="36" width="10.140625" customWidth="1"/>
    <col min="37" max="37" width="6.7109375" customWidth="1"/>
    <col min="38" max="38" width="10.5703125" customWidth="1"/>
    <col min="39" max="39" width="11.85546875" hidden="1" customWidth="1"/>
    <col min="40" max="40" width="11" hidden="1" customWidth="1"/>
    <col min="41" max="41" width="10.140625" hidden="1" customWidth="1"/>
    <col min="42" max="43" width="10.140625" customWidth="1"/>
    <col min="44" max="45" width="10" hidden="1" customWidth="1"/>
    <col min="46" max="47" width="8.85546875" hidden="1" customWidth="1"/>
    <col min="48" max="50" width="10.140625" hidden="1" customWidth="1"/>
    <col min="51" max="52" width="9.5703125" hidden="1" customWidth="1"/>
    <col min="53" max="54" width="8.7109375" hidden="1" customWidth="1"/>
    <col min="55" max="57" width="10.140625" hidden="1" customWidth="1"/>
    <col min="58" max="58" width="5.85546875" customWidth="1"/>
    <col min="59" max="59" width="12.7109375" customWidth="1"/>
    <col min="60" max="61" width="12.7109375" hidden="1" customWidth="1"/>
    <col min="62" max="62" width="10.140625" hidden="1" customWidth="1"/>
    <col min="63" max="64" width="10.140625" customWidth="1"/>
    <col min="65" max="65" width="6.42578125" customWidth="1"/>
    <col min="66" max="66" width="12.140625" customWidth="1"/>
    <col min="67" max="68" width="12.140625" hidden="1" customWidth="1"/>
    <col min="69" max="69" width="10.140625" hidden="1" customWidth="1"/>
    <col min="70" max="71" width="10.140625" customWidth="1"/>
    <col min="72" max="72" width="8.140625" customWidth="1"/>
    <col min="73" max="73" width="12.42578125" customWidth="1"/>
    <col min="74" max="75" width="12.42578125" hidden="1" customWidth="1"/>
    <col min="76" max="76" width="11.7109375" hidden="1" customWidth="1"/>
    <col min="77" max="78" width="11.7109375" customWidth="1"/>
    <col min="79" max="79" width="6.140625" customWidth="1"/>
  </cols>
  <sheetData>
    <row r="1" spans="1:79" x14ac:dyDescent="0.2">
      <c r="A1" s="228"/>
      <c r="B1" s="1"/>
      <c r="C1" s="53"/>
      <c r="D1" s="53"/>
      <c r="E1" s="53"/>
      <c r="F1" s="53"/>
      <c r="G1" s="53"/>
      <c r="H1" s="53"/>
      <c r="I1" s="53"/>
      <c r="AD1" s="89"/>
      <c r="AE1" s="89"/>
      <c r="AJ1" s="89" t="s">
        <v>285</v>
      </c>
      <c r="BZ1" s="89" t="s">
        <v>285</v>
      </c>
    </row>
    <row r="2" spans="1:79" x14ac:dyDescent="0.2">
      <c r="A2" s="228"/>
      <c r="B2" s="1"/>
      <c r="C2" s="53"/>
      <c r="D2" s="53"/>
      <c r="E2" s="53"/>
      <c r="F2" s="53"/>
      <c r="G2" s="53"/>
      <c r="H2" s="53"/>
      <c r="I2" s="53"/>
      <c r="AD2" s="89"/>
      <c r="AE2" s="89"/>
      <c r="AJ2" s="300" t="str">
        <f>'1.Bev-kiad.'!L2</f>
        <v>a 9/2026.(V.29.) önkormányzati rendelethez</v>
      </c>
      <c r="BZ2" s="89" t="str">
        <f>'1.Bev-kiad.'!L2</f>
        <v>a 9/2026.(V.29.) önkormányzati rendelethez</v>
      </c>
    </row>
    <row r="3" spans="1:79" x14ac:dyDescent="0.2">
      <c r="A3" s="228"/>
      <c r="B3" s="1"/>
      <c r="C3" s="53"/>
      <c r="D3" s="53"/>
      <c r="E3" s="53"/>
      <c r="F3" s="53"/>
      <c r="G3" s="53"/>
      <c r="H3" s="53"/>
      <c r="I3" s="53"/>
      <c r="AI3" s="89"/>
      <c r="BY3" s="89"/>
    </row>
    <row r="4" spans="1:79" x14ac:dyDescent="0.2">
      <c r="A4" s="228"/>
      <c r="B4" s="1"/>
      <c r="C4" s="53"/>
      <c r="D4" s="53"/>
      <c r="E4" s="53"/>
      <c r="F4" s="53"/>
      <c r="G4" s="53"/>
      <c r="H4" s="53"/>
      <c r="I4" s="53"/>
      <c r="AF4" s="300"/>
      <c r="AG4" s="145"/>
      <c r="AM4" s="145"/>
      <c r="BZ4" s="50"/>
    </row>
    <row r="5" spans="1:79" ht="15.75" x14ac:dyDescent="0.25">
      <c r="A5"/>
      <c r="B5" s="752" t="s">
        <v>64</v>
      </c>
      <c r="C5" s="752"/>
      <c r="D5" s="752"/>
      <c r="E5" s="752"/>
      <c r="F5" s="752"/>
      <c r="G5" s="752"/>
      <c r="H5" s="752"/>
      <c r="I5" s="752"/>
      <c r="J5" s="752"/>
      <c r="K5" s="752"/>
      <c r="L5" s="752"/>
      <c r="M5" s="752"/>
      <c r="N5" s="752"/>
      <c r="O5" s="752"/>
      <c r="P5" s="752"/>
      <c r="Q5" s="752"/>
      <c r="R5" s="752"/>
      <c r="S5" s="752"/>
      <c r="T5" s="752"/>
      <c r="U5" s="752"/>
      <c r="V5" s="752"/>
      <c r="W5" s="752"/>
      <c r="X5" s="752"/>
      <c r="Y5" s="752"/>
      <c r="Z5" s="752"/>
      <c r="AA5" s="752"/>
      <c r="AB5" s="752"/>
      <c r="AC5" s="752"/>
      <c r="AD5" s="752"/>
      <c r="AE5" s="752"/>
      <c r="AF5" s="752"/>
      <c r="AG5" s="752"/>
      <c r="AH5" s="752"/>
      <c r="AI5" s="752"/>
      <c r="AJ5" s="752"/>
      <c r="AK5" s="752" t="s">
        <v>64</v>
      </c>
      <c r="AL5" s="752"/>
      <c r="AM5" s="752"/>
      <c r="AN5" s="752"/>
      <c r="AO5" s="752"/>
      <c r="AP5" s="752"/>
      <c r="AQ5" s="752"/>
      <c r="AR5" s="752"/>
      <c r="AS5" s="752"/>
      <c r="AT5" s="752"/>
      <c r="AU5" s="752"/>
      <c r="AV5" s="752"/>
      <c r="AW5" s="752"/>
      <c r="AX5" s="752"/>
      <c r="AY5" s="752"/>
      <c r="AZ5" s="752"/>
      <c r="BA5" s="752"/>
      <c r="BB5" s="752"/>
      <c r="BC5" s="752"/>
      <c r="BD5" s="752"/>
      <c r="BE5" s="752"/>
      <c r="BF5" s="752"/>
      <c r="BG5" s="752"/>
      <c r="BH5" s="752"/>
      <c r="BI5" s="752"/>
      <c r="BJ5" s="752"/>
      <c r="BK5" s="752"/>
      <c r="BL5" s="752"/>
      <c r="BM5" s="752"/>
      <c r="BN5" s="752"/>
      <c r="BO5" s="752"/>
      <c r="BP5" s="752"/>
      <c r="BQ5" s="752"/>
      <c r="BR5" s="752"/>
      <c r="BS5" s="752"/>
      <c r="BT5" s="752"/>
      <c r="BU5" s="752"/>
      <c r="BV5" s="752"/>
      <c r="BW5" s="752"/>
      <c r="BX5" s="752"/>
      <c r="BY5" s="752"/>
      <c r="BZ5" s="752"/>
    </row>
    <row r="6" spans="1:79" ht="15.75" x14ac:dyDescent="0.25">
      <c r="A6"/>
      <c r="B6" s="752" t="s">
        <v>671</v>
      </c>
      <c r="C6" s="752"/>
      <c r="D6" s="752"/>
      <c r="E6" s="752"/>
      <c r="F6" s="752"/>
      <c r="G6" s="752"/>
      <c r="H6" s="752"/>
      <c r="I6" s="752"/>
      <c r="J6" s="752"/>
      <c r="K6" s="752"/>
      <c r="L6" s="752"/>
      <c r="M6" s="752"/>
      <c r="N6" s="752"/>
      <c r="O6" s="752"/>
      <c r="P6" s="752"/>
      <c r="Q6" s="752"/>
      <c r="R6" s="752"/>
      <c r="S6" s="752"/>
      <c r="T6" s="752"/>
      <c r="U6" s="752"/>
      <c r="V6" s="752"/>
      <c r="W6" s="752"/>
      <c r="X6" s="752"/>
      <c r="Y6" s="752"/>
      <c r="Z6" s="752"/>
      <c r="AA6" s="752"/>
      <c r="AB6" s="752"/>
      <c r="AC6" s="752"/>
      <c r="AD6" s="752"/>
      <c r="AE6" s="752"/>
      <c r="AF6" s="752"/>
      <c r="AG6" s="752"/>
      <c r="AH6" s="752"/>
      <c r="AI6" s="752"/>
      <c r="AJ6" s="752"/>
      <c r="AK6" s="752" t="s">
        <v>671</v>
      </c>
      <c r="AL6" s="752"/>
      <c r="AM6" s="752"/>
      <c r="AN6" s="752"/>
      <c r="AO6" s="752"/>
      <c r="AP6" s="752"/>
      <c r="AQ6" s="752"/>
      <c r="AR6" s="752"/>
      <c r="AS6" s="752"/>
      <c r="AT6" s="752"/>
      <c r="AU6" s="752"/>
      <c r="AV6" s="752"/>
      <c r="AW6" s="752"/>
      <c r="AX6" s="752"/>
      <c r="AY6" s="752"/>
      <c r="AZ6" s="752"/>
      <c r="BA6" s="752"/>
      <c r="BB6" s="752"/>
      <c r="BC6" s="752"/>
      <c r="BD6" s="752"/>
      <c r="BE6" s="752"/>
      <c r="BF6" s="752"/>
      <c r="BG6" s="752"/>
      <c r="BH6" s="752"/>
      <c r="BI6" s="752"/>
      <c r="BJ6" s="752"/>
      <c r="BK6" s="752"/>
      <c r="BL6" s="752"/>
      <c r="BM6" s="752"/>
      <c r="BN6" s="752"/>
      <c r="BO6" s="752"/>
      <c r="BP6" s="752"/>
      <c r="BQ6" s="752"/>
      <c r="BR6" s="752"/>
      <c r="BS6" s="752"/>
      <c r="BT6" s="752"/>
      <c r="BU6" s="752"/>
      <c r="BV6" s="752"/>
      <c r="BW6" s="752"/>
      <c r="BX6" s="752"/>
      <c r="BY6" s="752"/>
      <c r="BZ6" s="752"/>
    </row>
    <row r="7" spans="1:79" ht="15.75" x14ac:dyDescent="0.25">
      <c r="A7"/>
      <c r="B7" s="752" t="s">
        <v>245</v>
      </c>
      <c r="C7" s="752"/>
      <c r="D7" s="752"/>
      <c r="E7" s="752"/>
      <c r="F7" s="752"/>
      <c r="G7" s="752"/>
      <c r="H7" s="752"/>
      <c r="I7" s="752"/>
      <c r="J7" s="752"/>
      <c r="K7" s="752"/>
      <c r="L7" s="752"/>
      <c r="M7" s="752"/>
      <c r="N7" s="752"/>
      <c r="O7" s="752"/>
      <c r="P7" s="752"/>
      <c r="Q7" s="752"/>
      <c r="R7" s="752"/>
      <c r="S7" s="752"/>
      <c r="T7" s="752"/>
      <c r="U7" s="752"/>
      <c r="V7" s="752"/>
      <c r="W7" s="752"/>
      <c r="X7" s="752"/>
      <c r="Y7" s="752"/>
      <c r="Z7" s="752"/>
      <c r="AA7" s="752"/>
      <c r="AB7" s="752"/>
      <c r="AC7" s="752"/>
      <c r="AD7" s="752"/>
      <c r="AE7" s="752"/>
      <c r="AF7" s="752"/>
      <c r="AG7" s="752"/>
      <c r="AH7" s="752"/>
      <c r="AI7" s="752"/>
      <c r="AJ7" s="752"/>
      <c r="AK7" s="752" t="s">
        <v>245</v>
      </c>
      <c r="AL7" s="752"/>
      <c r="AM7" s="752"/>
      <c r="AN7" s="752"/>
      <c r="AO7" s="752"/>
      <c r="AP7" s="752"/>
      <c r="AQ7" s="752"/>
      <c r="AR7" s="752"/>
      <c r="AS7" s="752"/>
      <c r="AT7" s="752"/>
      <c r="AU7" s="752"/>
      <c r="AV7" s="752"/>
      <c r="AW7" s="752"/>
      <c r="AX7" s="752"/>
      <c r="AY7" s="752"/>
      <c r="AZ7" s="752"/>
      <c r="BA7" s="752"/>
      <c r="BB7" s="752"/>
      <c r="BC7" s="752"/>
      <c r="BD7" s="752"/>
      <c r="BE7" s="752"/>
      <c r="BF7" s="752"/>
      <c r="BG7" s="752"/>
      <c r="BH7" s="752"/>
      <c r="BI7" s="752"/>
      <c r="BJ7" s="752"/>
      <c r="BK7" s="752"/>
      <c r="BL7" s="752"/>
      <c r="BM7" s="752"/>
      <c r="BN7" s="752"/>
      <c r="BO7" s="752"/>
      <c r="BP7" s="752"/>
      <c r="BQ7" s="752"/>
      <c r="BR7" s="752"/>
      <c r="BS7" s="752"/>
      <c r="BT7" s="752"/>
      <c r="BU7" s="752"/>
      <c r="BV7" s="752"/>
      <c r="BW7" s="752"/>
      <c r="BX7" s="752"/>
      <c r="BY7" s="752"/>
      <c r="BZ7" s="752"/>
    </row>
    <row r="8" spans="1:79" x14ac:dyDescent="0.2">
      <c r="B8" s="168">
        <v>27790</v>
      </c>
      <c r="C8" s="218"/>
      <c r="D8" s="218"/>
      <c r="E8" s="218"/>
      <c r="F8" s="218"/>
      <c r="G8" s="218"/>
      <c r="H8" s="218"/>
      <c r="I8" s="218"/>
      <c r="J8" s="146"/>
      <c r="K8" s="146"/>
      <c r="L8" s="146"/>
      <c r="M8" s="146"/>
      <c r="N8" s="146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Z8" s="10" t="s">
        <v>0</v>
      </c>
    </row>
    <row r="9" spans="1:79" ht="99.75" customHeight="1" x14ac:dyDescent="0.2">
      <c r="A9" s="753" t="s">
        <v>72</v>
      </c>
      <c r="B9" s="755" t="s">
        <v>24</v>
      </c>
      <c r="C9" s="757" t="s">
        <v>561</v>
      </c>
      <c r="D9" s="758"/>
      <c r="E9" s="758"/>
      <c r="F9" s="758"/>
      <c r="G9" s="758"/>
      <c r="H9" s="758"/>
      <c r="I9" s="759"/>
      <c r="J9" s="757" t="s">
        <v>475</v>
      </c>
      <c r="K9" s="758"/>
      <c r="L9" s="758"/>
      <c r="M9" s="758"/>
      <c r="N9" s="758"/>
      <c r="O9" s="758"/>
      <c r="P9" s="757" t="s">
        <v>71</v>
      </c>
      <c r="Q9" s="758"/>
      <c r="R9" s="758"/>
      <c r="S9" s="758"/>
      <c r="T9" s="758"/>
      <c r="U9" s="758"/>
      <c r="V9" s="759"/>
      <c r="W9" s="757" t="s">
        <v>659</v>
      </c>
      <c r="X9" s="758"/>
      <c r="Y9" s="758"/>
      <c r="Z9" s="758"/>
      <c r="AA9" s="758"/>
      <c r="AB9" s="758"/>
      <c r="AC9" s="758"/>
      <c r="AD9" s="757" t="s">
        <v>754</v>
      </c>
      <c r="AE9" s="758"/>
      <c r="AF9" s="758"/>
      <c r="AG9" s="758"/>
      <c r="AH9" s="758"/>
      <c r="AI9" s="758"/>
      <c r="AJ9" s="759"/>
      <c r="AK9" s="757" t="s">
        <v>658</v>
      </c>
      <c r="AL9" s="758"/>
      <c r="AM9" s="758"/>
      <c r="AN9" s="758"/>
      <c r="AO9" s="758"/>
      <c r="AP9" s="758"/>
      <c r="AQ9" s="759"/>
      <c r="AR9" s="757"/>
      <c r="AS9" s="758"/>
      <c r="AT9" s="758"/>
      <c r="AU9" s="758"/>
      <c r="AV9" s="758"/>
      <c r="AW9" s="758"/>
      <c r="AX9" s="759"/>
      <c r="AY9" s="757"/>
      <c r="AZ9" s="758"/>
      <c r="BA9" s="758"/>
      <c r="BB9" s="758"/>
      <c r="BC9" s="758"/>
      <c r="BD9" s="758"/>
      <c r="BE9" s="759"/>
      <c r="BF9" s="757" t="s">
        <v>568</v>
      </c>
      <c r="BG9" s="758"/>
      <c r="BH9" s="758"/>
      <c r="BI9" s="758"/>
      <c r="BJ9" s="758"/>
      <c r="BK9" s="758"/>
      <c r="BL9" s="758"/>
      <c r="BM9" s="757" t="s">
        <v>560</v>
      </c>
      <c r="BN9" s="758"/>
      <c r="BO9" s="758"/>
      <c r="BP9" s="758"/>
      <c r="BQ9" s="758"/>
      <c r="BR9" s="758"/>
      <c r="BS9" s="759"/>
      <c r="BT9" s="760" t="s">
        <v>27</v>
      </c>
      <c r="BU9" s="761"/>
      <c r="BV9" s="761"/>
      <c r="BW9" s="761"/>
      <c r="BX9" s="761"/>
      <c r="BY9" s="761"/>
      <c r="BZ9" s="762"/>
    </row>
    <row r="10" spans="1:79" ht="34.5" customHeight="1" x14ac:dyDescent="0.2">
      <c r="A10" s="754"/>
      <c r="B10" s="756"/>
      <c r="C10" s="506" t="s">
        <v>803</v>
      </c>
      <c r="D10" s="271" t="s">
        <v>672</v>
      </c>
      <c r="E10" s="271" t="s">
        <v>766</v>
      </c>
      <c r="F10" s="271" t="s">
        <v>802</v>
      </c>
      <c r="G10" s="271" t="s">
        <v>808</v>
      </c>
      <c r="H10" s="271" t="s">
        <v>821</v>
      </c>
      <c r="I10" s="271" t="s">
        <v>807</v>
      </c>
      <c r="J10" s="271" t="str">
        <f>C10</f>
        <v>2024. évi teljesítés</v>
      </c>
      <c r="K10" s="271" t="str">
        <f>E10</f>
        <v>mód.ei.          2025.06.hó</v>
      </c>
      <c r="L10" s="271" t="str">
        <f>F10</f>
        <v>mód.ei.          2025.09.hó</v>
      </c>
      <c r="M10" s="271" t="str">
        <f>G10</f>
        <v>mód.ei.          2025.12.hó</v>
      </c>
      <c r="N10" s="271"/>
      <c r="O10" s="271" t="str">
        <f>I10</f>
        <v>teljesítés 2025.12.31</v>
      </c>
      <c r="P10" s="506" t="str">
        <f t="shared" ref="P10:U10" si="0">C10</f>
        <v>2024. évi teljesítés</v>
      </c>
      <c r="Q10" s="271" t="str">
        <f t="shared" si="0"/>
        <v>2025. évi eredeti ei.</v>
      </c>
      <c r="R10" s="271" t="str">
        <f t="shared" si="0"/>
        <v>mód.ei.          2025.06.hó</v>
      </c>
      <c r="S10" s="271" t="str">
        <f t="shared" si="0"/>
        <v>mód.ei.          2025.09.hó</v>
      </c>
      <c r="T10" s="271" t="str">
        <f t="shared" si="0"/>
        <v>mód.ei.          2025.12.hó</v>
      </c>
      <c r="U10" s="271" t="str">
        <f t="shared" si="0"/>
        <v>mód.ei.          2025.12.31</v>
      </c>
      <c r="V10" s="271" t="str">
        <f t="shared" ref="V10" si="1">I10</f>
        <v>teljesítés 2025.12.31</v>
      </c>
      <c r="W10" s="506" t="str">
        <f>C10</f>
        <v>2024. évi teljesítés</v>
      </c>
      <c r="X10" s="271" t="str">
        <f>D10</f>
        <v>2025. évi eredeti ei.</v>
      </c>
      <c r="Y10" s="271" t="str">
        <f>E10</f>
        <v>mód.ei.          2025.06.hó</v>
      </c>
      <c r="Z10" s="271" t="str">
        <f>F10</f>
        <v>mód.ei.          2025.09.hó</v>
      </c>
      <c r="AA10" s="271" t="str">
        <f t="shared" ref="AA10:AB10" si="2">G10</f>
        <v>mód.ei.          2025.12.hó</v>
      </c>
      <c r="AB10" s="271" t="str">
        <f t="shared" si="2"/>
        <v>mód.ei.          2025.12.31</v>
      </c>
      <c r="AC10" s="271" t="str">
        <f>O10</f>
        <v>teljesítés 2025.12.31</v>
      </c>
      <c r="AD10" s="506" t="str">
        <f t="shared" ref="AD10:AI10" si="3">C10</f>
        <v>2024. évi teljesítés</v>
      </c>
      <c r="AE10" s="271" t="str">
        <f t="shared" si="3"/>
        <v>2025. évi eredeti ei.</v>
      </c>
      <c r="AF10" s="271" t="str">
        <f t="shared" si="3"/>
        <v>mód.ei.          2025.06.hó</v>
      </c>
      <c r="AG10" s="271" t="str">
        <f t="shared" si="3"/>
        <v>mód.ei.          2025.09.hó</v>
      </c>
      <c r="AH10" s="271" t="str">
        <f t="shared" si="3"/>
        <v>mód.ei.          2025.12.hó</v>
      </c>
      <c r="AI10" s="271" t="str">
        <f t="shared" si="3"/>
        <v>mód.ei.          2025.12.31</v>
      </c>
      <c r="AJ10" s="271" t="str">
        <f t="shared" ref="AJ10" si="4">I10</f>
        <v>teljesítés 2025.12.31</v>
      </c>
      <c r="AK10" s="506" t="str">
        <f t="shared" ref="AK10:AP10" si="5">C10</f>
        <v>2024. évi teljesítés</v>
      </c>
      <c r="AL10" s="271" t="str">
        <f t="shared" si="5"/>
        <v>2025. évi eredeti ei.</v>
      </c>
      <c r="AM10" s="271" t="str">
        <f t="shared" si="5"/>
        <v>mód.ei.          2025.06.hó</v>
      </c>
      <c r="AN10" s="271" t="str">
        <f t="shared" si="5"/>
        <v>mód.ei.          2025.09.hó</v>
      </c>
      <c r="AO10" s="271" t="str">
        <f t="shared" si="5"/>
        <v>mód.ei.          2025.12.hó</v>
      </c>
      <c r="AP10" s="271" t="str">
        <f t="shared" si="5"/>
        <v>mód.ei.          2025.12.31</v>
      </c>
      <c r="AQ10" s="271" t="str">
        <f t="shared" ref="AQ10" si="6">I10</f>
        <v>teljesítés 2025.12.31</v>
      </c>
      <c r="AR10" s="271" t="str">
        <f>C10</f>
        <v>2024. évi teljesítés</v>
      </c>
      <c r="AS10" s="271"/>
      <c r="AT10" s="271" t="str">
        <f>E10</f>
        <v>mód.ei.          2025.06.hó</v>
      </c>
      <c r="AU10" s="271" t="str">
        <f>F10</f>
        <v>mód.ei.          2025.09.hó</v>
      </c>
      <c r="AV10" s="271" t="str">
        <f>G10</f>
        <v>mód.ei.          2025.12.hó</v>
      </c>
      <c r="AW10" s="271"/>
      <c r="AX10" s="271" t="str">
        <f>I10</f>
        <v>teljesítés 2025.12.31</v>
      </c>
      <c r="AY10" s="271" t="str">
        <f>C10</f>
        <v>2024. évi teljesítés</v>
      </c>
      <c r="AZ10" s="271"/>
      <c r="BA10" s="271" t="str">
        <f>E10</f>
        <v>mód.ei.          2025.06.hó</v>
      </c>
      <c r="BB10" s="271" t="str">
        <f>F10</f>
        <v>mód.ei.          2025.09.hó</v>
      </c>
      <c r="BC10" s="271" t="str">
        <f>G10</f>
        <v>mód.ei.          2025.12.hó</v>
      </c>
      <c r="BD10" s="271"/>
      <c r="BE10" s="271" t="str">
        <f>I10</f>
        <v>teljesítés 2025.12.31</v>
      </c>
      <c r="BF10" s="506" t="str">
        <f t="shared" ref="BF10:BK10" si="7">AK10</f>
        <v>2024. évi teljesítés</v>
      </c>
      <c r="BG10" s="271" t="str">
        <f t="shared" si="7"/>
        <v>2025. évi eredeti ei.</v>
      </c>
      <c r="BH10" s="271" t="str">
        <f t="shared" si="7"/>
        <v>mód.ei.          2025.06.hó</v>
      </c>
      <c r="BI10" s="271" t="str">
        <f t="shared" si="7"/>
        <v>mód.ei.          2025.09.hó</v>
      </c>
      <c r="BJ10" s="271" t="str">
        <f t="shared" si="7"/>
        <v>mód.ei.          2025.12.hó</v>
      </c>
      <c r="BK10" s="271" t="str">
        <f t="shared" si="7"/>
        <v>mód.ei.          2025.12.31</v>
      </c>
      <c r="BL10" s="271" t="str">
        <f t="shared" ref="BL10" si="8">AQ10</f>
        <v>teljesítés 2025.12.31</v>
      </c>
      <c r="BM10" s="506" t="str">
        <f t="shared" ref="BM10:BS10" si="9">C10</f>
        <v>2024. évi teljesítés</v>
      </c>
      <c r="BN10" s="271" t="str">
        <f t="shared" si="9"/>
        <v>2025. évi eredeti ei.</v>
      </c>
      <c r="BO10" s="271" t="str">
        <f t="shared" si="9"/>
        <v>mód.ei.          2025.06.hó</v>
      </c>
      <c r="BP10" s="271" t="str">
        <f t="shared" si="9"/>
        <v>mód.ei.          2025.09.hó</v>
      </c>
      <c r="BQ10" s="271" t="str">
        <f t="shared" si="9"/>
        <v>mód.ei.          2025.12.hó</v>
      </c>
      <c r="BR10" s="271" t="str">
        <f t="shared" si="9"/>
        <v>mód.ei.          2025.12.31</v>
      </c>
      <c r="BS10" s="271" t="str">
        <f t="shared" si="9"/>
        <v>teljesítés 2025.12.31</v>
      </c>
      <c r="BT10" s="514" t="str">
        <f t="shared" ref="BT10:BZ10" si="10">C10</f>
        <v>2024. évi teljesítés</v>
      </c>
      <c r="BU10" s="281" t="str">
        <f t="shared" si="10"/>
        <v>2025. évi eredeti ei.</v>
      </c>
      <c r="BV10" s="281" t="str">
        <f t="shared" si="10"/>
        <v>mód.ei.          2025.06.hó</v>
      </c>
      <c r="BW10" s="281" t="str">
        <f t="shared" si="10"/>
        <v>mód.ei.          2025.09.hó</v>
      </c>
      <c r="BX10" s="281" t="str">
        <f t="shared" si="10"/>
        <v>mód.ei.          2025.12.hó</v>
      </c>
      <c r="BY10" s="281" t="str">
        <f t="shared" si="10"/>
        <v>mód.ei.          2025.12.31</v>
      </c>
      <c r="BZ10" s="281" t="str">
        <f t="shared" si="10"/>
        <v>teljesítés 2025.12.31</v>
      </c>
      <c r="CA10" s="258" t="s">
        <v>856</v>
      </c>
    </row>
    <row r="11" spans="1:79" x14ac:dyDescent="0.2">
      <c r="A11" s="229" t="s">
        <v>229</v>
      </c>
      <c r="B11" s="16" t="s">
        <v>230</v>
      </c>
      <c r="C11" s="507">
        <f>SUM(C12:C19)</f>
        <v>0</v>
      </c>
      <c r="D11" s="212">
        <f>SUM(D12:D19)</f>
        <v>0</v>
      </c>
      <c r="E11" s="212">
        <f>SUM(E12:E19)</f>
        <v>0</v>
      </c>
      <c r="F11" s="212">
        <f>SUM(F12:F19)</f>
        <v>0</v>
      </c>
      <c r="G11" s="212">
        <f t="shared" ref="G11" si="11">SUM(G12:G19)</f>
        <v>0</v>
      </c>
      <c r="H11" s="212">
        <f t="shared" ref="H11:I11" si="12">SUM(H12:H19)</f>
        <v>0</v>
      </c>
      <c r="I11" s="212">
        <f t="shared" si="12"/>
        <v>0</v>
      </c>
      <c r="J11" s="212">
        <f t="shared" ref="J11:AT11" si="13">SUM(J12:J19)</f>
        <v>0</v>
      </c>
      <c r="K11" s="212">
        <f t="shared" ref="K11:O11" si="14">SUM(K12:K19)</f>
        <v>0</v>
      </c>
      <c r="L11" s="212">
        <f t="shared" si="14"/>
        <v>0</v>
      </c>
      <c r="M11" s="212">
        <f t="shared" si="14"/>
        <v>0</v>
      </c>
      <c r="N11" s="212"/>
      <c r="O11" s="212">
        <f t="shared" si="14"/>
        <v>0</v>
      </c>
      <c r="P11" s="507">
        <f t="shared" si="13"/>
        <v>0</v>
      </c>
      <c r="Q11" s="212">
        <f t="shared" ref="Q11" si="15">SUM(Q12:Q19)</f>
        <v>0</v>
      </c>
      <c r="R11" s="212">
        <f t="shared" si="13"/>
        <v>0</v>
      </c>
      <c r="S11" s="212">
        <f t="shared" si="13"/>
        <v>0</v>
      </c>
      <c r="T11" s="212">
        <f t="shared" ref="T11" si="16">SUM(T12:T19)</f>
        <v>0</v>
      </c>
      <c r="U11" s="212">
        <f t="shared" ref="U11:V11" si="17">SUM(U12:U19)</f>
        <v>0</v>
      </c>
      <c r="V11" s="212">
        <f t="shared" si="17"/>
        <v>0</v>
      </c>
      <c r="W11" s="507">
        <f t="shared" ref="W11:X11" si="18">SUM(W12:W19)</f>
        <v>0</v>
      </c>
      <c r="X11" s="212">
        <f t="shared" si="18"/>
        <v>0</v>
      </c>
      <c r="Y11" s="212">
        <f t="shared" ref="Y11" si="19">SUM(Y12:Y19)</f>
        <v>0</v>
      </c>
      <c r="Z11" s="212">
        <f t="shared" ref="Z11:AD11" si="20">SUM(Z12:Z19)</f>
        <v>0</v>
      </c>
      <c r="AA11" s="212">
        <f t="shared" ref="AA11" si="21">SUM(AA12:AA19)</f>
        <v>0</v>
      </c>
      <c r="AB11" s="212">
        <f t="shared" ref="AB11:AC11" si="22">SUM(AB12:AB19)</f>
        <v>0</v>
      </c>
      <c r="AC11" s="212">
        <f t="shared" si="22"/>
        <v>0</v>
      </c>
      <c r="AD11" s="507">
        <f t="shared" si="20"/>
        <v>12630</v>
      </c>
      <c r="AE11" s="212">
        <f t="shared" ref="AE11" si="23">SUM(AE12:AE19)</f>
        <v>10806</v>
      </c>
      <c r="AF11" s="212">
        <f t="shared" ref="AF11:AH11" si="24">SUM(AF12:AF19)</f>
        <v>10901</v>
      </c>
      <c r="AG11" s="212">
        <f t="shared" si="24"/>
        <v>10901</v>
      </c>
      <c r="AH11" s="212">
        <f t="shared" si="24"/>
        <v>10917</v>
      </c>
      <c r="AI11" s="212">
        <f t="shared" ref="AI11:AJ11" si="25">SUM(AI12:AI19)</f>
        <v>10917</v>
      </c>
      <c r="AJ11" s="212">
        <f t="shared" si="25"/>
        <v>10443</v>
      </c>
      <c r="AK11" s="507">
        <f t="shared" ref="AK11" si="26">SUM(AK12:AK19)</f>
        <v>2473</v>
      </c>
      <c r="AL11" s="212">
        <f t="shared" ref="AL11" si="27">SUM(AL12:AL19)</f>
        <v>2822</v>
      </c>
      <c r="AM11" s="212">
        <f t="shared" ref="AM11:AO11" si="28">SUM(AM12:AM19)</f>
        <v>2797</v>
      </c>
      <c r="AN11" s="212">
        <f t="shared" si="28"/>
        <v>2797</v>
      </c>
      <c r="AO11" s="212">
        <f t="shared" si="28"/>
        <v>2714</v>
      </c>
      <c r="AP11" s="212">
        <f t="shared" ref="AP11:AQ11" si="29">SUM(AP12:AP19)</f>
        <v>2714</v>
      </c>
      <c r="AQ11" s="212">
        <f t="shared" si="29"/>
        <v>2671</v>
      </c>
      <c r="AR11" s="212">
        <f t="shared" si="13"/>
        <v>0</v>
      </c>
      <c r="AS11" s="212"/>
      <c r="AT11" s="212">
        <f t="shared" si="13"/>
        <v>0</v>
      </c>
      <c r="AU11" s="212">
        <f t="shared" ref="AU11:BM11" si="30">SUM(AU12:AU19)</f>
        <v>0</v>
      </c>
      <c r="AV11" s="212">
        <f t="shared" si="30"/>
        <v>0</v>
      </c>
      <c r="AW11" s="212"/>
      <c r="AX11" s="212">
        <f t="shared" si="30"/>
        <v>0</v>
      </c>
      <c r="AY11" s="212">
        <f t="shared" si="30"/>
        <v>0</v>
      </c>
      <c r="AZ11" s="212"/>
      <c r="BA11" s="212">
        <f t="shared" si="30"/>
        <v>0</v>
      </c>
      <c r="BB11" s="212">
        <f t="shared" si="30"/>
        <v>0</v>
      </c>
      <c r="BC11" s="212">
        <f t="shared" si="30"/>
        <v>0</v>
      </c>
      <c r="BD11" s="212"/>
      <c r="BE11" s="212">
        <f t="shared" si="30"/>
        <v>0</v>
      </c>
      <c r="BF11" s="507">
        <f t="shared" ref="BF11:BG11" si="31">SUM(BF12:BF19)</f>
        <v>4017</v>
      </c>
      <c r="BG11" s="212">
        <f t="shared" si="31"/>
        <v>4460</v>
      </c>
      <c r="BH11" s="212">
        <f t="shared" ref="BH11:BJ11" si="32">SUM(BH12:BH19)</f>
        <v>4415</v>
      </c>
      <c r="BI11" s="212">
        <f t="shared" si="32"/>
        <v>4415</v>
      </c>
      <c r="BJ11" s="212">
        <f t="shared" si="32"/>
        <v>4423</v>
      </c>
      <c r="BK11" s="212">
        <f t="shared" ref="BK11:BL11" si="33">SUM(BK12:BK19)</f>
        <v>4423</v>
      </c>
      <c r="BL11" s="212">
        <f t="shared" si="33"/>
        <v>4259</v>
      </c>
      <c r="BM11" s="507">
        <f t="shared" si="30"/>
        <v>4920</v>
      </c>
      <c r="BN11" s="212">
        <f t="shared" ref="BN11" si="34">SUM(BN12:BN19)</f>
        <v>6439</v>
      </c>
      <c r="BO11" s="212">
        <f t="shared" ref="BO11" si="35">SUM(BO12:BO19)</f>
        <v>6414</v>
      </c>
      <c r="BP11" s="212">
        <f t="shared" ref="BP11:BQ11" si="36">SUM(BP12:BP19)</f>
        <v>6414</v>
      </c>
      <c r="BQ11" s="212">
        <f t="shared" si="36"/>
        <v>6422</v>
      </c>
      <c r="BR11" s="212">
        <f t="shared" ref="BR11:BS11" si="37">SUM(BR12:BR19)</f>
        <v>6422</v>
      </c>
      <c r="BS11" s="212">
        <f t="shared" si="37"/>
        <v>6288</v>
      </c>
      <c r="BT11" s="515">
        <f t="shared" ref="BT11:BT33" si="38">C11+J11+P11+W11+AD11+AK11+AR11+AY11+BF11+BM11</f>
        <v>24040</v>
      </c>
      <c r="BU11" s="240">
        <f t="shared" ref="BU11:BU33" si="39">D11+K11+Q11+X11+AE11+AL11+AS11+AZ11+BG11+BN11</f>
        <v>24527</v>
      </c>
      <c r="BV11" s="240">
        <f t="shared" ref="BV11:BV33" si="40">E11+K11+R11+Y11+AF11+AM11+AT11+BA11+BH11+BO11</f>
        <v>24527</v>
      </c>
      <c r="BW11" s="240">
        <f t="shared" ref="BW11:BW33" si="41">F11+L11+S11+Z11+AG11+AN11+AU11+BB11+BI11+BP11</f>
        <v>24527</v>
      </c>
      <c r="BX11" s="240">
        <f t="shared" ref="BX11:BX33" si="42">G11+M11+T11+AA11+AH11+AO11+AV11+BC11+BJ11+BQ11</f>
        <v>24476</v>
      </c>
      <c r="BY11" s="240">
        <f t="shared" ref="BY11:BZ26" si="43">H11+N11+U11+AB11+AI11+AP11+AW11+BD11+BK11+BR11</f>
        <v>24476</v>
      </c>
      <c r="BZ11" s="240">
        <f t="shared" si="43"/>
        <v>23661</v>
      </c>
      <c r="CA11" s="558">
        <f>BZ11/BY11*100</f>
        <v>96.670207550253309</v>
      </c>
    </row>
    <row r="12" spans="1:79" x14ac:dyDescent="0.2">
      <c r="A12" s="55">
        <v>1101</v>
      </c>
      <c r="B12" s="8" t="s">
        <v>735</v>
      </c>
      <c r="C12" s="508"/>
      <c r="D12" s="190"/>
      <c r="E12" s="190"/>
      <c r="F12" s="190"/>
      <c r="G12" s="190"/>
      <c r="H12" s="190"/>
      <c r="I12" s="190"/>
      <c r="J12" s="74"/>
      <c r="K12" s="74"/>
      <c r="L12" s="74"/>
      <c r="M12" s="74"/>
      <c r="N12" s="74"/>
      <c r="O12" s="74"/>
      <c r="P12" s="508"/>
      <c r="Q12" s="74"/>
      <c r="R12" s="74"/>
      <c r="S12" s="74"/>
      <c r="T12" s="74"/>
      <c r="U12" s="74"/>
      <c r="V12" s="74"/>
      <c r="W12" s="508"/>
      <c r="X12" s="74"/>
      <c r="Y12" s="74"/>
      <c r="Z12" s="74"/>
      <c r="AA12" s="74"/>
      <c r="AB12" s="74"/>
      <c r="AC12" s="74"/>
      <c r="AD12" s="508">
        <v>12105</v>
      </c>
      <c r="AE12" s="74">
        <v>10290</v>
      </c>
      <c r="AF12" s="74">
        <v>10290</v>
      </c>
      <c r="AG12" s="74">
        <v>10290</v>
      </c>
      <c r="AH12" s="74">
        <v>10290</v>
      </c>
      <c r="AI12" s="74">
        <v>10290</v>
      </c>
      <c r="AJ12" s="74">
        <v>9990</v>
      </c>
      <c r="AK12" s="508">
        <v>2401</v>
      </c>
      <c r="AL12" s="74">
        <v>2600</v>
      </c>
      <c r="AM12" s="74">
        <v>2600</v>
      </c>
      <c r="AN12" s="74">
        <v>2600</v>
      </c>
      <c r="AO12" s="74">
        <v>2600</v>
      </c>
      <c r="AP12" s="74">
        <v>2600</v>
      </c>
      <c r="AQ12" s="74">
        <v>2599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508">
        <v>3809</v>
      </c>
      <c r="BG12" s="74">
        <v>4164</v>
      </c>
      <c r="BH12" s="74">
        <v>4164</v>
      </c>
      <c r="BI12" s="74">
        <v>4164</v>
      </c>
      <c r="BJ12" s="74">
        <v>4164</v>
      </c>
      <c r="BK12" s="74">
        <v>4164</v>
      </c>
      <c r="BL12" s="74">
        <v>4163</v>
      </c>
      <c r="BM12" s="508">
        <v>4689</v>
      </c>
      <c r="BN12" s="74">
        <v>5146</v>
      </c>
      <c r="BO12" s="74">
        <v>5146</v>
      </c>
      <c r="BP12" s="74">
        <v>5146</v>
      </c>
      <c r="BQ12" s="74">
        <v>5146</v>
      </c>
      <c r="BR12" s="74">
        <v>5146</v>
      </c>
      <c r="BS12" s="74">
        <v>5146</v>
      </c>
      <c r="BT12" s="516">
        <f t="shared" si="38"/>
        <v>23004</v>
      </c>
      <c r="BU12" s="239">
        <f t="shared" si="39"/>
        <v>22200</v>
      </c>
      <c r="BV12" s="239">
        <f t="shared" si="40"/>
        <v>22200</v>
      </c>
      <c r="BW12" s="239">
        <f t="shared" si="41"/>
        <v>22200</v>
      </c>
      <c r="BX12" s="239">
        <f t="shared" si="42"/>
        <v>22200</v>
      </c>
      <c r="BY12" s="239">
        <f t="shared" si="43"/>
        <v>22200</v>
      </c>
      <c r="BZ12" s="239">
        <f t="shared" si="43"/>
        <v>21898</v>
      </c>
      <c r="CA12" s="558">
        <f t="shared" ref="CA12:CA74" si="44">BZ12/BY12*100</f>
        <v>98.63963963963964</v>
      </c>
    </row>
    <row r="13" spans="1:79" x14ac:dyDescent="0.2">
      <c r="A13" s="55">
        <v>1104</v>
      </c>
      <c r="B13" s="8" t="s">
        <v>377</v>
      </c>
      <c r="C13" s="508"/>
      <c r="D13" s="190"/>
      <c r="E13" s="190"/>
      <c r="F13" s="190"/>
      <c r="G13" s="190"/>
      <c r="H13" s="190"/>
      <c r="I13" s="190"/>
      <c r="J13" s="74"/>
      <c r="K13" s="74"/>
      <c r="L13" s="74"/>
      <c r="M13" s="74"/>
      <c r="N13" s="74"/>
      <c r="O13" s="74"/>
      <c r="P13" s="508"/>
      <c r="Q13" s="74"/>
      <c r="R13" s="74"/>
      <c r="S13" s="74"/>
      <c r="T13" s="74"/>
      <c r="U13" s="74"/>
      <c r="V13" s="74"/>
      <c r="W13" s="508"/>
      <c r="X13" s="74"/>
      <c r="Y13" s="74"/>
      <c r="Z13" s="74"/>
      <c r="AA13" s="74"/>
      <c r="AB13" s="74"/>
      <c r="AC13" s="74"/>
      <c r="AD13" s="508">
        <v>0</v>
      </c>
      <c r="AE13" s="74">
        <v>100</v>
      </c>
      <c r="AF13" s="74">
        <v>100</v>
      </c>
      <c r="AG13" s="74">
        <v>100</v>
      </c>
      <c r="AH13" s="74">
        <v>100</v>
      </c>
      <c r="AI13" s="74">
        <v>100</v>
      </c>
      <c r="AJ13" s="74">
        <v>0</v>
      </c>
      <c r="AK13" s="508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508"/>
      <c r="BG13" s="74"/>
      <c r="BH13" s="74"/>
      <c r="BI13" s="74"/>
      <c r="BJ13" s="74"/>
      <c r="BK13" s="74"/>
      <c r="BL13" s="74"/>
      <c r="BM13" s="508"/>
      <c r="BN13" s="74"/>
      <c r="BO13" s="74"/>
      <c r="BP13" s="74"/>
      <c r="BQ13" s="74"/>
      <c r="BR13" s="74"/>
      <c r="BS13" s="74"/>
      <c r="BT13" s="516">
        <f t="shared" si="38"/>
        <v>0</v>
      </c>
      <c r="BU13" s="239">
        <f t="shared" si="39"/>
        <v>100</v>
      </c>
      <c r="BV13" s="239">
        <f t="shared" si="40"/>
        <v>100</v>
      </c>
      <c r="BW13" s="239">
        <f t="shared" si="41"/>
        <v>100</v>
      </c>
      <c r="BX13" s="239">
        <f t="shared" si="42"/>
        <v>100</v>
      </c>
      <c r="BY13" s="239">
        <f t="shared" si="43"/>
        <v>100</v>
      </c>
      <c r="BZ13" s="239">
        <f t="shared" si="43"/>
        <v>0</v>
      </c>
      <c r="CA13" s="558">
        <f t="shared" si="44"/>
        <v>0</v>
      </c>
    </row>
    <row r="14" spans="1:79" x14ac:dyDescent="0.2">
      <c r="A14" s="55">
        <v>1106</v>
      </c>
      <c r="B14" s="8" t="s">
        <v>706</v>
      </c>
      <c r="C14" s="508"/>
      <c r="D14" s="190"/>
      <c r="E14" s="190"/>
      <c r="F14" s="190"/>
      <c r="G14" s="190"/>
      <c r="H14" s="190"/>
      <c r="I14" s="190"/>
      <c r="J14" s="74"/>
      <c r="K14" s="74"/>
      <c r="L14" s="74"/>
      <c r="M14" s="74"/>
      <c r="N14" s="74"/>
      <c r="O14" s="74"/>
      <c r="P14" s="508"/>
      <c r="Q14" s="74"/>
      <c r="R14" s="74"/>
      <c r="S14" s="74"/>
      <c r="T14" s="74"/>
      <c r="U14" s="74"/>
      <c r="V14" s="74"/>
      <c r="W14" s="508"/>
      <c r="X14" s="74"/>
      <c r="Y14" s="74"/>
      <c r="Z14" s="74"/>
      <c r="AA14" s="74"/>
      <c r="AB14" s="74"/>
      <c r="AC14" s="74"/>
      <c r="AD14" s="508"/>
      <c r="AE14" s="74"/>
      <c r="AF14" s="74"/>
      <c r="AG14" s="74"/>
      <c r="AH14" s="74"/>
      <c r="AI14" s="74"/>
      <c r="AJ14" s="74"/>
      <c r="AK14" s="508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508"/>
      <c r="BG14" s="74"/>
      <c r="BH14" s="74"/>
      <c r="BI14" s="74"/>
      <c r="BJ14" s="74"/>
      <c r="BK14" s="74"/>
      <c r="BL14" s="74"/>
      <c r="BM14" s="508">
        <v>0</v>
      </c>
      <c r="BN14" s="74">
        <v>1047</v>
      </c>
      <c r="BO14" s="74">
        <v>1047</v>
      </c>
      <c r="BP14" s="74">
        <v>1047</v>
      </c>
      <c r="BQ14" s="74">
        <v>1047</v>
      </c>
      <c r="BR14" s="74">
        <v>1047</v>
      </c>
      <c r="BS14" s="74">
        <v>1046</v>
      </c>
      <c r="BT14" s="516">
        <f t="shared" si="38"/>
        <v>0</v>
      </c>
      <c r="BU14" s="239">
        <f t="shared" si="39"/>
        <v>1047</v>
      </c>
      <c r="BV14" s="239">
        <f t="shared" si="40"/>
        <v>1047</v>
      </c>
      <c r="BW14" s="239">
        <f t="shared" si="41"/>
        <v>1047</v>
      </c>
      <c r="BX14" s="239">
        <f t="shared" si="42"/>
        <v>1047</v>
      </c>
      <c r="BY14" s="239">
        <f t="shared" si="43"/>
        <v>1047</v>
      </c>
      <c r="BZ14" s="239">
        <f t="shared" si="43"/>
        <v>1046</v>
      </c>
      <c r="CA14" s="558">
        <f t="shared" si="44"/>
        <v>99.904489016236866</v>
      </c>
    </row>
    <row r="15" spans="1:79" x14ac:dyDescent="0.2">
      <c r="A15" s="55">
        <v>1107</v>
      </c>
      <c r="B15" s="8" t="s">
        <v>28</v>
      </c>
      <c r="C15" s="188"/>
      <c r="D15" s="8"/>
      <c r="E15" s="8"/>
      <c r="F15" s="8"/>
      <c r="G15" s="8"/>
      <c r="H15" s="8"/>
      <c r="I15" s="8"/>
      <c r="J15" s="11"/>
      <c r="K15" s="11"/>
      <c r="L15" s="11"/>
      <c r="M15" s="11"/>
      <c r="N15" s="11"/>
      <c r="O15" s="11"/>
      <c r="P15" s="188"/>
      <c r="Q15" s="11"/>
      <c r="R15" s="11"/>
      <c r="S15" s="11"/>
      <c r="T15" s="11"/>
      <c r="U15" s="11"/>
      <c r="V15" s="11"/>
      <c r="W15" s="188"/>
      <c r="X15" s="11"/>
      <c r="Y15" s="11"/>
      <c r="Z15" s="11"/>
      <c r="AA15" s="11"/>
      <c r="AB15" s="11"/>
      <c r="AC15" s="11"/>
      <c r="AD15" s="188">
        <v>288</v>
      </c>
      <c r="AE15" s="11">
        <v>216</v>
      </c>
      <c r="AF15" s="11">
        <v>216</v>
      </c>
      <c r="AG15" s="11">
        <v>216</v>
      </c>
      <c r="AH15" s="11">
        <f>216+16</f>
        <v>232</v>
      </c>
      <c r="AI15" s="11">
        <f>216+16</f>
        <v>232</v>
      </c>
      <c r="AJ15" s="11">
        <v>216</v>
      </c>
      <c r="AK15" s="188">
        <v>72</v>
      </c>
      <c r="AL15" s="11">
        <v>72</v>
      </c>
      <c r="AM15" s="11">
        <v>72</v>
      </c>
      <c r="AN15" s="11">
        <v>72</v>
      </c>
      <c r="AO15" s="11">
        <f>72+6</f>
        <v>78</v>
      </c>
      <c r="AP15" s="11">
        <f>72+6</f>
        <v>78</v>
      </c>
      <c r="AQ15" s="11">
        <v>72</v>
      </c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88">
        <v>96</v>
      </c>
      <c r="BG15" s="11">
        <v>96</v>
      </c>
      <c r="BH15" s="11">
        <v>96</v>
      </c>
      <c r="BI15" s="11">
        <v>96</v>
      </c>
      <c r="BJ15" s="11">
        <f>96+8</f>
        <v>104</v>
      </c>
      <c r="BK15" s="11">
        <f>96+8</f>
        <v>104</v>
      </c>
      <c r="BL15" s="11">
        <v>96</v>
      </c>
      <c r="BM15" s="188">
        <v>96</v>
      </c>
      <c r="BN15" s="11">
        <v>96</v>
      </c>
      <c r="BO15" s="11">
        <v>96</v>
      </c>
      <c r="BP15" s="11">
        <v>96</v>
      </c>
      <c r="BQ15" s="11">
        <f>96+8</f>
        <v>104</v>
      </c>
      <c r="BR15" s="11">
        <f>96+8</f>
        <v>104</v>
      </c>
      <c r="BS15" s="11">
        <v>96</v>
      </c>
      <c r="BT15" s="516">
        <f t="shared" si="38"/>
        <v>552</v>
      </c>
      <c r="BU15" s="239">
        <f t="shared" si="39"/>
        <v>480</v>
      </c>
      <c r="BV15" s="239">
        <f t="shared" si="40"/>
        <v>480</v>
      </c>
      <c r="BW15" s="239">
        <f t="shared" si="41"/>
        <v>480</v>
      </c>
      <c r="BX15" s="239">
        <f t="shared" si="42"/>
        <v>518</v>
      </c>
      <c r="BY15" s="239">
        <f t="shared" si="43"/>
        <v>518</v>
      </c>
      <c r="BZ15" s="239">
        <f t="shared" si="43"/>
        <v>480</v>
      </c>
      <c r="CA15" s="558">
        <f t="shared" si="44"/>
        <v>92.664092664092664</v>
      </c>
    </row>
    <row r="16" spans="1:79" hidden="1" x14ac:dyDescent="0.2">
      <c r="A16" s="55">
        <v>1109</v>
      </c>
      <c r="B16" s="47" t="s">
        <v>53</v>
      </c>
      <c r="C16" s="508"/>
      <c r="D16" s="190"/>
      <c r="E16" s="190"/>
      <c r="F16" s="190"/>
      <c r="G16" s="190"/>
      <c r="H16" s="190"/>
      <c r="I16" s="190"/>
      <c r="J16" s="74"/>
      <c r="K16" s="74"/>
      <c r="L16" s="74"/>
      <c r="M16" s="74"/>
      <c r="N16" s="74"/>
      <c r="O16" s="74"/>
      <c r="P16" s="508"/>
      <c r="Q16" s="74"/>
      <c r="R16" s="74"/>
      <c r="S16" s="74"/>
      <c r="T16" s="74"/>
      <c r="U16" s="74"/>
      <c r="V16" s="74"/>
      <c r="W16" s="508"/>
      <c r="X16" s="74"/>
      <c r="Y16" s="74"/>
      <c r="Z16" s="74"/>
      <c r="AA16" s="74"/>
      <c r="AB16" s="74"/>
      <c r="AC16" s="74"/>
      <c r="AD16" s="508"/>
      <c r="AE16" s="74"/>
      <c r="AF16" s="74"/>
      <c r="AG16" s="74"/>
      <c r="AH16" s="74"/>
      <c r="AI16" s="74"/>
      <c r="AJ16" s="74"/>
      <c r="AK16" s="508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508"/>
      <c r="BG16" s="74"/>
      <c r="BH16" s="74"/>
      <c r="BI16" s="74"/>
      <c r="BJ16" s="74"/>
      <c r="BK16" s="74"/>
      <c r="BL16" s="74"/>
      <c r="BM16" s="508"/>
      <c r="BN16" s="74"/>
      <c r="BO16" s="74"/>
      <c r="BP16" s="74"/>
      <c r="BQ16" s="74"/>
      <c r="BR16" s="74"/>
      <c r="BS16" s="74"/>
      <c r="BT16" s="516">
        <f t="shared" si="38"/>
        <v>0</v>
      </c>
      <c r="BU16" s="239">
        <f t="shared" si="39"/>
        <v>0</v>
      </c>
      <c r="BV16" s="239">
        <f t="shared" si="40"/>
        <v>0</v>
      </c>
      <c r="BW16" s="239">
        <f t="shared" si="41"/>
        <v>0</v>
      </c>
      <c r="BX16" s="239">
        <f t="shared" si="42"/>
        <v>0</v>
      </c>
      <c r="BY16" s="239">
        <f t="shared" si="43"/>
        <v>0</v>
      </c>
      <c r="BZ16" s="239">
        <f t="shared" si="43"/>
        <v>0</v>
      </c>
      <c r="CA16" s="558" t="e">
        <f t="shared" si="44"/>
        <v>#DIV/0!</v>
      </c>
    </row>
    <row r="17" spans="1:79" s="9" customFormat="1" x14ac:dyDescent="0.2">
      <c r="A17" s="55">
        <v>1113</v>
      </c>
      <c r="B17" s="8" t="s">
        <v>679</v>
      </c>
      <c r="C17" s="159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59"/>
      <c r="Q17" s="11"/>
      <c r="R17" s="11"/>
      <c r="S17" s="11"/>
      <c r="T17" s="11"/>
      <c r="U17" s="11"/>
      <c r="V17" s="11"/>
      <c r="W17" s="159"/>
      <c r="X17" s="11"/>
      <c r="Y17" s="11"/>
      <c r="Z17" s="11"/>
      <c r="AA17" s="11"/>
      <c r="AB17" s="11"/>
      <c r="AC17" s="11"/>
      <c r="AD17" s="159">
        <v>237</v>
      </c>
      <c r="AE17" s="11">
        <v>200</v>
      </c>
      <c r="AF17" s="11">
        <f>200+95</f>
        <v>295</v>
      </c>
      <c r="AG17" s="11">
        <f>200+95</f>
        <v>295</v>
      </c>
      <c r="AH17" s="11">
        <f>200+95</f>
        <v>295</v>
      </c>
      <c r="AI17" s="11">
        <f>200+95</f>
        <v>295</v>
      </c>
      <c r="AJ17" s="11">
        <v>237</v>
      </c>
      <c r="AK17" s="159">
        <v>0</v>
      </c>
      <c r="AL17" s="11">
        <v>150</v>
      </c>
      <c r="AM17" s="11">
        <f>150-25</f>
        <v>125</v>
      </c>
      <c r="AN17" s="11">
        <f>150-25</f>
        <v>125</v>
      </c>
      <c r="AO17" s="11">
        <f>150-25-89</f>
        <v>36</v>
      </c>
      <c r="AP17" s="11">
        <f>150-25-89</f>
        <v>36</v>
      </c>
      <c r="AQ17" s="11">
        <v>0</v>
      </c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59">
        <v>112</v>
      </c>
      <c r="BG17" s="11">
        <v>200</v>
      </c>
      <c r="BH17" s="11">
        <f>200-45</f>
        <v>155</v>
      </c>
      <c r="BI17" s="11">
        <f>200-45</f>
        <v>155</v>
      </c>
      <c r="BJ17" s="11">
        <f>200-45</f>
        <v>155</v>
      </c>
      <c r="BK17" s="11">
        <f>200-45</f>
        <v>155</v>
      </c>
      <c r="BL17" s="11">
        <v>0</v>
      </c>
      <c r="BM17" s="159">
        <v>135</v>
      </c>
      <c r="BN17" s="11">
        <v>150</v>
      </c>
      <c r="BO17" s="11">
        <f>150-25</f>
        <v>125</v>
      </c>
      <c r="BP17" s="11">
        <f>150-25</f>
        <v>125</v>
      </c>
      <c r="BQ17" s="11">
        <f>150-25</f>
        <v>125</v>
      </c>
      <c r="BR17" s="11">
        <f>150-25</f>
        <v>125</v>
      </c>
      <c r="BS17" s="11">
        <v>0</v>
      </c>
      <c r="BT17" s="516">
        <f t="shared" si="38"/>
        <v>484</v>
      </c>
      <c r="BU17" s="239">
        <f t="shared" si="39"/>
        <v>700</v>
      </c>
      <c r="BV17" s="239">
        <f t="shared" si="40"/>
        <v>700</v>
      </c>
      <c r="BW17" s="239">
        <f t="shared" si="41"/>
        <v>700</v>
      </c>
      <c r="BX17" s="239">
        <f t="shared" si="42"/>
        <v>611</v>
      </c>
      <c r="BY17" s="239">
        <f t="shared" si="43"/>
        <v>611</v>
      </c>
      <c r="BZ17" s="239">
        <f t="shared" si="43"/>
        <v>237</v>
      </c>
      <c r="CA17" s="558">
        <f t="shared" si="44"/>
        <v>38.788870703764324</v>
      </c>
    </row>
    <row r="18" spans="1:79" s="9" customFormat="1" ht="12.75" hidden="1" customHeight="1" x14ac:dyDescent="0.2">
      <c r="A18" s="55"/>
      <c r="B18" s="8"/>
      <c r="C18" s="188"/>
      <c r="D18" s="8"/>
      <c r="E18" s="8"/>
      <c r="F18" s="8"/>
      <c r="G18" s="8"/>
      <c r="H18" s="8"/>
      <c r="I18" s="8"/>
      <c r="J18" s="11"/>
      <c r="K18" s="11"/>
      <c r="L18" s="11"/>
      <c r="M18" s="11">
        <v>0</v>
      </c>
      <c r="N18" s="11"/>
      <c r="O18" s="11">
        <v>0</v>
      </c>
      <c r="P18" s="188"/>
      <c r="Q18" s="11"/>
      <c r="R18" s="11"/>
      <c r="S18" s="11"/>
      <c r="T18" s="11"/>
      <c r="U18" s="11"/>
      <c r="V18" s="11"/>
      <c r="W18" s="188"/>
      <c r="X18" s="11"/>
      <c r="Y18" s="11"/>
      <c r="Z18" s="11"/>
      <c r="AA18" s="11"/>
      <c r="AB18" s="11"/>
      <c r="AC18" s="11"/>
      <c r="AD18" s="188"/>
      <c r="AE18" s="11"/>
      <c r="AF18" s="11"/>
      <c r="AG18" s="11"/>
      <c r="AH18" s="11"/>
      <c r="AI18" s="11"/>
      <c r="AJ18" s="11"/>
      <c r="AK18" s="188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88"/>
      <c r="BG18" s="11"/>
      <c r="BH18" s="11"/>
      <c r="BI18" s="11"/>
      <c r="BJ18" s="11"/>
      <c r="BK18" s="11"/>
      <c r="BL18" s="11"/>
      <c r="BM18" s="188"/>
      <c r="BN18" s="11"/>
      <c r="BO18" s="11"/>
      <c r="BP18" s="11"/>
      <c r="BQ18" s="11"/>
      <c r="BR18" s="11"/>
      <c r="BS18" s="11"/>
      <c r="BT18" s="516">
        <f t="shared" si="38"/>
        <v>0</v>
      </c>
      <c r="BU18" s="239">
        <f t="shared" si="39"/>
        <v>0</v>
      </c>
      <c r="BV18" s="239">
        <f t="shared" si="40"/>
        <v>0</v>
      </c>
      <c r="BW18" s="239">
        <f t="shared" si="41"/>
        <v>0</v>
      </c>
      <c r="BX18" s="239">
        <f t="shared" si="42"/>
        <v>0</v>
      </c>
      <c r="BY18" s="239">
        <f t="shared" si="43"/>
        <v>0</v>
      </c>
      <c r="BZ18" s="239">
        <f t="shared" si="43"/>
        <v>0</v>
      </c>
      <c r="CA18" s="558" t="e">
        <f t="shared" si="44"/>
        <v>#DIV/0!</v>
      </c>
    </row>
    <row r="19" spans="1:79" s="9" customFormat="1" ht="12.75" hidden="1" customHeight="1" x14ac:dyDescent="0.2">
      <c r="A19" s="55"/>
      <c r="B19" s="8"/>
      <c r="C19" s="159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59"/>
      <c r="Q19" s="11"/>
      <c r="R19" s="11"/>
      <c r="S19" s="11"/>
      <c r="T19" s="11"/>
      <c r="U19" s="11"/>
      <c r="V19" s="11"/>
      <c r="W19" s="159"/>
      <c r="X19" s="11"/>
      <c r="Y19" s="11"/>
      <c r="Z19" s="11"/>
      <c r="AA19" s="11"/>
      <c r="AB19" s="11"/>
      <c r="AC19" s="11"/>
      <c r="AD19" s="159"/>
      <c r="AE19" s="11"/>
      <c r="AF19" s="11"/>
      <c r="AG19" s="11"/>
      <c r="AH19" s="11"/>
      <c r="AI19" s="11"/>
      <c r="AJ19" s="11"/>
      <c r="AK19" s="159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59"/>
      <c r="BG19" s="11"/>
      <c r="BH19" s="11"/>
      <c r="BI19" s="11"/>
      <c r="BJ19" s="11"/>
      <c r="BK19" s="11"/>
      <c r="BL19" s="11"/>
      <c r="BM19" s="159"/>
      <c r="BN19" s="11"/>
      <c r="BO19" s="11"/>
      <c r="BP19" s="11"/>
      <c r="BQ19" s="11"/>
      <c r="BR19" s="11"/>
      <c r="BS19" s="11"/>
      <c r="BT19" s="516">
        <f t="shared" si="38"/>
        <v>0</v>
      </c>
      <c r="BU19" s="239">
        <f t="shared" si="39"/>
        <v>0</v>
      </c>
      <c r="BV19" s="239">
        <f t="shared" si="40"/>
        <v>0</v>
      </c>
      <c r="BW19" s="239">
        <f t="shared" si="41"/>
        <v>0</v>
      </c>
      <c r="BX19" s="239">
        <f t="shared" si="42"/>
        <v>0</v>
      </c>
      <c r="BY19" s="239">
        <f t="shared" si="43"/>
        <v>0</v>
      </c>
      <c r="BZ19" s="239">
        <f t="shared" si="43"/>
        <v>0</v>
      </c>
      <c r="CA19" s="558" t="e">
        <f t="shared" si="44"/>
        <v>#DIV/0!</v>
      </c>
    </row>
    <row r="20" spans="1:79" s="9" customFormat="1" x14ac:dyDescent="0.2">
      <c r="A20" s="230" t="s">
        <v>231</v>
      </c>
      <c r="B20" s="14" t="s">
        <v>259</v>
      </c>
      <c r="C20" s="403">
        <f t="shared" ref="C20:E20" si="45">SUM(C21:C31)</f>
        <v>29865</v>
      </c>
      <c r="D20" s="6">
        <f t="shared" ref="D20" si="46">SUM(D21:D31)</f>
        <v>43823</v>
      </c>
      <c r="E20" s="6">
        <f t="shared" si="45"/>
        <v>50117</v>
      </c>
      <c r="F20" s="6">
        <f t="shared" ref="F20:G20" si="47">SUM(F21:F31)</f>
        <v>50117</v>
      </c>
      <c r="G20" s="6">
        <f t="shared" si="47"/>
        <v>50133</v>
      </c>
      <c r="H20" s="6">
        <f t="shared" ref="H20:I20" si="48">SUM(H21:H31)</f>
        <v>50133</v>
      </c>
      <c r="I20" s="6">
        <f t="shared" si="48"/>
        <v>49758</v>
      </c>
      <c r="J20" s="6">
        <f t="shared" ref="J20:AD20" si="49">SUM(J21:J31)</f>
        <v>0</v>
      </c>
      <c r="K20" s="6">
        <f t="shared" si="49"/>
        <v>0</v>
      </c>
      <c r="L20" s="6">
        <f t="shared" si="49"/>
        <v>0</v>
      </c>
      <c r="M20" s="6">
        <f t="shared" si="49"/>
        <v>0</v>
      </c>
      <c r="N20" s="6"/>
      <c r="O20" s="6">
        <f t="shared" si="49"/>
        <v>0</v>
      </c>
      <c r="P20" s="403">
        <f t="shared" si="49"/>
        <v>0</v>
      </c>
      <c r="Q20" s="6">
        <f t="shared" ref="Q20" si="50">SUM(Q21:Q31)</f>
        <v>0</v>
      </c>
      <c r="R20" s="6">
        <f t="shared" ref="R20:S20" si="51">SUM(R21:R31)</f>
        <v>0</v>
      </c>
      <c r="S20" s="6">
        <f t="shared" si="51"/>
        <v>0</v>
      </c>
      <c r="T20" s="6">
        <f t="shared" ref="T20" si="52">SUM(T21:T31)</f>
        <v>0</v>
      </c>
      <c r="U20" s="6">
        <f t="shared" ref="U20:V20" si="53">SUM(U21:U31)</f>
        <v>0</v>
      </c>
      <c r="V20" s="6">
        <f t="shared" si="53"/>
        <v>0</v>
      </c>
      <c r="W20" s="403">
        <f t="shared" si="49"/>
        <v>1182</v>
      </c>
      <c r="X20" s="6">
        <f t="shared" ref="X20" si="54">SUM(X21:X31)</f>
        <v>1440</v>
      </c>
      <c r="Y20" s="6">
        <f t="shared" ref="Y20:AA20" si="55">SUM(Y21:Y31)</f>
        <v>1429</v>
      </c>
      <c r="Z20" s="6">
        <f t="shared" si="55"/>
        <v>1429</v>
      </c>
      <c r="AA20" s="6">
        <f t="shared" si="55"/>
        <v>1429</v>
      </c>
      <c r="AB20" s="6">
        <f t="shared" ref="AB20:AC20" si="56">SUM(AB21:AB31)</f>
        <v>1429</v>
      </c>
      <c r="AC20" s="6">
        <f t="shared" si="56"/>
        <v>1398</v>
      </c>
      <c r="AD20" s="403">
        <f t="shared" si="49"/>
        <v>0</v>
      </c>
      <c r="AE20" s="6">
        <f t="shared" ref="AE20" si="57">SUM(AE21:AE31)</f>
        <v>0</v>
      </c>
      <c r="AF20" s="6">
        <f t="shared" ref="AF20:AH20" si="58">SUM(AF21:AF31)</f>
        <v>0</v>
      </c>
      <c r="AG20" s="6">
        <f t="shared" si="58"/>
        <v>0</v>
      </c>
      <c r="AH20" s="6">
        <f t="shared" si="58"/>
        <v>0</v>
      </c>
      <c r="AI20" s="6">
        <f t="shared" ref="AI20:AJ20" si="59">SUM(AI21:AI31)</f>
        <v>0</v>
      </c>
      <c r="AJ20" s="6">
        <f t="shared" si="59"/>
        <v>0</v>
      </c>
      <c r="AK20" s="403">
        <f t="shared" ref="AK20:BM20" si="60">SUM(AK21:AK31)</f>
        <v>93</v>
      </c>
      <c r="AL20" s="6">
        <f t="shared" ref="AL20" si="61">SUM(AL21:AL31)</f>
        <v>225</v>
      </c>
      <c r="AM20" s="6">
        <f t="shared" ref="AM20" si="62">SUM(AM21:AM31)</f>
        <v>225</v>
      </c>
      <c r="AN20" s="6">
        <f t="shared" ref="AN20:AO20" si="63">SUM(AN21:AN31)</f>
        <v>225</v>
      </c>
      <c r="AO20" s="6">
        <f t="shared" si="63"/>
        <v>225</v>
      </c>
      <c r="AP20" s="6">
        <f t="shared" ref="AP20:AQ20" si="64">SUM(AP21:AP31)</f>
        <v>225</v>
      </c>
      <c r="AQ20" s="6">
        <f t="shared" si="64"/>
        <v>189</v>
      </c>
      <c r="AR20" s="6">
        <f t="shared" si="60"/>
        <v>0</v>
      </c>
      <c r="AS20" s="6"/>
      <c r="AT20" s="6">
        <f t="shared" si="60"/>
        <v>0</v>
      </c>
      <c r="AU20" s="6">
        <f t="shared" si="60"/>
        <v>0</v>
      </c>
      <c r="AV20" s="6">
        <f t="shared" si="60"/>
        <v>0</v>
      </c>
      <c r="AW20" s="6"/>
      <c r="AX20" s="6">
        <f t="shared" si="60"/>
        <v>0</v>
      </c>
      <c r="AY20" s="6">
        <f t="shared" si="60"/>
        <v>0</v>
      </c>
      <c r="AZ20" s="6"/>
      <c r="BA20" s="6">
        <f t="shared" si="60"/>
        <v>0</v>
      </c>
      <c r="BB20" s="6">
        <f t="shared" si="60"/>
        <v>0</v>
      </c>
      <c r="BC20" s="6">
        <f t="shared" si="60"/>
        <v>0</v>
      </c>
      <c r="BD20" s="6"/>
      <c r="BE20" s="6">
        <f t="shared" si="60"/>
        <v>0</v>
      </c>
      <c r="BF20" s="403">
        <f t="shared" si="60"/>
        <v>471</v>
      </c>
      <c r="BG20" s="6">
        <f t="shared" ref="BG20" si="65">SUM(BG21:BG31)</f>
        <v>500</v>
      </c>
      <c r="BH20" s="6">
        <f t="shared" ref="BH20" si="66">SUM(BH21:BH31)</f>
        <v>415</v>
      </c>
      <c r="BI20" s="6">
        <f t="shared" ref="BI20:BJ20" si="67">SUM(BI21:BI31)</f>
        <v>415</v>
      </c>
      <c r="BJ20" s="6">
        <f t="shared" si="67"/>
        <v>415</v>
      </c>
      <c r="BK20" s="6">
        <f t="shared" ref="BK20:BL20" si="68">SUM(BK21:BK31)</f>
        <v>415</v>
      </c>
      <c r="BL20" s="6">
        <f t="shared" si="68"/>
        <v>412</v>
      </c>
      <c r="BM20" s="403">
        <f t="shared" si="60"/>
        <v>614</v>
      </c>
      <c r="BN20" s="6">
        <f t="shared" ref="BN20" si="69">SUM(BN21:BN31)</f>
        <v>1200</v>
      </c>
      <c r="BO20" s="6">
        <f t="shared" ref="BO20" si="70">SUM(BO21:BO31)</f>
        <v>1801</v>
      </c>
      <c r="BP20" s="6">
        <f t="shared" ref="BP20:BQ20" si="71">SUM(BP21:BP31)</f>
        <v>1801</v>
      </c>
      <c r="BQ20" s="6">
        <f t="shared" si="71"/>
        <v>2301</v>
      </c>
      <c r="BR20" s="6">
        <f t="shared" ref="BR20:BS20" si="72">SUM(BR21:BR31)</f>
        <v>2301</v>
      </c>
      <c r="BS20" s="6">
        <f t="shared" si="72"/>
        <v>2096</v>
      </c>
      <c r="BT20" s="515">
        <f t="shared" si="38"/>
        <v>32225</v>
      </c>
      <c r="BU20" s="240">
        <f t="shared" si="39"/>
        <v>47188</v>
      </c>
      <c r="BV20" s="240">
        <f t="shared" si="40"/>
        <v>53987</v>
      </c>
      <c r="BW20" s="240">
        <f t="shared" si="41"/>
        <v>53987</v>
      </c>
      <c r="BX20" s="240">
        <f t="shared" si="42"/>
        <v>54503</v>
      </c>
      <c r="BY20" s="240">
        <f t="shared" si="43"/>
        <v>54503</v>
      </c>
      <c r="BZ20" s="240">
        <f t="shared" si="43"/>
        <v>53853</v>
      </c>
      <c r="CA20" s="558">
        <f t="shared" si="44"/>
        <v>98.807405096967145</v>
      </c>
    </row>
    <row r="21" spans="1:79" s="9" customFormat="1" x14ac:dyDescent="0.2">
      <c r="A21" s="55">
        <v>121</v>
      </c>
      <c r="B21" s="8" t="s">
        <v>666</v>
      </c>
      <c r="C21" s="508">
        <v>14040</v>
      </c>
      <c r="D21" s="190">
        <f>15906+3443</f>
        <v>19349</v>
      </c>
      <c r="E21" s="190">
        <f>(15906+1972)+3443</f>
        <v>21321</v>
      </c>
      <c r="F21" s="190">
        <f>(15906+1972)+3443</f>
        <v>21321</v>
      </c>
      <c r="G21" s="190">
        <f>(15906+1972)+3443</f>
        <v>21321</v>
      </c>
      <c r="H21" s="190">
        <f>(15906+1972)+3443</f>
        <v>21321</v>
      </c>
      <c r="I21" s="190">
        <v>21320</v>
      </c>
      <c r="J21" s="6"/>
      <c r="K21" s="6"/>
      <c r="L21" s="6"/>
      <c r="M21" s="6"/>
      <c r="N21" s="6"/>
      <c r="O21" s="6"/>
      <c r="P21" s="508"/>
      <c r="Q21" s="6"/>
      <c r="R21" s="6"/>
      <c r="S21" s="6"/>
      <c r="T21" s="6"/>
      <c r="U21" s="6"/>
      <c r="V21" s="6"/>
      <c r="W21" s="508"/>
      <c r="X21" s="6"/>
      <c r="Y21" s="6"/>
      <c r="Z21" s="6"/>
      <c r="AA21" s="6"/>
      <c r="AB21" s="6"/>
      <c r="AC21" s="6"/>
      <c r="AD21" s="508"/>
      <c r="AE21" s="6"/>
      <c r="AF21" s="6"/>
      <c r="AG21" s="6"/>
      <c r="AH21" s="6"/>
      <c r="AI21" s="6"/>
      <c r="AJ21" s="6"/>
      <c r="AK21" s="508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508"/>
      <c r="BG21" s="6"/>
      <c r="BH21" s="6"/>
      <c r="BI21" s="6"/>
      <c r="BJ21" s="6"/>
      <c r="BK21" s="6"/>
      <c r="BL21" s="6"/>
      <c r="BM21" s="508"/>
      <c r="BN21" s="6"/>
      <c r="BO21" s="6"/>
      <c r="BP21" s="6"/>
      <c r="BQ21" s="6"/>
      <c r="BR21" s="6"/>
      <c r="BS21" s="6"/>
      <c r="BT21" s="517">
        <f t="shared" si="38"/>
        <v>14040</v>
      </c>
      <c r="BU21" s="318">
        <f t="shared" si="39"/>
        <v>19349</v>
      </c>
      <c r="BV21" s="318">
        <f t="shared" si="40"/>
        <v>21321</v>
      </c>
      <c r="BW21" s="318">
        <f t="shared" si="41"/>
        <v>21321</v>
      </c>
      <c r="BX21" s="318">
        <f t="shared" si="42"/>
        <v>21321</v>
      </c>
      <c r="BY21" s="318">
        <f t="shared" si="43"/>
        <v>21321</v>
      </c>
      <c r="BZ21" s="318">
        <f t="shared" si="43"/>
        <v>21320</v>
      </c>
      <c r="CA21" s="558">
        <f t="shared" si="44"/>
        <v>99.995309788471459</v>
      </c>
    </row>
    <row r="22" spans="1:79" s="9" customFormat="1" x14ac:dyDescent="0.2">
      <c r="A22" s="55">
        <v>121</v>
      </c>
      <c r="B22" s="129" t="s">
        <v>366</v>
      </c>
      <c r="C22" s="508">
        <v>1706</v>
      </c>
      <c r="D22" s="190">
        <v>3826</v>
      </c>
      <c r="E22" s="190">
        <f>3826+296+14</f>
        <v>4136</v>
      </c>
      <c r="F22" s="190">
        <f>3826+296+14</f>
        <v>4136</v>
      </c>
      <c r="G22" s="190">
        <f>3826+296+14</f>
        <v>4136</v>
      </c>
      <c r="H22" s="190">
        <f>3826+296+14</f>
        <v>4136</v>
      </c>
      <c r="I22" s="190">
        <v>4136</v>
      </c>
      <c r="J22" s="6"/>
      <c r="K22" s="6"/>
      <c r="L22" s="6"/>
      <c r="M22" s="6"/>
      <c r="N22" s="6"/>
      <c r="O22" s="6"/>
      <c r="P22" s="508"/>
      <c r="Q22" s="6"/>
      <c r="R22" s="6"/>
      <c r="S22" s="6"/>
      <c r="T22" s="6"/>
      <c r="U22" s="6"/>
      <c r="V22" s="6"/>
      <c r="W22" s="508"/>
      <c r="X22" s="6"/>
      <c r="Y22" s="6"/>
      <c r="Z22" s="6"/>
      <c r="AA22" s="6"/>
      <c r="AB22" s="6"/>
      <c r="AC22" s="6"/>
      <c r="AD22" s="508"/>
      <c r="AE22" s="6"/>
      <c r="AF22" s="6"/>
      <c r="AG22" s="6"/>
      <c r="AH22" s="6"/>
      <c r="AI22" s="6"/>
      <c r="AJ22" s="6"/>
      <c r="AK22" s="508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508"/>
      <c r="BG22" s="6"/>
      <c r="BH22" s="6"/>
      <c r="BI22" s="6"/>
      <c r="BJ22" s="6"/>
      <c r="BK22" s="6"/>
      <c r="BL22" s="6"/>
      <c r="BM22" s="508"/>
      <c r="BN22" s="6"/>
      <c r="BO22" s="6"/>
      <c r="BP22" s="6"/>
      <c r="BQ22" s="6"/>
      <c r="BR22" s="6"/>
      <c r="BS22" s="6"/>
      <c r="BT22" s="517">
        <f t="shared" si="38"/>
        <v>1706</v>
      </c>
      <c r="BU22" s="318">
        <f t="shared" si="39"/>
        <v>3826</v>
      </c>
      <c r="BV22" s="318">
        <f t="shared" si="40"/>
        <v>4136</v>
      </c>
      <c r="BW22" s="318">
        <f t="shared" si="41"/>
        <v>4136</v>
      </c>
      <c r="BX22" s="318">
        <f t="shared" si="42"/>
        <v>4136</v>
      </c>
      <c r="BY22" s="318">
        <f t="shared" si="43"/>
        <v>4136</v>
      </c>
      <c r="BZ22" s="318">
        <f t="shared" si="43"/>
        <v>4136</v>
      </c>
      <c r="CA22" s="558">
        <f t="shared" si="44"/>
        <v>100</v>
      </c>
    </row>
    <row r="23" spans="1:79" s="9" customFormat="1" x14ac:dyDescent="0.2">
      <c r="A23" s="55">
        <v>121</v>
      </c>
      <c r="B23" s="129" t="s">
        <v>704</v>
      </c>
      <c r="C23" s="508">
        <v>1300</v>
      </c>
      <c r="D23" s="190">
        <v>9600</v>
      </c>
      <c r="E23" s="190">
        <f>9600+94</f>
        <v>9694</v>
      </c>
      <c r="F23" s="190">
        <f>9600+94</f>
        <v>9694</v>
      </c>
      <c r="G23" s="190">
        <f>9600+94</f>
        <v>9694</v>
      </c>
      <c r="H23" s="190">
        <f>9600+94</f>
        <v>9694</v>
      </c>
      <c r="I23" s="190">
        <v>9693</v>
      </c>
      <c r="J23" s="6"/>
      <c r="K23" s="6"/>
      <c r="L23" s="6"/>
      <c r="M23" s="6"/>
      <c r="N23" s="6"/>
      <c r="O23" s="6"/>
      <c r="P23" s="508"/>
      <c r="Q23" s="6"/>
      <c r="R23" s="6"/>
      <c r="S23" s="6"/>
      <c r="T23" s="6"/>
      <c r="U23" s="6"/>
      <c r="V23" s="6"/>
      <c r="W23" s="508"/>
      <c r="X23" s="6"/>
      <c r="Y23" s="6"/>
      <c r="Z23" s="6"/>
      <c r="AA23" s="6"/>
      <c r="AB23" s="6"/>
      <c r="AC23" s="6"/>
      <c r="AD23" s="508"/>
      <c r="AE23" s="6"/>
      <c r="AF23" s="6"/>
      <c r="AG23" s="6"/>
      <c r="AH23" s="6"/>
      <c r="AI23" s="6"/>
      <c r="AJ23" s="6"/>
      <c r="AK23" s="508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508"/>
      <c r="BG23" s="6"/>
      <c r="BH23" s="6"/>
      <c r="BI23" s="6"/>
      <c r="BJ23" s="6"/>
      <c r="BK23" s="6"/>
      <c r="BL23" s="6"/>
      <c r="BM23" s="508"/>
      <c r="BN23" s="6"/>
      <c r="BO23" s="6"/>
      <c r="BP23" s="6"/>
      <c r="BQ23" s="6"/>
      <c r="BR23" s="6"/>
      <c r="BS23" s="6"/>
      <c r="BT23" s="517">
        <f t="shared" si="38"/>
        <v>1300</v>
      </c>
      <c r="BU23" s="318">
        <f t="shared" si="39"/>
        <v>9600</v>
      </c>
      <c r="BV23" s="318">
        <f t="shared" si="40"/>
        <v>9694</v>
      </c>
      <c r="BW23" s="318">
        <f t="shared" si="41"/>
        <v>9694</v>
      </c>
      <c r="BX23" s="318">
        <f t="shared" si="42"/>
        <v>9694</v>
      </c>
      <c r="BY23" s="318">
        <f t="shared" si="43"/>
        <v>9694</v>
      </c>
      <c r="BZ23" s="318">
        <f t="shared" si="43"/>
        <v>9693</v>
      </c>
      <c r="CA23" s="558">
        <f t="shared" si="44"/>
        <v>99.989684340829371</v>
      </c>
    </row>
    <row r="24" spans="1:79" s="9" customFormat="1" x14ac:dyDescent="0.2">
      <c r="A24" s="55">
        <v>121</v>
      </c>
      <c r="B24" s="8" t="s">
        <v>28</v>
      </c>
      <c r="C24" s="159">
        <v>188</v>
      </c>
      <c r="D24" s="11">
        <v>188</v>
      </c>
      <c r="E24" s="11">
        <v>188</v>
      </c>
      <c r="F24" s="11">
        <v>188</v>
      </c>
      <c r="G24" s="11">
        <f>188+16</f>
        <v>204</v>
      </c>
      <c r="H24" s="11">
        <f>188+16</f>
        <v>204</v>
      </c>
      <c r="I24" s="11">
        <v>188</v>
      </c>
      <c r="J24" s="11"/>
      <c r="K24" s="11"/>
      <c r="L24" s="11"/>
      <c r="M24" s="11"/>
      <c r="N24" s="11"/>
      <c r="O24" s="11"/>
      <c r="P24" s="159"/>
      <c r="Q24" s="6"/>
      <c r="R24" s="6"/>
      <c r="S24" s="6"/>
      <c r="T24" s="6"/>
      <c r="U24" s="6"/>
      <c r="V24" s="6"/>
      <c r="W24" s="159"/>
      <c r="X24" s="6"/>
      <c r="Y24" s="6"/>
      <c r="Z24" s="6"/>
      <c r="AA24" s="6"/>
      <c r="AB24" s="6"/>
      <c r="AC24" s="6"/>
      <c r="AD24" s="159"/>
      <c r="AE24" s="6"/>
      <c r="AF24" s="6"/>
      <c r="AG24" s="6"/>
      <c r="AH24" s="6"/>
      <c r="AI24" s="6"/>
      <c r="AJ24" s="6"/>
      <c r="AK24" s="159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159"/>
      <c r="BG24" s="6"/>
      <c r="BH24" s="6"/>
      <c r="BI24" s="6"/>
      <c r="BJ24" s="6"/>
      <c r="BK24" s="6"/>
      <c r="BL24" s="6"/>
      <c r="BM24" s="159"/>
      <c r="BN24" s="6"/>
      <c r="BO24" s="6"/>
      <c r="BP24" s="6"/>
      <c r="BQ24" s="6"/>
      <c r="BR24" s="6"/>
      <c r="BS24" s="6"/>
      <c r="BT24" s="517">
        <f t="shared" si="38"/>
        <v>188</v>
      </c>
      <c r="BU24" s="318">
        <f t="shared" si="39"/>
        <v>188</v>
      </c>
      <c r="BV24" s="318">
        <f t="shared" si="40"/>
        <v>188</v>
      </c>
      <c r="BW24" s="318">
        <f t="shared" si="41"/>
        <v>188</v>
      </c>
      <c r="BX24" s="318">
        <f t="shared" si="42"/>
        <v>204</v>
      </c>
      <c r="BY24" s="318">
        <f t="shared" si="43"/>
        <v>204</v>
      </c>
      <c r="BZ24" s="318">
        <f t="shared" si="43"/>
        <v>188</v>
      </c>
      <c r="CA24" s="558">
        <f t="shared" si="44"/>
        <v>92.156862745098039</v>
      </c>
    </row>
    <row r="25" spans="1:79" s="9" customFormat="1" x14ac:dyDescent="0.2">
      <c r="A25" s="55">
        <v>121</v>
      </c>
      <c r="B25" s="8" t="s">
        <v>705</v>
      </c>
      <c r="C25" s="159">
        <v>5865</v>
      </c>
      <c r="D25" s="11">
        <v>3720</v>
      </c>
      <c r="E25" s="11">
        <f>3720+3416</f>
        <v>7136</v>
      </c>
      <c r="F25" s="11">
        <f>3720+3416</f>
        <v>7136</v>
      </c>
      <c r="G25" s="11">
        <f>3720+3416</f>
        <v>7136</v>
      </c>
      <c r="H25" s="11">
        <f>3720+3416</f>
        <v>7136</v>
      </c>
      <c r="I25" s="11">
        <v>7136</v>
      </c>
      <c r="J25" s="11"/>
      <c r="K25" s="11"/>
      <c r="L25" s="11"/>
      <c r="M25" s="11"/>
      <c r="N25" s="11"/>
      <c r="O25" s="11"/>
      <c r="P25" s="159"/>
      <c r="Q25" s="6"/>
      <c r="R25" s="6"/>
      <c r="S25" s="6"/>
      <c r="T25" s="6"/>
      <c r="U25" s="6"/>
      <c r="V25" s="6"/>
      <c r="W25" s="159"/>
      <c r="X25" s="6"/>
      <c r="Y25" s="6"/>
      <c r="Z25" s="6"/>
      <c r="AA25" s="6"/>
      <c r="AB25" s="6"/>
      <c r="AC25" s="6"/>
      <c r="AD25" s="159"/>
      <c r="AE25" s="6"/>
      <c r="AF25" s="6"/>
      <c r="AG25" s="6"/>
      <c r="AH25" s="6"/>
      <c r="AI25" s="6"/>
      <c r="AJ25" s="6"/>
      <c r="AK25" s="159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159"/>
      <c r="BG25" s="6"/>
      <c r="BH25" s="6"/>
      <c r="BI25" s="6"/>
      <c r="BJ25" s="6"/>
      <c r="BK25" s="6"/>
      <c r="BL25" s="6"/>
      <c r="BM25" s="159"/>
      <c r="BN25" s="6"/>
      <c r="BO25" s="6"/>
      <c r="BP25" s="6"/>
      <c r="BQ25" s="6"/>
      <c r="BR25" s="6"/>
      <c r="BS25" s="6"/>
      <c r="BT25" s="517">
        <f t="shared" si="38"/>
        <v>5865</v>
      </c>
      <c r="BU25" s="318">
        <f t="shared" si="39"/>
        <v>3720</v>
      </c>
      <c r="BV25" s="318">
        <f t="shared" si="40"/>
        <v>7136</v>
      </c>
      <c r="BW25" s="318">
        <f t="shared" si="41"/>
        <v>7136</v>
      </c>
      <c r="BX25" s="318">
        <f t="shared" si="42"/>
        <v>7136</v>
      </c>
      <c r="BY25" s="318">
        <f t="shared" si="43"/>
        <v>7136</v>
      </c>
      <c r="BZ25" s="318">
        <f t="shared" si="43"/>
        <v>7136</v>
      </c>
      <c r="CA25" s="558">
        <f t="shared" si="44"/>
        <v>100</v>
      </c>
    </row>
    <row r="26" spans="1:79" s="9" customFormat="1" hidden="1" x14ac:dyDescent="0.2">
      <c r="A26" s="55">
        <v>121</v>
      </c>
      <c r="B26" s="8" t="s">
        <v>663</v>
      </c>
      <c r="C26" s="159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/>
      <c r="K26" s="11"/>
      <c r="L26" s="11"/>
      <c r="M26" s="11"/>
      <c r="N26" s="11"/>
      <c r="O26" s="11"/>
      <c r="P26" s="159"/>
      <c r="Q26" s="6"/>
      <c r="R26" s="6"/>
      <c r="S26" s="6"/>
      <c r="T26" s="6"/>
      <c r="U26" s="6"/>
      <c r="V26" s="6"/>
      <c r="W26" s="159"/>
      <c r="X26" s="6"/>
      <c r="Y26" s="6"/>
      <c r="Z26" s="6"/>
      <c r="AA26" s="6"/>
      <c r="AB26" s="6"/>
      <c r="AC26" s="6"/>
      <c r="AD26" s="159"/>
      <c r="AE26" s="6"/>
      <c r="AF26" s="6"/>
      <c r="AG26" s="6"/>
      <c r="AH26" s="6"/>
      <c r="AI26" s="6"/>
      <c r="AJ26" s="6"/>
      <c r="AK26" s="159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159"/>
      <c r="BG26" s="6"/>
      <c r="BH26" s="6"/>
      <c r="BI26" s="6"/>
      <c r="BJ26" s="6"/>
      <c r="BK26" s="6"/>
      <c r="BL26" s="6"/>
      <c r="BM26" s="159"/>
      <c r="BN26" s="6"/>
      <c r="BO26" s="6"/>
      <c r="BP26" s="6"/>
      <c r="BQ26" s="6"/>
      <c r="BR26" s="6"/>
      <c r="BS26" s="6"/>
      <c r="BT26" s="517">
        <f t="shared" si="38"/>
        <v>0</v>
      </c>
      <c r="BU26" s="318">
        <f t="shared" si="39"/>
        <v>0</v>
      </c>
      <c r="BV26" s="318">
        <f t="shared" si="40"/>
        <v>0</v>
      </c>
      <c r="BW26" s="318">
        <f t="shared" si="41"/>
        <v>0</v>
      </c>
      <c r="BX26" s="318">
        <f t="shared" si="42"/>
        <v>0</v>
      </c>
      <c r="BY26" s="318">
        <f t="shared" si="43"/>
        <v>0</v>
      </c>
      <c r="BZ26" s="318">
        <f t="shared" si="43"/>
        <v>0</v>
      </c>
      <c r="CA26" s="558" t="e">
        <f t="shared" si="44"/>
        <v>#DIV/0!</v>
      </c>
    </row>
    <row r="27" spans="1:79" s="9" customFormat="1" x14ac:dyDescent="0.2">
      <c r="A27" s="55">
        <v>122</v>
      </c>
      <c r="B27" s="8" t="s">
        <v>609</v>
      </c>
      <c r="C27" s="159">
        <v>5040</v>
      </c>
      <c r="D27" s="11">
        <v>5040</v>
      </c>
      <c r="E27" s="11">
        <v>5040</v>
      </c>
      <c r="F27" s="11">
        <v>5040</v>
      </c>
      <c r="G27" s="11">
        <v>5040</v>
      </c>
      <c r="H27" s="11">
        <v>5040</v>
      </c>
      <c r="I27" s="11">
        <v>5040</v>
      </c>
      <c r="J27" s="11"/>
      <c r="K27" s="11"/>
      <c r="L27" s="11"/>
      <c r="M27" s="11"/>
      <c r="N27" s="11"/>
      <c r="O27" s="11"/>
      <c r="P27" s="159"/>
      <c r="Q27" s="6"/>
      <c r="R27" s="6"/>
      <c r="S27" s="6"/>
      <c r="T27" s="6"/>
      <c r="U27" s="6"/>
      <c r="V27" s="6"/>
      <c r="W27" s="159"/>
      <c r="X27" s="11"/>
      <c r="Y27" s="11"/>
      <c r="Z27" s="11"/>
      <c r="AA27" s="11"/>
      <c r="AB27" s="11"/>
      <c r="AC27" s="11"/>
      <c r="AD27" s="159"/>
      <c r="AE27" s="11"/>
      <c r="AF27" s="11"/>
      <c r="AG27" s="11"/>
      <c r="AH27" s="11"/>
      <c r="AI27" s="11"/>
      <c r="AJ27" s="11"/>
      <c r="AK27" s="159"/>
      <c r="AL27" s="11"/>
      <c r="AM27" s="11"/>
      <c r="AN27" s="11"/>
      <c r="AO27" s="11"/>
      <c r="AP27" s="11"/>
      <c r="AQ27" s="11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159"/>
      <c r="BG27" s="6"/>
      <c r="BH27" s="6"/>
      <c r="BI27" s="6"/>
      <c r="BJ27" s="6"/>
      <c r="BK27" s="6"/>
      <c r="BL27" s="6"/>
      <c r="BM27" s="159"/>
      <c r="BN27" s="6"/>
      <c r="BO27" s="6"/>
      <c r="BP27" s="6"/>
      <c r="BQ27" s="6"/>
      <c r="BR27" s="6"/>
      <c r="BS27" s="6"/>
      <c r="BT27" s="517">
        <f t="shared" si="38"/>
        <v>5040</v>
      </c>
      <c r="BU27" s="318">
        <f t="shared" si="39"/>
        <v>5040</v>
      </c>
      <c r="BV27" s="318">
        <f t="shared" si="40"/>
        <v>5040</v>
      </c>
      <c r="BW27" s="318">
        <f t="shared" si="41"/>
        <v>5040</v>
      </c>
      <c r="BX27" s="318">
        <f t="shared" si="42"/>
        <v>5040</v>
      </c>
      <c r="BY27" s="318">
        <f t="shared" ref="BY27:BZ33" si="73">H27+N27+U27+AB27+AI27+AP27+AW27+BD27+BK27+BR27</f>
        <v>5040</v>
      </c>
      <c r="BZ27" s="318">
        <f t="shared" si="73"/>
        <v>5040</v>
      </c>
      <c r="CA27" s="558">
        <f t="shared" si="44"/>
        <v>100</v>
      </c>
    </row>
    <row r="28" spans="1:79" s="9" customFormat="1" x14ac:dyDescent="0.2">
      <c r="A28" s="55">
        <v>122</v>
      </c>
      <c r="B28" s="8" t="s">
        <v>608</v>
      </c>
      <c r="C28" s="498">
        <v>600</v>
      </c>
      <c r="D28" s="74">
        <v>600</v>
      </c>
      <c r="E28" s="74">
        <v>600</v>
      </c>
      <c r="F28" s="74">
        <v>600</v>
      </c>
      <c r="G28" s="74">
        <v>600</v>
      </c>
      <c r="H28" s="74">
        <v>600</v>
      </c>
      <c r="I28" s="74">
        <v>600</v>
      </c>
      <c r="J28" s="11"/>
      <c r="K28" s="11"/>
      <c r="L28" s="11"/>
      <c r="M28" s="11"/>
      <c r="N28" s="11"/>
      <c r="O28" s="11"/>
      <c r="P28" s="498"/>
      <c r="Q28" s="6"/>
      <c r="R28" s="6"/>
      <c r="S28" s="6"/>
      <c r="T28" s="6"/>
      <c r="U28" s="6"/>
      <c r="V28" s="6"/>
      <c r="W28" s="498">
        <v>1182</v>
      </c>
      <c r="X28" s="11">
        <v>1440</v>
      </c>
      <c r="Y28" s="11">
        <f>1440-9-2</f>
        <v>1429</v>
      </c>
      <c r="Z28" s="11">
        <f>1440-9-2</f>
        <v>1429</v>
      </c>
      <c r="AA28" s="11">
        <f>1440-9-2</f>
        <v>1429</v>
      </c>
      <c r="AB28" s="11">
        <f>1440-9-2</f>
        <v>1429</v>
      </c>
      <c r="AC28" s="11">
        <v>1398</v>
      </c>
      <c r="AD28" s="498"/>
      <c r="AE28" s="11"/>
      <c r="AF28" s="11"/>
      <c r="AG28" s="11"/>
      <c r="AH28" s="11"/>
      <c r="AI28" s="11"/>
      <c r="AJ28" s="11"/>
      <c r="AK28" s="498">
        <v>93</v>
      </c>
      <c r="AL28" s="11">
        <v>225</v>
      </c>
      <c r="AM28" s="11">
        <v>225</v>
      </c>
      <c r="AN28" s="11">
        <v>225</v>
      </c>
      <c r="AO28" s="11">
        <v>225</v>
      </c>
      <c r="AP28" s="11">
        <v>225</v>
      </c>
      <c r="AQ28" s="11">
        <v>189</v>
      </c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498">
        <v>471</v>
      </c>
      <c r="BG28" s="11">
        <f>400+100</f>
        <v>500</v>
      </c>
      <c r="BH28" s="11">
        <f>400+100-85</f>
        <v>415</v>
      </c>
      <c r="BI28" s="11">
        <f>400+100-85</f>
        <v>415</v>
      </c>
      <c r="BJ28" s="11">
        <f>400+100-85</f>
        <v>415</v>
      </c>
      <c r="BK28" s="11">
        <f>400+100-85</f>
        <v>415</v>
      </c>
      <c r="BL28" s="11">
        <v>412</v>
      </c>
      <c r="BM28" s="498"/>
      <c r="BN28" s="6"/>
      <c r="BO28" s="6"/>
      <c r="BP28" s="6"/>
      <c r="BQ28" s="6"/>
      <c r="BR28" s="6"/>
      <c r="BS28" s="6"/>
      <c r="BT28" s="517">
        <f t="shared" si="38"/>
        <v>2346</v>
      </c>
      <c r="BU28" s="318">
        <f t="shared" si="39"/>
        <v>2765</v>
      </c>
      <c r="BV28" s="318">
        <f t="shared" si="40"/>
        <v>2669</v>
      </c>
      <c r="BW28" s="318">
        <f t="shared" si="41"/>
        <v>2669</v>
      </c>
      <c r="BX28" s="318">
        <f t="shared" si="42"/>
        <v>2669</v>
      </c>
      <c r="BY28" s="318">
        <f t="shared" si="73"/>
        <v>2669</v>
      </c>
      <c r="BZ28" s="318">
        <f t="shared" si="73"/>
        <v>2599</v>
      </c>
      <c r="CA28" s="558">
        <f t="shared" si="44"/>
        <v>97.377294866991377</v>
      </c>
    </row>
    <row r="29" spans="1:79" s="9" customFormat="1" x14ac:dyDescent="0.2">
      <c r="A29" s="55">
        <v>122</v>
      </c>
      <c r="B29" s="8" t="s">
        <v>758</v>
      </c>
      <c r="C29" s="498">
        <v>0</v>
      </c>
      <c r="D29" s="74">
        <v>0</v>
      </c>
      <c r="E29" s="74">
        <f>500+2</f>
        <v>502</v>
      </c>
      <c r="F29" s="74">
        <f>500+2</f>
        <v>502</v>
      </c>
      <c r="G29" s="74">
        <f>500+2</f>
        <v>502</v>
      </c>
      <c r="H29" s="74">
        <f>500+2</f>
        <v>502</v>
      </c>
      <c r="I29" s="74">
        <v>501</v>
      </c>
      <c r="J29" s="11"/>
      <c r="K29" s="11"/>
      <c r="L29" s="11"/>
      <c r="M29" s="11"/>
      <c r="N29" s="11"/>
      <c r="O29" s="11"/>
      <c r="P29" s="498"/>
      <c r="Q29" s="6"/>
      <c r="R29" s="6"/>
      <c r="S29" s="6"/>
      <c r="T29" s="6"/>
      <c r="U29" s="6"/>
      <c r="V29" s="6"/>
      <c r="W29" s="498"/>
      <c r="X29" s="11"/>
      <c r="Y29" s="11"/>
      <c r="Z29" s="11"/>
      <c r="AA29" s="11"/>
      <c r="AB29" s="11"/>
      <c r="AC29" s="11"/>
      <c r="AD29" s="498"/>
      <c r="AE29" s="11"/>
      <c r="AF29" s="11"/>
      <c r="AG29" s="11"/>
      <c r="AH29" s="11"/>
      <c r="AI29" s="11"/>
      <c r="AJ29" s="11"/>
      <c r="AK29" s="498"/>
      <c r="AL29" s="11"/>
      <c r="AM29" s="11"/>
      <c r="AN29" s="11"/>
      <c r="AO29" s="11"/>
      <c r="AP29" s="11"/>
      <c r="AQ29" s="11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498"/>
      <c r="BG29" s="11"/>
      <c r="BH29" s="11"/>
      <c r="BI29" s="11"/>
      <c r="BJ29" s="11"/>
      <c r="BK29" s="11"/>
      <c r="BL29" s="11"/>
      <c r="BM29" s="498"/>
      <c r="BN29" s="6"/>
      <c r="BO29" s="6"/>
      <c r="BP29" s="6"/>
      <c r="BQ29" s="6"/>
      <c r="BR29" s="6"/>
      <c r="BS29" s="6"/>
      <c r="BT29" s="517">
        <f t="shared" si="38"/>
        <v>0</v>
      </c>
      <c r="BU29" s="318">
        <f t="shared" si="39"/>
        <v>0</v>
      </c>
      <c r="BV29" s="318">
        <f t="shared" si="40"/>
        <v>502</v>
      </c>
      <c r="BW29" s="318">
        <f t="shared" si="41"/>
        <v>502</v>
      </c>
      <c r="BX29" s="318">
        <f t="shared" si="42"/>
        <v>502</v>
      </c>
      <c r="BY29" s="318">
        <f t="shared" si="73"/>
        <v>502</v>
      </c>
      <c r="BZ29" s="318">
        <f t="shared" si="73"/>
        <v>501</v>
      </c>
      <c r="CA29" s="558">
        <f t="shared" si="44"/>
        <v>99.800796812748999</v>
      </c>
    </row>
    <row r="30" spans="1:79" x14ac:dyDescent="0.2">
      <c r="A30" s="55">
        <v>123</v>
      </c>
      <c r="B30" s="8" t="s">
        <v>576</v>
      </c>
      <c r="C30" s="498">
        <v>1126</v>
      </c>
      <c r="D30" s="74">
        <v>1500</v>
      </c>
      <c r="E30" s="74">
        <v>1500</v>
      </c>
      <c r="F30" s="74">
        <v>1500</v>
      </c>
      <c r="G30" s="74">
        <v>1500</v>
      </c>
      <c r="H30" s="74">
        <v>1500</v>
      </c>
      <c r="I30" s="74">
        <v>1144</v>
      </c>
      <c r="J30" s="11"/>
      <c r="K30" s="11"/>
      <c r="L30" s="11"/>
      <c r="M30" s="11"/>
      <c r="N30" s="11"/>
      <c r="O30" s="11"/>
      <c r="P30" s="498"/>
      <c r="Q30" s="11"/>
      <c r="R30" s="11"/>
      <c r="S30" s="11"/>
      <c r="T30" s="11"/>
      <c r="U30" s="11"/>
      <c r="V30" s="11"/>
      <c r="W30" s="498"/>
      <c r="X30" s="11"/>
      <c r="Y30" s="11"/>
      <c r="Z30" s="11"/>
      <c r="AA30" s="11"/>
      <c r="AB30" s="11"/>
      <c r="AC30" s="11"/>
      <c r="AD30" s="498"/>
      <c r="AE30" s="11"/>
      <c r="AF30" s="11"/>
      <c r="AG30" s="11"/>
      <c r="AH30" s="11"/>
      <c r="AI30" s="11"/>
      <c r="AJ30" s="11"/>
      <c r="AK30" s="498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498"/>
      <c r="BG30" s="11"/>
      <c r="BH30" s="11"/>
      <c r="BI30" s="11"/>
      <c r="BJ30" s="11"/>
      <c r="BK30" s="11"/>
      <c r="BL30" s="11"/>
      <c r="BM30" s="498">
        <v>614</v>
      </c>
      <c r="BN30" s="11">
        <v>1200</v>
      </c>
      <c r="BO30" s="11">
        <f>1200+601</f>
        <v>1801</v>
      </c>
      <c r="BP30" s="11">
        <f>1200+601</f>
        <v>1801</v>
      </c>
      <c r="BQ30" s="11">
        <f>1200+601+500</f>
        <v>2301</v>
      </c>
      <c r="BR30" s="11">
        <f>1200+601+500</f>
        <v>2301</v>
      </c>
      <c r="BS30" s="11">
        <v>2096</v>
      </c>
      <c r="BT30" s="517">
        <f t="shared" si="38"/>
        <v>1740</v>
      </c>
      <c r="BU30" s="318">
        <f t="shared" si="39"/>
        <v>2700</v>
      </c>
      <c r="BV30" s="318">
        <f t="shared" si="40"/>
        <v>3301</v>
      </c>
      <c r="BW30" s="318">
        <f t="shared" si="41"/>
        <v>3301</v>
      </c>
      <c r="BX30" s="318">
        <f t="shared" si="42"/>
        <v>3801</v>
      </c>
      <c r="BY30" s="318">
        <f t="shared" si="73"/>
        <v>3801</v>
      </c>
      <c r="BZ30" s="318">
        <f t="shared" si="73"/>
        <v>3240</v>
      </c>
      <c r="CA30" s="558">
        <f t="shared" si="44"/>
        <v>85.240726124704025</v>
      </c>
    </row>
    <row r="31" spans="1:79" ht="12.75" hidden="1" customHeight="1" x14ac:dyDescent="0.2">
      <c r="A31" s="55">
        <v>123</v>
      </c>
      <c r="B31" s="8"/>
      <c r="C31" s="159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59"/>
      <c r="Q31" s="11"/>
      <c r="R31" s="11"/>
      <c r="S31" s="11"/>
      <c r="T31" s="11"/>
      <c r="U31" s="11"/>
      <c r="V31" s="11"/>
      <c r="W31" s="159"/>
      <c r="X31" s="11"/>
      <c r="Y31" s="11"/>
      <c r="Z31" s="11"/>
      <c r="AA31" s="11"/>
      <c r="AB31" s="11"/>
      <c r="AC31" s="11"/>
      <c r="AD31" s="159"/>
      <c r="AE31" s="11"/>
      <c r="AF31" s="11"/>
      <c r="AG31" s="11"/>
      <c r="AH31" s="11"/>
      <c r="AI31" s="11"/>
      <c r="AJ31" s="11"/>
      <c r="AK31" s="159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59"/>
      <c r="BG31" s="11"/>
      <c r="BH31" s="11"/>
      <c r="BI31" s="11"/>
      <c r="BJ31" s="11"/>
      <c r="BK31" s="11"/>
      <c r="BL31" s="11"/>
      <c r="BM31" s="159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517">
        <f t="shared" si="38"/>
        <v>0</v>
      </c>
      <c r="BU31" s="318">
        <f t="shared" si="39"/>
        <v>0</v>
      </c>
      <c r="BV31" s="318">
        <f t="shared" si="40"/>
        <v>0</v>
      </c>
      <c r="BW31" s="318">
        <f t="shared" si="41"/>
        <v>0</v>
      </c>
      <c r="BX31" s="318">
        <f t="shared" si="42"/>
        <v>0</v>
      </c>
      <c r="BY31" s="318">
        <f t="shared" si="73"/>
        <v>0</v>
      </c>
      <c r="BZ31" s="318">
        <f t="shared" si="73"/>
        <v>0</v>
      </c>
      <c r="CA31" s="558" t="e">
        <f t="shared" si="44"/>
        <v>#DIV/0!</v>
      </c>
    </row>
    <row r="32" spans="1:79" x14ac:dyDescent="0.2">
      <c r="A32" s="230" t="s">
        <v>169</v>
      </c>
      <c r="B32" s="91" t="s">
        <v>228</v>
      </c>
      <c r="C32" s="509">
        <f t="shared" ref="C32:E32" si="74">SUM(C11+C20)</f>
        <v>29865</v>
      </c>
      <c r="D32" s="117">
        <f t="shared" ref="D32" si="75">SUM(D11+D20)</f>
        <v>43823</v>
      </c>
      <c r="E32" s="117">
        <f t="shared" si="74"/>
        <v>50117</v>
      </c>
      <c r="F32" s="117">
        <f t="shared" ref="F32:G32" si="76">SUM(F11+F20)</f>
        <v>50117</v>
      </c>
      <c r="G32" s="117">
        <f t="shared" si="76"/>
        <v>50133</v>
      </c>
      <c r="H32" s="117">
        <f t="shared" ref="H32:I32" si="77">SUM(H11+H20)</f>
        <v>50133</v>
      </c>
      <c r="I32" s="117">
        <f t="shared" si="77"/>
        <v>49758</v>
      </c>
      <c r="J32" s="117">
        <f t="shared" ref="J32:W32" si="78">SUM(J11+J20)</f>
        <v>0</v>
      </c>
      <c r="K32" s="117">
        <f t="shared" si="78"/>
        <v>0</v>
      </c>
      <c r="L32" s="117">
        <f t="shared" si="78"/>
        <v>0</v>
      </c>
      <c r="M32" s="117">
        <f t="shared" si="78"/>
        <v>0</v>
      </c>
      <c r="N32" s="117"/>
      <c r="O32" s="117">
        <f t="shared" si="78"/>
        <v>0</v>
      </c>
      <c r="P32" s="509">
        <f t="shared" si="78"/>
        <v>0</v>
      </c>
      <c r="Q32" s="117">
        <f t="shared" ref="Q32" si="79">SUM(Q11+Q20)</f>
        <v>0</v>
      </c>
      <c r="R32" s="117">
        <f t="shared" ref="R32:S32" si="80">SUM(R11+R20)</f>
        <v>0</v>
      </c>
      <c r="S32" s="117">
        <f t="shared" si="80"/>
        <v>0</v>
      </c>
      <c r="T32" s="117">
        <f t="shared" ref="T32" si="81">SUM(T11+T20)</f>
        <v>0</v>
      </c>
      <c r="U32" s="117">
        <f t="shared" ref="U32:V32" si="82">SUM(U11+U20)</f>
        <v>0</v>
      </c>
      <c r="V32" s="117">
        <f t="shared" si="82"/>
        <v>0</v>
      </c>
      <c r="W32" s="509">
        <f t="shared" si="78"/>
        <v>1182</v>
      </c>
      <c r="X32" s="117">
        <f t="shared" ref="X32" si="83">SUM(X11+X20)</f>
        <v>1440</v>
      </c>
      <c r="Y32" s="117">
        <f t="shared" ref="Y32:AA32" si="84">SUM(Y11+Y20)</f>
        <v>1429</v>
      </c>
      <c r="Z32" s="117">
        <f t="shared" si="84"/>
        <v>1429</v>
      </c>
      <c r="AA32" s="117">
        <f t="shared" si="84"/>
        <v>1429</v>
      </c>
      <c r="AB32" s="117">
        <f t="shared" ref="AB32:AC32" si="85">SUM(AB11+AB20)</f>
        <v>1429</v>
      </c>
      <c r="AC32" s="117">
        <f t="shared" si="85"/>
        <v>1398</v>
      </c>
      <c r="AD32" s="509">
        <f t="shared" ref="AD32:AE32" si="86">SUM(AD11+AD20)</f>
        <v>12630</v>
      </c>
      <c r="AE32" s="117">
        <f t="shared" si="86"/>
        <v>10806</v>
      </c>
      <c r="AF32" s="117">
        <f t="shared" ref="AF32:AH32" si="87">SUM(AF11+AF20)</f>
        <v>10901</v>
      </c>
      <c r="AG32" s="117">
        <f t="shared" si="87"/>
        <v>10901</v>
      </c>
      <c r="AH32" s="117">
        <f t="shared" si="87"/>
        <v>10917</v>
      </c>
      <c r="AI32" s="117">
        <f t="shared" ref="AI32:AJ32" si="88">SUM(AI11+AI20)</f>
        <v>10917</v>
      </c>
      <c r="AJ32" s="117">
        <f t="shared" si="88"/>
        <v>10443</v>
      </c>
      <c r="AK32" s="509">
        <f t="shared" ref="AK32:BM32" si="89">SUM(AK11+AK20)</f>
        <v>2566</v>
      </c>
      <c r="AL32" s="117">
        <f t="shared" ref="AL32" si="90">SUM(AL11+AL20)</f>
        <v>3047</v>
      </c>
      <c r="AM32" s="117">
        <f t="shared" ref="AM32:AO32" si="91">SUM(AM11+AM20)</f>
        <v>3022</v>
      </c>
      <c r="AN32" s="117">
        <f t="shared" si="91"/>
        <v>3022</v>
      </c>
      <c r="AO32" s="117">
        <f t="shared" si="91"/>
        <v>2939</v>
      </c>
      <c r="AP32" s="117">
        <f t="shared" ref="AP32:AQ32" si="92">SUM(AP11+AP20)</f>
        <v>2939</v>
      </c>
      <c r="AQ32" s="117">
        <f t="shared" si="92"/>
        <v>2860</v>
      </c>
      <c r="AR32" s="117">
        <f t="shared" si="89"/>
        <v>0</v>
      </c>
      <c r="AS32" s="117"/>
      <c r="AT32" s="117">
        <f t="shared" si="89"/>
        <v>0</v>
      </c>
      <c r="AU32" s="117">
        <f t="shared" si="89"/>
        <v>0</v>
      </c>
      <c r="AV32" s="117">
        <f t="shared" si="89"/>
        <v>0</v>
      </c>
      <c r="AW32" s="117"/>
      <c r="AX32" s="117">
        <f t="shared" si="89"/>
        <v>0</v>
      </c>
      <c r="AY32" s="117">
        <f t="shared" si="89"/>
        <v>0</v>
      </c>
      <c r="AZ32" s="117"/>
      <c r="BA32" s="117">
        <f t="shared" si="89"/>
        <v>0</v>
      </c>
      <c r="BB32" s="117">
        <f t="shared" si="89"/>
        <v>0</v>
      </c>
      <c r="BC32" s="117">
        <f t="shared" si="89"/>
        <v>0</v>
      </c>
      <c r="BD32" s="117"/>
      <c r="BE32" s="117">
        <f t="shared" si="89"/>
        <v>0</v>
      </c>
      <c r="BF32" s="509">
        <f t="shared" si="89"/>
        <v>4488</v>
      </c>
      <c r="BG32" s="117">
        <f t="shared" ref="BG32" si="93">SUM(BG11+BG20)</f>
        <v>4960</v>
      </c>
      <c r="BH32" s="117">
        <f t="shared" ref="BH32:BJ32" si="94">SUM(BH11+BH20)</f>
        <v>4830</v>
      </c>
      <c r="BI32" s="117">
        <f t="shared" si="94"/>
        <v>4830</v>
      </c>
      <c r="BJ32" s="117">
        <f t="shared" si="94"/>
        <v>4838</v>
      </c>
      <c r="BK32" s="117">
        <f t="shared" ref="BK32:BL32" si="95">SUM(BK11+BK20)</f>
        <v>4838</v>
      </c>
      <c r="BL32" s="117">
        <f t="shared" si="95"/>
        <v>4671</v>
      </c>
      <c r="BM32" s="509">
        <f t="shared" si="89"/>
        <v>5534</v>
      </c>
      <c r="BN32" s="117">
        <f t="shared" ref="BN32" si="96">SUM(BN11+BN20)</f>
        <v>7639</v>
      </c>
      <c r="BO32" s="117">
        <f t="shared" ref="BO32:BQ32" si="97">SUM(BO11+BO20)</f>
        <v>8215</v>
      </c>
      <c r="BP32" s="117">
        <f t="shared" si="97"/>
        <v>8215</v>
      </c>
      <c r="BQ32" s="117">
        <f t="shared" si="97"/>
        <v>8723</v>
      </c>
      <c r="BR32" s="117">
        <f t="shared" ref="BR32:BS32" si="98">SUM(BR11+BR20)</f>
        <v>8723</v>
      </c>
      <c r="BS32" s="117">
        <f t="shared" si="98"/>
        <v>8384</v>
      </c>
      <c r="BT32" s="509">
        <f t="shared" si="38"/>
        <v>56265</v>
      </c>
      <c r="BU32" s="117">
        <f t="shared" si="39"/>
        <v>71715</v>
      </c>
      <c r="BV32" s="117">
        <f t="shared" si="40"/>
        <v>78514</v>
      </c>
      <c r="BW32" s="117">
        <f t="shared" si="41"/>
        <v>78514</v>
      </c>
      <c r="BX32" s="117">
        <f t="shared" si="42"/>
        <v>78979</v>
      </c>
      <c r="BY32" s="117">
        <f t="shared" si="73"/>
        <v>78979</v>
      </c>
      <c r="BZ32" s="117">
        <f t="shared" si="73"/>
        <v>77514</v>
      </c>
      <c r="CA32" s="558">
        <f t="shared" si="44"/>
        <v>98.145076539333246</v>
      </c>
    </row>
    <row r="33" spans="1:79" x14ac:dyDescent="0.2">
      <c r="A33" s="55"/>
      <c r="B33" s="8" t="s">
        <v>25</v>
      </c>
      <c r="C33" s="159">
        <v>3638</v>
      </c>
      <c r="D33" s="11">
        <f>5395+448</f>
        <v>5843</v>
      </c>
      <c r="E33" s="11">
        <f>(5395+256+39)+448+59+92</f>
        <v>6289</v>
      </c>
      <c r="F33" s="11">
        <f>(5395+256+39)+448+59+92</f>
        <v>6289</v>
      </c>
      <c r="G33" s="11">
        <f>(5395+256+39)+448+59+92-128</f>
        <v>6161</v>
      </c>
      <c r="H33" s="11">
        <f>(5395+256+39)+448+59+92-128</f>
        <v>6161</v>
      </c>
      <c r="I33" s="11">
        <v>5393</v>
      </c>
      <c r="J33" s="11"/>
      <c r="K33" s="11"/>
      <c r="L33" s="11"/>
      <c r="M33" s="11"/>
      <c r="N33" s="11"/>
      <c r="O33" s="11"/>
      <c r="P33" s="159"/>
      <c r="Q33" s="11"/>
      <c r="R33" s="11"/>
      <c r="S33" s="11"/>
      <c r="T33" s="11"/>
      <c r="U33" s="11"/>
      <c r="V33" s="11"/>
      <c r="W33" s="159">
        <v>138</v>
      </c>
      <c r="X33" s="11">
        <f>170</f>
        <v>170</v>
      </c>
      <c r="Y33" s="11">
        <f>170</f>
        <v>170</v>
      </c>
      <c r="Z33" s="11">
        <f>170</f>
        <v>170</v>
      </c>
      <c r="AA33" s="11">
        <f>170</f>
        <v>170</v>
      </c>
      <c r="AB33" s="11">
        <f>170</f>
        <v>170</v>
      </c>
      <c r="AC33" s="11">
        <v>164</v>
      </c>
      <c r="AD33" s="159">
        <v>1236</v>
      </c>
      <c r="AE33" s="11">
        <v>862</v>
      </c>
      <c r="AF33" s="11">
        <f>862-59</f>
        <v>803</v>
      </c>
      <c r="AG33" s="11">
        <f>862-59</f>
        <v>803</v>
      </c>
      <c r="AH33" s="11">
        <f>862-59</f>
        <v>803</v>
      </c>
      <c r="AI33" s="11">
        <f>862-59</f>
        <v>803</v>
      </c>
      <c r="AJ33" s="11">
        <v>796</v>
      </c>
      <c r="AK33" s="159">
        <v>323</v>
      </c>
      <c r="AL33" s="11">
        <v>382</v>
      </c>
      <c r="AM33" s="11">
        <v>382</v>
      </c>
      <c r="AN33" s="11">
        <v>382</v>
      </c>
      <c r="AO33" s="11">
        <v>382</v>
      </c>
      <c r="AP33" s="11">
        <v>382</v>
      </c>
      <c r="AQ33" s="11">
        <v>347</v>
      </c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59">
        <v>538</v>
      </c>
      <c r="BG33" s="11">
        <v>640</v>
      </c>
      <c r="BH33" s="11">
        <f>640-3</f>
        <v>637</v>
      </c>
      <c r="BI33" s="11">
        <f>640-3</f>
        <v>637</v>
      </c>
      <c r="BJ33" s="11">
        <f>640-3</f>
        <v>637</v>
      </c>
      <c r="BK33" s="11">
        <f>640-3</f>
        <v>637</v>
      </c>
      <c r="BL33" s="11">
        <v>562</v>
      </c>
      <c r="BM33" s="159">
        <v>642</v>
      </c>
      <c r="BN33" s="11">
        <v>838</v>
      </c>
      <c r="BO33" s="11">
        <f>838-3</f>
        <v>835</v>
      </c>
      <c r="BP33" s="11">
        <f>838-3</f>
        <v>835</v>
      </c>
      <c r="BQ33" s="11">
        <f>838-3</f>
        <v>835</v>
      </c>
      <c r="BR33" s="11">
        <f>838-3</f>
        <v>835</v>
      </c>
      <c r="BS33" s="11">
        <v>819</v>
      </c>
      <c r="BT33" s="516">
        <f t="shared" si="38"/>
        <v>6515</v>
      </c>
      <c r="BU33" s="239">
        <f t="shared" si="39"/>
        <v>8735</v>
      </c>
      <c r="BV33" s="239">
        <f t="shared" si="40"/>
        <v>9116</v>
      </c>
      <c r="BW33" s="239">
        <f t="shared" si="41"/>
        <v>9116</v>
      </c>
      <c r="BX33" s="239">
        <f t="shared" si="42"/>
        <v>8988</v>
      </c>
      <c r="BY33" s="239">
        <f t="shared" si="73"/>
        <v>8988</v>
      </c>
      <c r="BZ33" s="239">
        <f t="shared" si="73"/>
        <v>8081</v>
      </c>
      <c r="CA33" s="558">
        <f t="shared" si="44"/>
        <v>89.908767245215842</v>
      </c>
    </row>
    <row r="34" spans="1:79" ht="12.75" hidden="1" customHeight="1" x14ac:dyDescent="0.2">
      <c r="A34" s="55"/>
      <c r="B34" s="8" t="s">
        <v>312</v>
      </c>
      <c r="C34" s="159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59"/>
      <c r="Q34" s="11"/>
      <c r="R34" s="11"/>
      <c r="S34" s="11"/>
      <c r="T34" s="11"/>
      <c r="U34" s="11"/>
      <c r="V34" s="11"/>
      <c r="W34" s="159"/>
      <c r="X34" s="11"/>
      <c r="Y34" s="11"/>
      <c r="Z34" s="11"/>
      <c r="AA34" s="11"/>
      <c r="AB34" s="11"/>
      <c r="AC34" s="11"/>
      <c r="AD34" s="159"/>
      <c r="AE34" s="11"/>
      <c r="AF34" s="11"/>
      <c r="AG34" s="11"/>
      <c r="AH34" s="11"/>
      <c r="AI34" s="11"/>
      <c r="AJ34" s="11"/>
      <c r="AK34" s="159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59"/>
      <c r="BG34" s="11"/>
      <c r="BH34" s="11"/>
      <c r="BI34" s="11"/>
      <c r="BJ34" s="11"/>
      <c r="BK34" s="11"/>
      <c r="BL34" s="11"/>
      <c r="BM34" s="159"/>
      <c r="BN34" s="11"/>
      <c r="BO34" s="11"/>
      <c r="BP34" s="11"/>
      <c r="BQ34" s="11"/>
      <c r="BR34" s="11"/>
      <c r="BS34" s="11"/>
      <c r="BT34" s="516" t="e">
        <f>C34+J34+P34+W34+AD34+AK34+AR34+AY34+BF34+BM34+#REF!</f>
        <v>#REF!</v>
      </c>
      <c r="BU34" s="239" t="e">
        <f>D34+K34+Q34+X34+AE34+AL34+AS34+AZ34+BG34+BN34+#REF!</f>
        <v>#REF!</v>
      </c>
      <c r="BV34" s="239" t="e">
        <f>E34+K34+R34+Y34+AF34+AM34+AT34+BA34+BH34+BO34+#REF!</f>
        <v>#REF!</v>
      </c>
      <c r="BW34" s="239" t="e">
        <f>F34+L34+S34+Z34+AG34+AN34+AU34+BB34+BI34+BP34+#REF!</f>
        <v>#REF!</v>
      </c>
      <c r="BX34" s="239" t="e">
        <f>G34+M34+T34+AA34+AH34+AO34+AV34+BC34+BJ34+BQ34+#REF!</f>
        <v>#REF!</v>
      </c>
      <c r="BY34" s="239" t="e">
        <f>H34+N34+U34+AB34+AI34+AP34+AW34+BD34+BK34+BR34+#REF!</f>
        <v>#REF!</v>
      </c>
      <c r="BZ34" s="239" t="e">
        <f>I34+O34+V34+AC34+AJ34+AQ34+AX34+BE34+BL34+BS34+#REF!</f>
        <v>#REF!</v>
      </c>
      <c r="CA34" s="558" t="e">
        <f t="shared" si="44"/>
        <v>#REF!</v>
      </c>
    </row>
    <row r="35" spans="1:79" x14ac:dyDescent="0.2">
      <c r="A35" s="55"/>
      <c r="B35" s="8" t="s">
        <v>70</v>
      </c>
      <c r="C35" s="159">
        <v>387</v>
      </c>
      <c r="D35" s="11">
        <v>480</v>
      </c>
      <c r="E35" s="11">
        <f>480+106</f>
        <v>586</v>
      </c>
      <c r="F35" s="11">
        <f>480+106</f>
        <v>586</v>
      </c>
      <c r="G35" s="11">
        <f>480+106-1</f>
        <v>585</v>
      </c>
      <c r="H35" s="11">
        <f>480+106-1</f>
        <v>585</v>
      </c>
      <c r="I35" s="11">
        <v>528</v>
      </c>
      <c r="J35" s="11"/>
      <c r="K35" s="11"/>
      <c r="L35" s="11"/>
      <c r="M35" s="11"/>
      <c r="N35" s="11"/>
      <c r="O35" s="11"/>
      <c r="P35" s="159"/>
      <c r="Q35" s="11"/>
      <c r="R35" s="11"/>
      <c r="S35" s="11"/>
      <c r="T35" s="11"/>
      <c r="U35" s="11"/>
      <c r="V35" s="11"/>
      <c r="W35" s="159"/>
      <c r="X35" s="11"/>
      <c r="Y35" s="11"/>
      <c r="Z35" s="11"/>
      <c r="AA35" s="11"/>
      <c r="AB35" s="11"/>
      <c r="AC35" s="11"/>
      <c r="AD35" s="159">
        <v>43</v>
      </c>
      <c r="AE35" s="11">
        <v>34</v>
      </c>
      <c r="AF35" s="11">
        <v>34</v>
      </c>
      <c r="AG35" s="11">
        <v>34</v>
      </c>
      <c r="AH35" s="11">
        <v>34</v>
      </c>
      <c r="AI35" s="11">
        <v>34</v>
      </c>
      <c r="AJ35" s="11">
        <v>32</v>
      </c>
      <c r="AK35" s="159">
        <v>11</v>
      </c>
      <c r="AL35" s="11">
        <v>11</v>
      </c>
      <c r="AM35" s="11">
        <v>11</v>
      </c>
      <c r="AN35" s="11">
        <v>11</v>
      </c>
      <c r="AO35" s="11">
        <v>11</v>
      </c>
      <c r="AP35" s="11">
        <v>11</v>
      </c>
      <c r="AQ35" s="11">
        <v>11</v>
      </c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59">
        <v>21</v>
      </c>
      <c r="BG35" s="11">
        <v>15</v>
      </c>
      <c r="BH35" s="11">
        <f>15+3</f>
        <v>18</v>
      </c>
      <c r="BI35" s="11">
        <f>15+3</f>
        <v>18</v>
      </c>
      <c r="BJ35" s="11">
        <f>15+3+1</f>
        <v>19</v>
      </c>
      <c r="BK35" s="11">
        <f>15+3+1</f>
        <v>19</v>
      </c>
      <c r="BL35" s="11">
        <v>19</v>
      </c>
      <c r="BM35" s="159">
        <v>14</v>
      </c>
      <c r="BN35" s="11">
        <v>15</v>
      </c>
      <c r="BO35" s="11">
        <f>15+3</f>
        <v>18</v>
      </c>
      <c r="BP35" s="11">
        <f>15+3</f>
        <v>18</v>
      </c>
      <c r="BQ35" s="11">
        <f>15+3</f>
        <v>18</v>
      </c>
      <c r="BR35" s="11">
        <f>15+3</f>
        <v>18</v>
      </c>
      <c r="BS35" s="11">
        <v>17</v>
      </c>
      <c r="BT35" s="516">
        <f t="shared" ref="BT35:BT66" si="99">C35+J35+P35+W35+AD35+AK35+AR35+AY35+BF35+BM35</f>
        <v>476</v>
      </c>
      <c r="BU35" s="239">
        <f t="shared" ref="BU35:BU66" si="100">D35+K35+Q35+X35+AE35+AL35+AS35+AZ35+BG35+BN35</f>
        <v>555</v>
      </c>
      <c r="BV35" s="239">
        <f t="shared" ref="BV35:BV66" si="101">E35+K35+R35+Y35+AF35+AM35+AT35+BA35+BH35+BO35</f>
        <v>667</v>
      </c>
      <c r="BW35" s="239">
        <f t="shared" ref="BW35:BW66" si="102">F35+L35+S35+Z35+AG35+AN35+AU35+BB35+BI35+BP35</f>
        <v>667</v>
      </c>
      <c r="BX35" s="239">
        <f t="shared" ref="BX35:BX66" si="103">G35+M35+T35+AA35+AH35+AO35+AV35+BC35+BJ35+BQ35</f>
        <v>667</v>
      </c>
      <c r="BY35" s="239">
        <f t="shared" ref="BY35:BZ50" si="104">H35+N35+U35+AB35+AI35+AP35+AW35+BD35+BK35+BR35</f>
        <v>667</v>
      </c>
      <c r="BZ35" s="239">
        <f t="shared" si="104"/>
        <v>607</v>
      </c>
      <c r="CA35" s="558">
        <f t="shared" si="44"/>
        <v>91.004497751124433</v>
      </c>
    </row>
    <row r="36" spans="1:79" x14ac:dyDescent="0.2">
      <c r="A36" s="230" t="s">
        <v>170</v>
      </c>
      <c r="B36" s="91" t="s">
        <v>68</v>
      </c>
      <c r="C36" s="509">
        <f t="shared" ref="C36:E36" si="105">SUM(C33:C35)</f>
        <v>4025</v>
      </c>
      <c r="D36" s="117">
        <f t="shared" ref="D36" si="106">SUM(D33:D35)</f>
        <v>6323</v>
      </c>
      <c r="E36" s="117">
        <f t="shared" si="105"/>
        <v>6875</v>
      </c>
      <c r="F36" s="117">
        <f t="shared" ref="F36:G36" si="107">SUM(F33:F35)</f>
        <v>6875</v>
      </c>
      <c r="G36" s="117">
        <f t="shared" si="107"/>
        <v>6746</v>
      </c>
      <c r="H36" s="117">
        <f t="shared" ref="H36:I36" si="108">SUM(H33:H35)</f>
        <v>6746</v>
      </c>
      <c r="I36" s="117">
        <f t="shared" si="108"/>
        <v>5921</v>
      </c>
      <c r="J36" s="117">
        <f t="shared" ref="J36" si="109">SUM(J33:J35)</f>
        <v>0</v>
      </c>
      <c r="K36" s="117">
        <f t="shared" ref="K36:O36" si="110">SUM(K33:K35)</f>
        <v>0</v>
      </c>
      <c r="L36" s="117">
        <f t="shared" si="110"/>
        <v>0</v>
      </c>
      <c r="M36" s="117">
        <f t="shared" si="110"/>
        <v>0</v>
      </c>
      <c r="N36" s="117"/>
      <c r="O36" s="117">
        <f t="shared" si="110"/>
        <v>0</v>
      </c>
      <c r="P36" s="509">
        <f t="shared" ref="P36:W36" si="111">SUM(P33:P35)</f>
        <v>0</v>
      </c>
      <c r="Q36" s="117">
        <f t="shared" ref="Q36" si="112">SUM(Q33:Q35)</f>
        <v>0</v>
      </c>
      <c r="R36" s="117">
        <f t="shared" ref="R36:S36" si="113">SUM(R33:R35)</f>
        <v>0</v>
      </c>
      <c r="S36" s="117">
        <f t="shared" si="113"/>
        <v>0</v>
      </c>
      <c r="T36" s="117">
        <f t="shared" ref="T36" si="114">SUM(T33:T35)</f>
        <v>0</v>
      </c>
      <c r="U36" s="117">
        <f t="shared" ref="U36:V36" si="115">SUM(U33:U35)</f>
        <v>0</v>
      </c>
      <c r="V36" s="117">
        <f t="shared" si="115"/>
        <v>0</v>
      </c>
      <c r="W36" s="509">
        <f t="shared" si="111"/>
        <v>138</v>
      </c>
      <c r="X36" s="117">
        <f t="shared" ref="X36" si="116">SUM(X33:X35)</f>
        <v>170</v>
      </c>
      <c r="Y36" s="117">
        <f t="shared" ref="Y36:AA36" si="117">SUM(Y33:Y35)</f>
        <v>170</v>
      </c>
      <c r="Z36" s="117">
        <f t="shared" si="117"/>
        <v>170</v>
      </c>
      <c r="AA36" s="117">
        <f t="shared" si="117"/>
        <v>170</v>
      </c>
      <c r="AB36" s="117">
        <f t="shared" ref="AB36:AC36" si="118">SUM(AB33:AB35)</f>
        <v>170</v>
      </c>
      <c r="AC36" s="117">
        <f t="shared" si="118"/>
        <v>164</v>
      </c>
      <c r="AD36" s="509">
        <f t="shared" ref="AD36:AE36" si="119">SUM(AD33:AD35)</f>
        <v>1279</v>
      </c>
      <c r="AE36" s="117">
        <f t="shared" si="119"/>
        <v>896</v>
      </c>
      <c r="AF36" s="117">
        <f t="shared" ref="AF36:AH36" si="120">SUM(AF33:AF35)</f>
        <v>837</v>
      </c>
      <c r="AG36" s="117">
        <f t="shared" si="120"/>
        <v>837</v>
      </c>
      <c r="AH36" s="117">
        <f t="shared" si="120"/>
        <v>837</v>
      </c>
      <c r="AI36" s="117">
        <f t="shared" ref="AI36:AJ36" si="121">SUM(AI33:AI35)</f>
        <v>837</v>
      </c>
      <c r="AJ36" s="117">
        <f t="shared" si="121"/>
        <v>828</v>
      </c>
      <c r="AK36" s="509">
        <f t="shared" ref="AK36:AL36" si="122">SUM(AK33:AK35)</f>
        <v>334</v>
      </c>
      <c r="AL36" s="117">
        <f t="shared" si="122"/>
        <v>393</v>
      </c>
      <c r="AM36" s="117">
        <f t="shared" ref="AM36:AO36" si="123">SUM(AM33:AM35)</f>
        <v>393</v>
      </c>
      <c r="AN36" s="117">
        <f t="shared" si="123"/>
        <v>393</v>
      </c>
      <c r="AO36" s="117">
        <f t="shared" si="123"/>
        <v>393</v>
      </c>
      <c r="AP36" s="117">
        <f t="shared" ref="AP36:AQ36" si="124">SUM(AP33:AP35)</f>
        <v>393</v>
      </c>
      <c r="AQ36" s="117">
        <f t="shared" si="124"/>
        <v>358</v>
      </c>
      <c r="AR36" s="117">
        <f t="shared" ref="AR36:BF36" si="125">SUM(AR33:AR35)</f>
        <v>0</v>
      </c>
      <c r="AS36" s="117"/>
      <c r="AT36" s="117">
        <f t="shared" si="125"/>
        <v>0</v>
      </c>
      <c r="AU36" s="117">
        <f>SUM(AU33:AU35)</f>
        <v>0</v>
      </c>
      <c r="AV36" s="117">
        <f t="shared" si="125"/>
        <v>0</v>
      </c>
      <c r="AW36" s="117"/>
      <c r="AX36" s="117">
        <f t="shared" si="125"/>
        <v>0</v>
      </c>
      <c r="AY36" s="117">
        <f t="shared" si="125"/>
        <v>0</v>
      </c>
      <c r="AZ36" s="117"/>
      <c r="BA36" s="117">
        <f>SUM(BA33:BA35)</f>
        <v>0</v>
      </c>
      <c r="BB36" s="117">
        <f>SUM(BB33:BB35)</f>
        <v>0</v>
      </c>
      <c r="BC36" s="117">
        <f>SUM(BC33:BC35)</f>
        <v>0</v>
      </c>
      <c r="BD36" s="117"/>
      <c r="BE36" s="117">
        <f t="shared" si="125"/>
        <v>0</v>
      </c>
      <c r="BF36" s="509">
        <f t="shared" si="125"/>
        <v>559</v>
      </c>
      <c r="BG36" s="117">
        <f t="shared" ref="BG36" si="126">SUM(BG33:BG35)</f>
        <v>655</v>
      </c>
      <c r="BH36" s="117">
        <f t="shared" ref="BH36:BJ36" si="127">SUM(BH33:BH35)</f>
        <v>655</v>
      </c>
      <c r="BI36" s="117">
        <f t="shared" si="127"/>
        <v>655</v>
      </c>
      <c r="BJ36" s="117">
        <f t="shared" si="127"/>
        <v>656</v>
      </c>
      <c r="BK36" s="117">
        <f t="shared" ref="BK36:BL36" si="128">SUM(BK33:BK35)</f>
        <v>656</v>
      </c>
      <c r="BL36" s="117">
        <f t="shared" si="128"/>
        <v>581</v>
      </c>
      <c r="BM36" s="509">
        <f t="shared" ref="BM36:BQ36" si="129">SUM(BM33:BM35)</f>
        <v>656</v>
      </c>
      <c r="BN36" s="117">
        <f t="shared" si="129"/>
        <v>853</v>
      </c>
      <c r="BO36" s="117">
        <f t="shared" si="129"/>
        <v>853</v>
      </c>
      <c r="BP36" s="117">
        <f t="shared" si="129"/>
        <v>853</v>
      </c>
      <c r="BQ36" s="117">
        <f t="shared" si="129"/>
        <v>853</v>
      </c>
      <c r="BR36" s="117">
        <f t="shared" ref="BR36:BS36" si="130">SUM(BR33:BR35)</f>
        <v>853</v>
      </c>
      <c r="BS36" s="117">
        <f t="shared" si="130"/>
        <v>836</v>
      </c>
      <c r="BT36" s="509">
        <f t="shared" si="99"/>
        <v>6991</v>
      </c>
      <c r="BU36" s="117">
        <f t="shared" si="100"/>
        <v>9290</v>
      </c>
      <c r="BV36" s="117">
        <f t="shared" si="101"/>
        <v>9783</v>
      </c>
      <c r="BW36" s="117">
        <f t="shared" si="102"/>
        <v>9783</v>
      </c>
      <c r="BX36" s="117">
        <f t="shared" si="103"/>
        <v>9655</v>
      </c>
      <c r="BY36" s="117">
        <f t="shared" si="104"/>
        <v>9655</v>
      </c>
      <c r="BZ36" s="117">
        <f t="shared" si="104"/>
        <v>8688</v>
      </c>
      <c r="CA36" s="558">
        <f t="shared" si="44"/>
        <v>89.984464008285855</v>
      </c>
    </row>
    <row r="37" spans="1:79" x14ac:dyDescent="0.2">
      <c r="A37" s="230" t="s">
        <v>211</v>
      </c>
      <c r="B37" s="14" t="s">
        <v>217</v>
      </c>
      <c r="C37" s="403">
        <f t="shared" ref="C37:E37" si="131">SUM(C38:C45)</f>
        <v>971</v>
      </c>
      <c r="D37" s="6">
        <f t="shared" ref="D37" si="132">SUM(D38:D45)</f>
        <v>1080</v>
      </c>
      <c r="E37" s="6">
        <f t="shared" si="131"/>
        <v>1080</v>
      </c>
      <c r="F37" s="6">
        <f t="shared" ref="F37:G37" si="133">SUM(F38:F45)</f>
        <v>1080</v>
      </c>
      <c r="G37" s="6">
        <f t="shared" si="133"/>
        <v>1170</v>
      </c>
      <c r="H37" s="6">
        <f t="shared" ref="H37:I37" si="134">SUM(H38:H45)</f>
        <v>1170</v>
      </c>
      <c r="I37" s="6">
        <f t="shared" si="134"/>
        <v>812</v>
      </c>
      <c r="J37" s="6">
        <f t="shared" ref="J37" si="135">SUM(J38:J45)</f>
        <v>0</v>
      </c>
      <c r="K37" s="6">
        <f t="shared" ref="K37:O37" si="136">SUM(K38:K45)</f>
        <v>0</v>
      </c>
      <c r="L37" s="6">
        <f t="shared" si="136"/>
        <v>0</v>
      </c>
      <c r="M37" s="6">
        <f t="shared" si="136"/>
        <v>0</v>
      </c>
      <c r="N37" s="6"/>
      <c r="O37" s="6">
        <f t="shared" si="136"/>
        <v>0</v>
      </c>
      <c r="P37" s="403">
        <f t="shared" ref="P37:Q37" si="137">SUM(P38:P45)</f>
        <v>0</v>
      </c>
      <c r="Q37" s="6">
        <f t="shared" si="137"/>
        <v>0</v>
      </c>
      <c r="R37" s="6">
        <f t="shared" ref="R37:S37" si="138">SUM(R38:R45)</f>
        <v>0</v>
      </c>
      <c r="S37" s="6">
        <f t="shared" si="138"/>
        <v>0</v>
      </c>
      <c r="T37" s="6">
        <f t="shared" ref="T37" si="139">SUM(T38:T45)</f>
        <v>0</v>
      </c>
      <c r="U37" s="6">
        <f t="shared" ref="U37:V37" si="140">SUM(U38:U45)</f>
        <v>0</v>
      </c>
      <c r="V37" s="6">
        <f t="shared" si="140"/>
        <v>0</v>
      </c>
      <c r="W37" s="403">
        <f t="shared" ref="W37:Y37" si="141">SUM(W38:W45)</f>
        <v>1964</v>
      </c>
      <c r="X37" s="6">
        <f t="shared" ref="X37" si="142">SUM(X38:X45)</f>
        <v>2300</v>
      </c>
      <c r="Y37" s="6">
        <f t="shared" si="141"/>
        <v>2465</v>
      </c>
      <c r="Z37" s="6">
        <f t="shared" ref="Z37:AA37" si="143">SUM(Z38:Z45)</f>
        <v>2465</v>
      </c>
      <c r="AA37" s="6">
        <f t="shared" si="143"/>
        <v>2375</v>
      </c>
      <c r="AB37" s="6">
        <f t="shared" ref="AB37:AC37" si="144">SUM(AB38:AB45)</f>
        <v>2375</v>
      </c>
      <c r="AC37" s="6">
        <f t="shared" si="144"/>
        <v>1756</v>
      </c>
      <c r="AD37" s="403">
        <f t="shared" ref="AD37:AH37" si="145">SUM(AD38:AD45)</f>
        <v>337</v>
      </c>
      <c r="AE37" s="6">
        <f t="shared" si="145"/>
        <v>480</v>
      </c>
      <c r="AF37" s="6">
        <f t="shared" si="145"/>
        <v>480</v>
      </c>
      <c r="AG37" s="6">
        <f t="shared" si="145"/>
        <v>480</v>
      </c>
      <c r="AH37" s="6">
        <f t="shared" si="145"/>
        <v>380</v>
      </c>
      <c r="AI37" s="6">
        <f t="shared" ref="AI37:AJ37" si="146">SUM(AI38:AI45)</f>
        <v>380</v>
      </c>
      <c r="AJ37" s="6">
        <f t="shared" si="146"/>
        <v>269</v>
      </c>
      <c r="AK37" s="403">
        <f t="shared" ref="AK37:AL37" si="147">SUM(AK38:AK45)</f>
        <v>2810</v>
      </c>
      <c r="AL37" s="6">
        <f t="shared" si="147"/>
        <v>70</v>
      </c>
      <c r="AM37" s="6">
        <f t="shared" ref="AM37:AO37" si="148">SUM(AM38:AM45)</f>
        <v>70</v>
      </c>
      <c r="AN37" s="6">
        <f t="shared" si="148"/>
        <v>2163</v>
      </c>
      <c r="AO37" s="6">
        <f t="shared" si="148"/>
        <v>2163</v>
      </c>
      <c r="AP37" s="6">
        <f t="shared" ref="AP37:AQ37" si="149">SUM(AP38:AP45)</f>
        <v>2163</v>
      </c>
      <c r="AQ37" s="6">
        <f t="shared" si="149"/>
        <v>2125</v>
      </c>
      <c r="AR37" s="6">
        <f t="shared" ref="AR37:BF37" si="150">SUM(AR38:AR45)</f>
        <v>0</v>
      </c>
      <c r="AS37" s="6"/>
      <c r="AT37" s="6">
        <f t="shared" si="150"/>
        <v>0</v>
      </c>
      <c r="AU37" s="6">
        <f>SUM(AU38:AU45)</f>
        <v>0</v>
      </c>
      <c r="AV37" s="6">
        <f t="shared" si="150"/>
        <v>0</v>
      </c>
      <c r="AW37" s="6"/>
      <c r="AX37" s="6">
        <f t="shared" si="150"/>
        <v>0</v>
      </c>
      <c r="AY37" s="6">
        <f t="shared" si="150"/>
        <v>0</v>
      </c>
      <c r="AZ37" s="6"/>
      <c r="BA37" s="6">
        <f>SUM(BA38:BA45)</f>
        <v>0</v>
      </c>
      <c r="BB37" s="6">
        <f>SUM(BB38:BB45)</f>
        <v>0</v>
      </c>
      <c r="BC37" s="6">
        <f>SUM(BC38:BC45)</f>
        <v>0</v>
      </c>
      <c r="BD37" s="6"/>
      <c r="BE37" s="6">
        <f t="shared" si="150"/>
        <v>0</v>
      </c>
      <c r="BF37" s="403">
        <f t="shared" si="150"/>
        <v>255</v>
      </c>
      <c r="BG37" s="6">
        <f t="shared" ref="BG37" si="151">SUM(BG38:BG45)</f>
        <v>500</v>
      </c>
      <c r="BH37" s="6">
        <f t="shared" ref="BH37:BJ37" si="152">SUM(BH38:BH45)</f>
        <v>510</v>
      </c>
      <c r="BI37" s="6">
        <f t="shared" si="152"/>
        <v>510</v>
      </c>
      <c r="BJ37" s="6">
        <f t="shared" si="152"/>
        <v>610</v>
      </c>
      <c r="BK37" s="6">
        <f t="shared" ref="BK37:BL37" si="153">SUM(BK38:BK45)</f>
        <v>610</v>
      </c>
      <c r="BL37" s="6">
        <f t="shared" si="153"/>
        <v>486</v>
      </c>
      <c r="BM37" s="403">
        <f t="shared" ref="BM37:BQ37" si="154">SUM(BM38:BM45)</f>
        <v>1219</v>
      </c>
      <c r="BN37" s="6">
        <f t="shared" si="154"/>
        <v>1950</v>
      </c>
      <c r="BO37" s="6">
        <f t="shared" si="154"/>
        <v>1965</v>
      </c>
      <c r="BP37" s="6">
        <f t="shared" si="154"/>
        <v>1965</v>
      </c>
      <c r="BQ37" s="6">
        <f t="shared" si="154"/>
        <v>1965</v>
      </c>
      <c r="BR37" s="6">
        <f t="shared" ref="BR37:BS37" si="155">SUM(BR38:BR45)</f>
        <v>1965</v>
      </c>
      <c r="BS37" s="6">
        <f t="shared" si="155"/>
        <v>417</v>
      </c>
      <c r="BT37" s="515">
        <f t="shared" si="99"/>
        <v>7556</v>
      </c>
      <c r="BU37" s="240">
        <f t="shared" si="100"/>
        <v>6380</v>
      </c>
      <c r="BV37" s="240">
        <f t="shared" si="101"/>
        <v>6570</v>
      </c>
      <c r="BW37" s="240">
        <f t="shared" si="102"/>
        <v>8663</v>
      </c>
      <c r="BX37" s="240">
        <f t="shared" si="103"/>
        <v>8663</v>
      </c>
      <c r="BY37" s="240">
        <f t="shared" si="104"/>
        <v>8663</v>
      </c>
      <c r="BZ37" s="240">
        <f t="shared" si="104"/>
        <v>5865</v>
      </c>
      <c r="CA37" s="558">
        <f t="shared" si="44"/>
        <v>67.70171995844396</v>
      </c>
    </row>
    <row r="38" spans="1:79" x14ac:dyDescent="0.2">
      <c r="A38" s="55" t="s">
        <v>487</v>
      </c>
      <c r="B38" s="8" t="s">
        <v>255</v>
      </c>
      <c r="C38" s="159">
        <v>64</v>
      </c>
      <c r="D38" s="11">
        <v>200</v>
      </c>
      <c r="E38" s="11">
        <v>200</v>
      </c>
      <c r="F38" s="11">
        <v>200</v>
      </c>
      <c r="G38" s="11">
        <v>200</v>
      </c>
      <c r="H38" s="11">
        <v>200</v>
      </c>
      <c r="I38" s="11">
        <v>112</v>
      </c>
      <c r="J38" s="11"/>
      <c r="K38" s="11"/>
      <c r="L38" s="11"/>
      <c r="M38" s="11"/>
      <c r="N38" s="11"/>
      <c r="O38" s="11"/>
      <c r="P38" s="159"/>
      <c r="Q38" s="11"/>
      <c r="R38" s="11"/>
      <c r="S38" s="11"/>
      <c r="T38" s="11"/>
      <c r="U38" s="11"/>
      <c r="V38" s="11"/>
      <c r="W38" s="159"/>
      <c r="X38" s="11"/>
      <c r="Y38" s="11"/>
      <c r="Z38" s="11"/>
      <c r="AA38" s="11"/>
      <c r="AB38" s="11"/>
      <c r="AC38" s="11"/>
      <c r="AD38" s="159"/>
      <c r="AE38" s="11"/>
      <c r="AF38" s="11"/>
      <c r="AG38" s="11"/>
      <c r="AH38" s="11"/>
      <c r="AI38" s="11"/>
      <c r="AJ38" s="11"/>
      <c r="AK38" s="159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59"/>
      <c r="BG38" s="11"/>
      <c r="BH38" s="11"/>
      <c r="BI38" s="11"/>
      <c r="BJ38" s="11"/>
      <c r="BK38" s="11"/>
      <c r="BL38" s="11"/>
      <c r="BM38" s="159">
        <v>916</v>
      </c>
      <c r="BN38" s="11">
        <v>1300</v>
      </c>
      <c r="BO38" s="11">
        <v>1300</v>
      </c>
      <c r="BP38" s="11">
        <v>1300</v>
      </c>
      <c r="BQ38" s="11">
        <v>1300</v>
      </c>
      <c r="BR38" s="11">
        <v>1300</v>
      </c>
      <c r="BS38" s="11">
        <v>268</v>
      </c>
      <c r="BT38" s="516">
        <f t="shared" si="99"/>
        <v>980</v>
      </c>
      <c r="BU38" s="239">
        <f t="shared" si="100"/>
        <v>1500</v>
      </c>
      <c r="BV38" s="239">
        <f t="shared" si="101"/>
        <v>1500</v>
      </c>
      <c r="BW38" s="239">
        <f t="shared" si="102"/>
        <v>1500</v>
      </c>
      <c r="BX38" s="239">
        <f t="shared" si="103"/>
        <v>1500</v>
      </c>
      <c r="BY38" s="239">
        <f t="shared" si="104"/>
        <v>1500</v>
      </c>
      <c r="BZ38" s="239">
        <f t="shared" si="104"/>
        <v>380</v>
      </c>
      <c r="CA38" s="558">
        <f t="shared" si="44"/>
        <v>25.333333333333336</v>
      </c>
    </row>
    <row r="39" spans="1:79" x14ac:dyDescent="0.2">
      <c r="A39" s="55" t="s">
        <v>441</v>
      </c>
      <c r="B39" s="8" t="s">
        <v>218</v>
      </c>
      <c r="C39" s="159">
        <v>765</v>
      </c>
      <c r="D39" s="11">
        <v>710</v>
      </c>
      <c r="E39" s="11">
        <v>710</v>
      </c>
      <c r="F39" s="11">
        <v>710</v>
      </c>
      <c r="G39" s="11">
        <f>710+90</f>
        <v>800</v>
      </c>
      <c r="H39" s="11">
        <f>710+90</f>
        <v>800</v>
      </c>
      <c r="I39" s="11">
        <v>696</v>
      </c>
      <c r="J39" s="11"/>
      <c r="K39" s="11"/>
      <c r="L39" s="11"/>
      <c r="M39" s="11"/>
      <c r="N39" s="11"/>
      <c r="O39" s="11"/>
      <c r="P39" s="159"/>
      <c r="Q39" s="11"/>
      <c r="R39" s="11"/>
      <c r="S39" s="11"/>
      <c r="T39" s="11"/>
      <c r="U39" s="11"/>
      <c r="V39" s="11"/>
      <c r="W39" s="159">
        <v>160</v>
      </c>
      <c r="X39" s="11">
        <v>300</v>
      </c>
      <c r="Y39" s="11">
        <f>300+165</f>
        <v>465</v>
      </c>
      <c r="Z39" s="11">
        <f>300+165</f>
        <v>465</v>
      </c>
      <c r="AA39" s="11">
        <f>300+165-90</f>
        <v>375</v>
      </c>
      <c r="AB39" s="11">
        <f>300+165-90</f>
        <v>375</v>
      </c>
      <c r="AC39" s="11">
        <v>189</v>
      </c>
      <c r="AD39" s="159">
        <v>301</v>
      </c>
      <c r="AE39" s="11">
        <v>400</v>
      </c>
      <c r="AF39" s="11">
        <v>400</v>
      </c>
      <c r="AG39" s="11">
        <v>400</v>
      </c>
      <c r="AH39" s="11">
        <f>400-100</f>
        <v>300</v>
      </c>
      <c r="AI39" s="11">
        <f>400-100</f>
        <v>300</v>
      </c>
      <c r="AJ39" s="11">
        <v>269</v>
      </c>
      <c r="AK39" s="159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59">
        <v>8</v>
      </c>
      <c r="BG39" s="11">
        <v>150</v>
      </c>
      <c r="BH39" s="11">
        <v>150</v>
      </c>
      <c r="BI39" s="11">
        <v>150</v>
      </c>
      <c r="BJ39" s="11">
        <f>150-50</f>
        <v>100</v>
      </c>
      <c r="BK39" s="11">
        <f>150-50</f>
        <v>100</v>
      </c>
      <c r="BL39" s="11">
        <v>51</v>
      </c>
      <c r="BM39" s="159">
        <v>303</v>
      </c>
      <c r="BN39" s="11">
        <v>550</v>
      </c>
      <c r="BO39" s="11">
        <f>550-10+25</f>
        <v>565</v>
      </c>
      <c r="BP39" s="11">
        <f>550-10+25</f>
        <v>565</v>
      </c>
      <c r="BQ39" s="11">
        <f>550-10+25</f>
        <v>565</v>
      </c>
      <c r="BR39" s="11">
        <f>550-10+25</f>
        <v>565</v>
      </c>
      <c r="BS39" s="11">
        <v>149</v>
      </c>
      <c r="BT39" s="516">
        <f t="shared" si="99"/>
        <v>1537</v>
      </c>
      <c r="BU39" s="239">
        <f t="shared" si="100"/>
        <v>2110</v>
      </c>
      <c r="BV39" s="239">
        <f t="shared" si="101"/>
        <v>2290</v>
      </c>
      <c r="BW39" s="239">
        <f t="shared" si="102"/>
        <v>2290</v>
      </c>
      <c r="BX39" s="239">
        <f t="shared" si="103"/>
        <v>2140</v>
      </c>
      <c r="BY39" s="239">
        <f t="shared" si="104"/>
        <v>2140</v>
      </c>
      <c r="BZ39" s="239">
        <f t="shared" si="104"/>
        <v>1354</v>
      </c>
      <c r="CA39" s="558">
        <f t="shared" si="44"/>
        <v>63.271028037383182</v>
      </c>
    </row>
    <row r="40" spans="1:79" x14ac:dyDescent="0.2">
      <c r="A40" s="55"/>
      <c r="B40" s="8" t="s">
        <v>260</v>
      </c>
      <c r="C40" s="159">
        <v>142</v>
      </c>
      <c r="D40" s="11">
        <v>170</v>
      </c>
      <c r="E40" s="11">
        <v>170</v>
      </c>
      <c r="F40" s="11">
        <v>170</v>
      </c>
      <c r="G40" s="11">
        <v>170</v>
      </c>
      <c r="H40" s="11">
        <v>170</v>
      </c>
      <c r="I40" s="11">
        <v>4</v>
      </c>
      <c r="J40" s="11"/>
      <c r="K40" s="11"/>
      <c r="L40" s="11"/>
      <c r="M40" s="11"/>
      <c r="N40" s="11"/>
      <c r="O40" s="11"/>
      <c r="P40" s="159"/>
      <c r="Q40" s="11"/>
      <c r="R40" s="11"/>
      <c r="S40" s="11"/>
      <c r="T40" s="11"/>
      <c r="U40" s="11"/>
      <c r="V40" s="11"/>
      <c r="W40" s="159"/>
      <c r="X40" s="11"/>
      <c r="Y40" s="11"/>
      <c r="Z40" s="11"/>
      <c r="AA40" s="11"/>
      <c r="AB40" s="11"/>
      <c r="AC40" s="11"/>
      <c r="AD40" s="159">
        <v>0</v>
      </c>
      <c r="AE40" s="11">
        <v>30</v>
      </c>
      <c r="AF40" s="11">
        <v>30</v>
      </c>
      <c r="AG40" s="11">
        <v>30</v>
      </c>
      <c r="AH40" s="11">
        <v>30</v>
      </c>
      <c r="AI40" s="11">
        <v>30</v>
      </c>
      <c r="AJ40" s="11">
        <v>0</v>
      </c>
      <c r="AK40" s="159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59"/>
      <c r="BG40" s="11"/>
      <c r="BH40" s="11"/>
      <c r="BI40" s="11"/>
      <c r="BJ40" s="11"/>
      <c r="BK40" s="11"/>
      <c r="BL40" s="11"/>
      <c r="BM40" s="159"/>
      <c r="BN40" s="11"/>
      <c r="BO40" s="11"/>
      <c r="BP40" s="11"/>
      <c r="BQ40" s="11"/>
      <c r="BR40" s="11"/>
      <c r="BS40" s="11"/>
      <c r="BT40" s="516">
        <f t="shared" si="99"/>
        <v>142</v>
      </c>
      <c r="BU40" s="239">
        <f t="shared" si="100"/>
        <v>200</v>
      </c>
      <c r="BV40" s="239">
        <f t="shared" si="101"/>
        <v>200</v>
      </c>
      <c r="BW40" s="239">
        <f t="shared" si="102"/>
        <v>200</v>
      </c>
      <c r="BX40" s="239">
        <f t="shared" si="103"/>
        <v>200</v>
      </c>
      <c r="BY40" s="239">
        <f t="shared" si="104"/>
        <v>200</v>
      </c>
      <c r="BZ40" s="239">
        <f t="shared" si="104"/>
        <v>4</v>
      </c>
      <c r="CA40" s="558">
        <f t="shared" si="44"/>
        <v>2</v>
      </c>
    </row>
    <row r="41" spans="1:79" x14ac:dyDescent="0.2">
      <c r="A41" s="55"/>
      <c r="B41" s="8" t="s">
        <v>356</v>
      </c>
      <c r="C41" s="159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59"/>
      <c r="Q41" s="11"/>
      <c r="R41" s="11"/>
      <c r="S41" s="11"/>
      <c r="T41" s="11"/>
      <c r="U41" s="11"/>
      <c r="V41" s="11"/>
      <c r="W41" s="159"/>
      <c r="X41" s="11"/>
      <c r="Y41" s="11"/>
      <c r="Z41" s="11"/>
      <c r="AA41" s="11"/>
      <c r="AB41" s="11"/>
      <c r="AC41" s="11"/>
      <c r="AD41" s="159"/>
      <c r="AE41" s="11"/>
      <c r="AF41" s="11"/>
      <c r="AG41" s="11"/>
      <c r="AH41" s="11"/>
      <c r="AI41" s="11"/>
      <c r="AJ41" s="11"/>
      <c r="AK41" s="159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59"/>
      <c r="BG41" s="11"/>
      <c r="BH41" s="11"/>
      <c r="BI41" s="11"/>
      <c r="BJ41" s="11"/>
      <c r="BK41" s="11"/>
      <c r="BL41" s="11"/>
      <c r="BM41" s="159">
        <v>0</v>
      </c>
      <c r="BN41" s="11">
        <v>100</v>
      </c>
      <c r="BO41" s="11">
        <v>100</v>
      </c>
      <c r="BP41" s="11">
        <v>100</v>
      </c>
      <c r="BQ41" s="11">
        <v>100</v>
      </c>
      <c r="BR41" s="11">
        <v>100</v>
      </c>
      <c r="BS41" s="11">
        <v>0</v>
      </c>
      <c r="BT41" s="516">
        <f t="shared" si="99"/>
        <v>0</v>
      </c>
      <c r="BU41" s="239">
        <f t="shared" si="100"/>
        <v>100</v>
      </c>
      <c r="BV41" s="239">
        <f t="shared" si="101"/>
        <v>100</v>
      </c>
      <c r="BW41" s="239">
        <f t="shared" si="102"/>
        <v>100</v>
      </c>
      <c r="BX41" s="239">
        <f t="shared" si="103"/>
        <v>100</v>
      </c>
      <c r="BY41" s="239">
        <f t="shared" si="104"/>
        <v>100</v>
      </c>
      <c r="BZ41" s="239">
        <f t="shared" si="104"/>
        <v>0</v>
      </c>
      <c r="CA41" s="558">
        <f t="shared" si="44"/>
        <v>0</v>
      </c>
    </row>
    <row r="42" spans="1:79" x14ac:dyDescent="0.2">
      <c r="A42" s="55"/>
      <c r="B42" s="8" t="s">
        <v>239</v>
      </c>
      <c r="C42" s="15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59"/>
      <c r="Q42" s="11"/>
      <c r="R42" s="11"/>
      <c r="S42" s="11"/>
      <c r="T42" s="11"/>
      <c r="U42" s="11"/>
      <c r="V42" s="11"/>
      <c r="W42" s="159">
        <v>1804</v>
      </c>
      <c r="X42" s="11">
        <v>2000</v>
      </c>
      <c r="Y42" s="11">
        <v>2000</v>
      </c>
      <c r="Z42" s="11">
        <v>2000</v>
      </c>
      <c r="AA42" s="11">
        <v>2000</v>
      </c>
      <c r="AB42" s="11">
        <v>2000</v>
      </c>
      <c r="AC42" s="11">
        <v>1567</v>
      </c>
      <c r="AD42" s="159"/>
      <c r="AE42" s="11"/>
      <c r="AF42" s="11"/>
      <c r="AG42" s="11"/>
      <c r="AH42" s="11"/>
      <c r="AI42" s="11"/>
      <c r="AJ42" s="11"/>
      <c r="AK42" s="159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59"/>
      <c r="BG42" s="11"/>
      <c r="BH42" s="11"/>
      <c r="BI42" s="11"/>
      <c r="BJ42" s="11"/>
      <c r="BK42" s="11"/>
      <c r="BL42" s="11"/>
      <c r="BM42" s="159"/>
      <c r="BN42" s="11"/>
      <c r="BO42" s="11"/>
      <c r="BP42" s="11"/>
      <c r="BQ42" s="11"/>
      <c r="BR42" s="11"/>
      <c r="BS42" s="11"/>
      <c r="BT42" s="516">
        <f t="shared" si="99"/>
        <v>1804</v>
      </c>
      <c r="BU42" s="239">
        <f t="shared" si="100"/>
        <v>2000</v>
      </c>
      <c r="BV42" s="239">
        <f t="shared" si="101"/>
        <v>2000</v>
      </c>
      <c r="BW42" s="239">
        <f t="shared" si="102"/>
        <v>2000</v>
      </c>
      <c r="BX42" s="239">
        <f t="shared" si="103"/>
        <v>2000</v>
      </c>
      <c r="BY42" s="239">
        <f t="shared" si="104"/>
        <v>2000</v>
      </c>
      <c r="BZ42" s="239">
        <f t="shared" si="104"/>
        <v>1567</v>
      </c>
      <c r="CA42" s="558">
        <f t="shared" si="44"/>
        <v>78.349999999999994</v>
      </c>
    </row>
    <row r="43" spans="1:79" x14ac:dyDescent="0.2">
      <c r="A43" s="55"/>
      <c r="B43" s="8" t="s">
        <v>349</v>
      </c>
      <c r="C43" s="15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59"/>
      <c r="Q43" s="11"/>
      <c r="R43" s="11"/>
      <c r="S43" s="11"/>
      <c r="T43" s="11"/>
      <c r="U43" s="11"/>
      <c r="V43" s="11"/>
      <c r="W43" s="159"/>
      <c r="X43" s="11"/>
      <c r="Y43" s="11"/>
      <c r="Z43" s="11"/>
      <c r="AA43" s="11"/>
      <c r="AB43" s="11"/>
      <c r="AC43" s="11"/>
      <c r="AD43" s="159"/>
      <c r="AE43" s="11"/>
      <c r="AF43" s="11"/>
      <c r="AG43" s="11"/>
      <c r="AH43" s="11"/>
      <c r="AI43" s="11"/>
      <c r="AJ43" s="11"/>
      <c r="AK43" s="159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59">
        <v>247</v>
      </c>
      <c r="BG43" s="11">
        <v>350</v>
      </c>
      <c r="BH43" s="11">
        <f>350+10</f>
        <v>360</v>
      </c>
      <c r="BI43" s="11">
        <f>350+10</f>
        <v>360</v>
      </c>
      <c r="BJ43" s="11">
        <f>350+10+100+50</f>
        <v>510</v>
      </c>
      <c r="BK43" s="11">
        <f>350+10+100+50</f>
        <v>510</v>
      </c>
      <c r="BL43" s="11">
        <v>435</v>
      </c>
      <c r="BM43" s="159"/>
      <c r="BN43" s="11"/>
      <c r="BO43" s="11"/>
      <c r="BP43" s="11"/>
      <c r="BQ43" s="11"/>
      <c r="BR43" s="11"/>
      <c r="BS43" s="11"/>
      <c r="BT43" s="516">
        <f t="shared" si="99"/>
        <v>247</v>
      </c>
      <c r="BU43" s="239">
        <f t="shared" si="100"/>
        <v>350</v>
      </c>
      <c r="BV43" s="239">
        <f t="shared" si="101"/>
        <v>360</v>
      </c>
      <c r="BW43" s="239">
        <f t="shared" si="102"/>
        <v>360</v>
      </c>
      <c r="BX43" s="239">
        <f t="shared" si="103"/>
        <v>510</v>
      </c>
      <c r="BY43" s="239">
        <f t="shared" si="104"/>
        <v>510</v>
      </c>
      <c r="BZ43" s="239">
        <f t="shared" si="104"/>
        <v>435</v>
      </c>
      <c r="CA43" s="558">
        <f t="shared" si="44"/>
        <v>85.294117647058826</v>
      </c>
    </row>
    <row r="44" spans="1:79" x14ac:dyDescent="0.2">
      <c r="A44" s="55"/>
      <c r="B44" s="8" t="s">
        <v>247</v>
      </c>
      <c r="C44" s="159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59"/>
      <c r="Q44" s="11"/>
      <c r="R44" s="11"/>
      <c r="S44" s="11"/>
      <c r="T44" s="11"/>
      <c r="U44" s="11"/>
      <c r="V44" s="11"/>
      <c r="W44" s="159"/>
      <c r="X44" s="11"/>
      <c r="Y44" s="11"/>
      <c r="Z44" s="11"/>
      <c r="AA44" s="11"/>
      <c r="AB44" s="11"/>
      <c r="AC44" s="11"/>
      <c r="AD44" s="159">
        <v>36</v>
      </c>
      <c r="AE44" s="11">
        <v>50</v>
      </c>
      <c r="AF44" s="11">
        <v>50</v>
      </c>
      <c r="AG44" s="11">
        <v>50</v>
      </c>
      <c r="AH44" s="11">
        <v>50</v>
      </c>
      <c r="AI44" s="11">
        <v>50</v>
      </c>
      <c r="AJ44" s="11">
        <v>0</v>
      </c>
      <c r="AK44" s="159">
        <v>46</v>
      </c>
      <c r="AL44" s="11">
        <v>70</v>
      </c>
      <c r="AM44" s="11">
        <v>70</v>
      </c>
      <c r="AN44" s="11">
        <v>70</v>
      </c>
      <c r="AO44" s="11">
        <v>70</v>
      </c>
      <c r="AP44" s="11">
        <v>70</v>
      </c>
      <c r="AQ44" s="11">
        <v>32</v>
      </c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59"/>
      <c r="BG44" s="11"/>
      <c r="BH44" s="11"/>
      <c r="BI44" s="11"/>
      <c r="BJ44" s="11"/>
      <c r="BK44" s="11"/>
      <c r="BL44" s="11"/>
      <c r="BM44" s="159"/>
      <c r="BN44" s="11"/>
      <c r="BO44" s="11"/>
      <c r="BP44" s="11"/>
      <c r="BQ44" s="11"/>
      <c r="BR44" s="11"/>
      <c r="BS44" s="11"/>
      <c r="BT44" s="516">
        <f t="shared" si="99"/>
        <v>82</v>
      </c>
      <c r="BU44" s="239">
        <f t="shared" si="100"/>
        <v>120</v>
      </c>
      <c r="BV44" s="239">
        <f t="shared" si="101"/>
        <v>120</v>
      </c>
      <c r="BW44" s="239">
        <f t="shared" si="102"/>
        <v>120</v>
      </c>
      <c r="BX44" s="239">
        <f t="shared" si="103"/>
        <v>120</v>
      </c>
      <c r="BY44" s="239">
        <f t="shared" si="104"/>
        <v>120</v>
      </c>
      <c r="BZ44" s="239">
        <f t="shared" si="104"/>
        <v>32</v>
      </c>
      <c r="CA44" s="558">
        <f t="shared" si="44"/>
        <v>26.666666666666668</v>
      </c>
    </row>
    <row r="45" spans="1:79" x14ac:dyDescent="0.2">
      <c r="A45" s="55"/>
      <c r="B45" s="8" t="s">
        <v>474</v>
      </c>
      <c r="C45" s="159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59"/>
      <c r="Q45" s="11"/>
      <c r="R45" s="11"/>
      <c r="S45" s="11"/>
      <c r="T45" s="11"/>
      <c r="U45" s="11"/>
      <c r="V45" s="11"/>
      <c r="W45" s="159"/>
      <c r="X45" s="11"/>
      <c r="Y45" s="11"/>
      <c r="Z45" s="11"/>
      <c r="AA45" s="11"/>
      <c r="AB45" s="11"/>
      <c r="AC45" s="11"/>
      <c r="AD45" s="159"/>
      <c r="AE45" s="11"/>
      <c r="AF45" s="11"/>
      <c r="AG45" s="11"/>
      <c r="AH45" s="11"/>
      <c r="AI45" s="11"/>
      <c r="AJ45" s="11"/>
      <c r="AK45" s="159">
        <v>2764</v>
      </c>
      <c r="AL45" s="11">
        <v>0</v>
      </c>
      <c r="AM45" s="11">
        <v>0</v>
      </c>
      <c r="AN45" s="11">
        <v>2093</v>
      </c>
      <c r="AO45" s="11">
        <v>2093</v>
      </c>
      <c r="AP45" s="11">
        <v>2093</v>
      </c>
      <c r="AQ45" s="11">
        <v>2093</v>
      </c>
      <c r="AR45" s="11"/>
      <c r="AS45" s="11"/>
      <c r="AT45" s="11"/>
      <c r="AU45" s="11"/>
      <c r="AV45" s="11">
        <v>0</v>
      </c>
      <c r="AW45" s="11"/>
      <c r="AX45" s="11">
        <v>0</v>
      </c>
      <c r="AY45" s="11"/>
      <c r="AZ45" s="11"/>
      <c r="BA45" s="11"/>
      <c r="BB45" s="11"/>
      <c r="BC45" s="11"/>
      <c r="BD45" s="11"/>
      <c r="BE45" s="11"/>
      <c r="BF45" s="159"/>
      <c r="BG45" s="11"/>
      <c r="BH45" s="11"/>
      <c r="BI45" s="11"/>
      <c r="BJ45" s="11"/>
      <c r="BK45" s="11"/>
      <c r="BL45" s="11"/>
      <c r="BM45" s="159"/>
      <c r="BN45" s="11"/>
      <c r="BO45" s="11"/>
      <c r="BP45" s="11"/>
      <c r="BQ45" s="11"/>
      <c r="BR45" s="11"/>
      <c r="BS45" s="11"/>
      <c r="BT45" s="516">
        <f t="shared" si="99"/>
        <v>2764</v>
      </c>
      <c r="BU45" s="239">
        <f t="shared" si="100"/>
        <v>0</v>
      </c>
      <c r="BV45" s="239">
        <f t="shared" si="101"/>
        <v>0</v>
      </c>
      <c r="BW45" s="239">
        <f t="shared" si="102"/>
        <v>2093</v>
      </c>
      <c r="BX45" s="239">
        <f t="shared" si="103"/>
        <v>2093</v>
      </c>
      <c r="BY45" s="239">
        <f t="shared" si="104"/>
        <v>2093</v>
      </c>
      <c r="BZ45" s="239">
        <f t="shared" si="104"/>
        <v>2093</v>
      </c>
      <c r="CA45" s="558">
        <f t="shared" si="44"/>
        <v>100</v>
      </c>
    </row>
    <row r="46" spans="1:79" x14ac:dyDescent="0.2">
      <c r="A46" s="230" t="s">
        <v>212</v>
      </c>
      <c r="B46" s="14" t="s">
        <v>219</v>
      </c>
      <c r="C46" s="403">
        <f t="shared" ref="C46:E46" si="156">SUM(C47:C48)</f>
        <v>3263</v>
      </c>
      <c r="D46" s="6">
        <f t="shared" ref="D46" si="157">SUM(D47:D48)</f>
        <v>2050</v>
      </c>
      <c r="E46" s="6">
        <f t="shared" si="156"/>
        <v>2615</v>
      </c>
      <c r="F46" s="6">
        <f t="shared" ref="F46:G46" si="158">SUM(F47:F48)</f>
        <v>2615</v>
      </c>
      <c r="G46" s="6">
        <f t="shared" si="158"/>
        <v>2615</v>
      </c>
      <c r="H46" s="6">
        <f t="shared" ref="H46:I46" si="159">SUM(H47:H48)</f>
        <v>2615</v>
      </c>
      <c r="I46" s="6">
        <f t="shared" si="159"/>
        <v>2380</v>
      </c>
      <c r="J46" s="6">
        <f t="shared" ref="J46" si="160">SUM(J47:J48)</f>
        <v>0</v>
      </c>
      <c r="K46" s="6">
        <f t="shared" ref="K46:O46" si="161">SUM(K47:K48)</f>
        <v>0</v>
      </c>
      <c r="L46" s="6">
        <f t="shared" ref="L46" si="162">SUM(L47:L48)</f>
        <v>0</v>
      </c>
      <c r="M46" s="6">
        <f t="shared" si="161"/>
        <v>0</v>
      </c>
      <c r="N46" s="6"/>
      <c r="O46" s="6">
        <f t="shared" si="161"/>
        <v>0</v>
      </c>
      <c r="P46" s="403">
        <f t="shared" ref="P46:W46" si="163">SUM(P47:P48)</f>
        <v>0</v>
      </c>
      <c r="Q46" s="6">
        <f t="shared" ref="Q46" si="164">SUM(Q47:Q48)</f>
        <v>0</v>
      </c>
      <c r="R46" s="6">
        <f t="shared" ref="R46:S46" si="165">SUM(R47:R48)</f>
        <v>0</v>
      </c>
      <c r="S46" s="6">
        <f t="shared" si="165"/>
        <v>0</v>
      </c>
      <c r="T46" s="6">
        <f t="shared" ref="T46" si="166">SUM(T47:T48)</f>
        <v>0</v>
      </c>
      <c r="U46" s="6">
        <f t="shared" ref="U46:V46" si="167">SUM(U47:U48)</f>
        <v>0</v>
      </c>
      <c r="V46" s="6">
        <f t="shared" si="167"/>
        <v>0</v>
      </c>
      <c r="W46" s="403">
        <f t="shared" si="163"/>
        <v>454</v>
      </c>
      <c r="X46" s="6">
        <f t="shared" ref="X46" si="168">SUM(X47:X48)</f>
        <v>600</v>
      </c>
      <c r="Y46" s="6">
        <f t="shared" ref="Y46" si="169">SUM(Y47:Y48)</f>
        <v>535</v>
      </c>
      <c r="Z46" s="6">
        <f t="shared" ref="Z46:AA46" si="170">SUM(Z47:Z48)</f>
        <v>535</v>
      </c>
      <c r="AA46" s="6">
        <f t="shared" si="170"/>
        <v>535</v>
      </c>
      <c r="AB46" s="6">
        <f t="shared" ref="AB46:AC46" si="171">SUM(AB47:AB48)</f>
        <v>535</v>
      </c>
      <c r="AC46" s="6">
        <f t="shared" si="171"/>
        <v>476</v>
      </c>
      <c r="AD46" s="403">
        <f t="shared" ref="AD46:AE46" si="172">SUM(AD47:AD48)</f>
        <v>101</v>
      </c>
      <c r="AE46" s="6">
        <f t="shared" si="172"/>
        <v>400</v>
      </c>
      <c r="AF46" s="6">
        <f t="shared" ref="AF46" si="173">SUM(AF47:AF48)</f>
        <v>400</v>
      </c>
      <c r="AG46" s="6">
        <f t="shared" ref="AG46:AH46" si="174">SUM(AG47:AG48)</f>
        <v>400</v>
      </c>
      <c r="AH46" s="6">
        <f t="shared" si="174"/>
        <v>400</v>
      </c>
      <c r="AI46" s="6">
        <f t="shared" ref="AI46:AJ46" si="175">SUM(AI47:AI48)</f>
        <v>400</v>
      </c>
      <c r="AJ46" s="6">
        <f t="shared" si="175"/>
        <v>100</v>
      </c>
      <c r="AK46" s="403">
        <f t="shared" ref="AK46:AO46" si="176">SUM(AK47:AK48)</f>
        <v>0</v>
      </c>
      <c r="AL46" s="6">
        <f t="shared" si="176"/>
        <v>0</v>
      </c>
      <c r="AM46" s="6">
        <f t="shared" si="176"/>
        <v>0</v>
      </c>
      <c r="AN46" s="6">
        <f t="shared" si="176"/>
        <v>0</v>
      </c>
      <c r="AO46" s="6">
        <f t="shared" si="176"/>
        <v>0</v>
      </c>
      <c r="AP46" s="6">
        <f t="shared" ref="AP46:AQ46" si="177">SUM(AP47:AP48)</f>
        <v>0</v>
      </c>
      <c r="AQ46" s="6">
        <f t="shared" si="177"/>
        <v>0</v>
      </c>
      <c r="AR46" s="6">
        <f t="shared" ref="AR46:BF46" si="178">SUM(AR47:AR48)</f>
        <v>0</v>
      </c>
      <c r="AS46" s="6"/>
      <c r="AT46" s="6">
        <f t="shared" si="178"/>
        <v>0</v>
      </c>
      <c r="AU46" s="6">
        <f>SUM(AU47:AU48)</f>
        <v>0</v>
      </c>
      <c r="AV46" s="6">
        <f t="shared" si="178"/>
        <v>0</v>
      </c>
      <c r="AW46" s="6"/>
      <c r="AX46" s="6">
        <f t="shared" si="178"/>
        <v>0</v>
      </c>
      <c r="AY46" s="6">
        <f t="shared" si="178"/>
        <v>0</v>
      </c>
      <c r="AZ46" s="6"/>
      <c r="BA46" s="6">
        <f t="shared" si="178"/>
        <v>0</v>
      </c>
      <c r="BB46" s="6">
        <f t="shared" si="178"/>
        <v>0</v>
      </c>
      <c r="BC46" s="6">
        <f t="shared" si="178"/>
        <v>0</v>
      </c>
      <c r="BD46" s="6"/>
      <c r="BE46" s="6">
        <f t="shared" si="178"/>
        <v>0</v>
      </c>
      <c r="BF46" s="403">
        <f t="shared" si="178"/>
        <v>147</v>
      </c>
      <c r="BG46" s="6">
        <f t="shared" ref="BG46" si="179">SUM(BG47:BG48)</f>
        <v>170</v>
      </c>
      <c r="BH46" s="6">
        <f t="shared" ref="BH46" si="180">SUM(BH47:BH48)</f>
        <v>170</v>
      </c>
      <c r="BI46" s="6">
        <f t="shared" ref="BI46:BJ46" si="181">SUM(BI47:BI48)</f>
        <v>170</v>
      </c>
      <c r="BJ46" s="6">
        <f t="shared" si="181"/>
        <v>170</v>
      </c>
      <c r="BK46" s="6">
        <f t="shared" ref="BK46:BL46" si="182">SUM(BK47:BK48)</f>
        <v>170</v>
      </c>
      <c r="BL46" s="6">
        <f t="shared" si="182"/>
        <v>144</v>
      </c>
      <c r="BM46" s="403">
        <f t="shared" ref="BM46:BN46" si="183">SUM(BM47:BM48)</f>
        <v>176</v>
      </c>
      <c r="BN46" s="6">
        <f t="shared" si="183"/>
        <v>400</v>
      </c>
      <c r="BO46" s="6">
        <f t="shared" ref="BO46" si="184">SUM(BO47:BO48)</f>
        <v>400</v>
      </c>
      <c r="BP46" s="6">
        <f t="shared" ref="BP46:BQ46" si="185">SUM(BP47:BP48)</f>
        <v>400</v>
      </c>
      <c r="BQ46" s="6">
        <f t="shared" si="185"/>
        <v>400</v>
      </c>
      <c r="BR46" s="6">
        <f t="shared" ref="BR46:BS46" si="186">SUM(BR47:BR48)</f>
        <v>400</v>
      </c>
      <c r="BS46" s="6">
        <f t="shared" si="186"/>
        <v>49</v>
      </c>
      <c r="BT46" s="518">
        <f t="shared" si="99"/>
        <v>4141</v>
      </c>
      <c r="BU46" s="317">
        <f t="shared" si="100"/>
        <v>3620</v>
      </c>
      <c r="BV46" s="317">
        <f t="shared" si="101"/>
        <v>4120</v>
      </c>
      <c r="BW46" s="317">
        <f t="shared" si="102"/>
        <v>4120</v>
      </c>
      <c r="BX46" s="317">
        <f t="shared" si="103"/>
        <v>4120</v>
      </c>
      <c r="BY46" s="317">
        <f t="shared" si="104"/>
        <v>4120</v>
      </c>
      <c r="BZ46" s="317">
        <f t="shared" si="104"/>
        <v>3149</v>
      </c>
      <c r="CA46" s="558">
        <f>BZ46/BY46*100</f>
        <v>76.432038834951456</v>
      </c>
    </row>
    <row r="47" spans="1:79" ht="15" customHeight="1" x14ac:dyDescent="0.2">
      <c r="A47" s="55" t="s">
        <v>546</v>
      </c>
      <c r="B47" s="8" t="s">
        <v>618</v>
      </c>
      <c r="C47" s="159">
        <v>2990</v>
      </c>
      <c r="D47" s="11">
        <v>1700</v>
      </c>
      <c r="E47" s="11">
        <f>1700+500+65</f>
        <v>2265</v>
      </c>
      <c r="F47" s="11">
        <f>1700+500+65</f>
        <v>2265</v>
      </c>
      <c r="G47" s="11">
        <f>1700+500+65</f>
        <v>2265</v>
      </c>
      <c r="H47" s="11">
        <f>1700+500+65</f>
        <v>2265</v>
      </c>
      <c r="I47" s="11">
        <v>2260</v>
      </c>
      <c r="J47" s="11"/>
      <c r="K47" s="11"/>
      <c r="L47" s="11"/>
      <c r="M47" s="11"/>
      <c r="N47" s="11"/>
      <c r="O47" s="11"/>
      <c r="P47" s="159"/>
      <c r="Q47" s="11"/>
      <c r="R47" s="11"/>
      <c r="S47" s="11"/>
      <c r="T47" s="11"/>
      <c r="U47" s="11"/>
      <c r="V47" s="11"/>
      <c r="W47" s="159">
        <v>454</v>
      </c>
      <c r="X47" s="11">
        <v>600</v>
      </c>
      <c r="Y47" s="11">
        <f>600-65</f>
        <v>535</v>
      </c>
      <c r="Z47" s="11">
        <f>600-65</f>
        <v>535</v>
      </c>
      <c r="AA47" s="11">
        <f>600-65</f>
        <v>535</v>
      </c>
      <c r="AB47" s="11">
        <f>600-65</f>
        <v>535</v>
      </c>
      <c r="AC47" s="11">
        <v>476</v>
      </c>
      <c r="AD47" s="159">
        <v>101</v>
      </c>
      <c r="AE47" s="11">
        <v>400</v>
      </c>
      <c r="AF47" s="11">
        <v>400</v>
      </c>
      <c r="AG47" s="11">
        <v>400</v>
      </c>
      <c r="AH47" s="11">
        <v>400</v>
      </c>
      <c r="AI47" s="11">
        <v>400</v>
      </c>
      <c r="AJ47" s="11">
        <v>100</v>
      </c>
      <c r="AK47" s="159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59"/>
      <c r="BG47" s="11"/>
      <c r="BH47" s="11"/>
      <c r="BI47" s="11"/>
      <c r="BJ47" s="11"/>
      <c r="BK47" s="11"/>
      <c r="BL47" s="11"/>
      <c r="BM47" s="159">
        <v>125</v>
      </c>
      <c r="BN47" s="11">
        <v>300</v>
      </c>
      <c r="BO47" s="11">
        <v>300</v>
      </c>
      <c r="BP47" s="11">
        <v>300</v>
      </c>
      <c r="BQ47" s="11">
        <v>300</v>
      </c>
      <c r="BR47" s="11">
        <v>300</v>
      </c>
      <c r="BS47" s="11">
        <v>0</v>
      </c>
      <c r="BT47" s="516">
        <f t="shared" si="99"/>
        <v>3670</v>
      </c>
      <c r="BU47" s="239">
        <f t="shared" si="100"/>
        <v>3000</v>
      </c>
      <c r="BV47" s="239">
        <f t="shared" si="101"/>
        <v>3500</v>
      </c>
      <c r="BW47" s="239">
        <f t="shared" si="102"/>
        <v>3500</v>
      </c>
      <c r="BX47" s="239">
        <f t="shared" si="103"/>
        <v>3500</v>
      </c>
      <c r="BY47" s="239">
        <f t="shared" si="104"/>
        <v>3500</v>
      </c>
      <c r="BZ47" s="239">
        <f t="shared" si="104"/>
        <v>2836</v>
      </c>
      <c r="CA47" s="558">
        <f t="shared" si="44"/>
        <v>81.028571428571425</v>
      </c>
    </row>
    <row r="48" spans="1:79" x14ac:dyDescent="0.2">
      <c r="A48" s="55" t="s">
        <v>488</v>
      </c>
      <c r="B48" s="8" t="s">
        <v>580</v>
      </c>
      <c r="C48" s="159">
        <v>273</v>
      </c>
      <c r="D48" s="11">
        <v>350</v>
      </c>
      <c r="E48" s="11">
        <v>350</v>
      </c>
      <c r="F48" s="11">
        <v>350</v>
      </c>
      <c r="G48" s="11">
        <v>350</v>
      </c>
      <c r="H48" s="11">
        <v>350</v>
      </c>
      <c r="I48" s="11">
        <v>120</v>
      </c>
      <c r="J48" s="159"/>
      <c r="K48" s="159"/>
      <c r="L48" s="159"/>
      <c r="M48" s="159"/>
      <c r="N48" s="159"/>
      <c r="O48" s="159"/>
      <c r="P48" s="159"/>
      <c r="Q48" s="11"/>
      <c r="R48" s="11"/>
      <c r="S48" s="11"/>
      <c r="T48" s="11"/>
      <c r="U48" s="11"/>
      <c r="V48" s="11"/>
      <c r="W48" s="159"/>
      <c r="X48" s="11"/>
      <c r="Y48" s="11"/>
      <c r="Z48" s="11"/>
      <c r="AA48" s="11"/>
      <c r="AB48" s="11"/>
      <c r="AC48" s="11"/>
      <c r="AD48" s="159"/>
      <c r="AE48" s="11"/>
      <c r="AF48" s="11"/>
      <c r="AG48" s="11"/>
      <c r="AH48" s="11"/>
      <c r="AI48" s="11"/>
      <c r="AJ48" s="11"/>
      <c r="AK48" s="159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59">
        <v>147</v>
      </c>
      <c r="BG48" s="11">
        <v>170</v>
      </c>
      <c r="BH48" s="11">
        <v>170</v>
      </c>
      <c r="BI48" s="11">
        <v>170</v>
      </c>
      <c r="BJ48" s="11">
        <v>170</v>
      </c>
      <c r="BK48" s="11">
        <v>170</v>
      </c>
      <c r="BL48" s="11">
        <v>144</v>
      </c>
      <c r="BM48" s="159">
        <v>51</v>
      </c>
      <c r="BN48" s="11">
        <v>100</v>
      </c>
      <c r="BO48" s="11">
        <v>100</v>
      </c>
      <c r="BP48" s="11">
        <v>100</v>
      </c>
      <c r="BQ48" s="11">
        <v>100</v>
      </c>
      <c r="BR48" s="11">
        <v>100</v>
      </c>
      <c r="BS48" s="11">
        <v>49</v>
      </c>
      <c r="BT48" s="516">
        <f t="shared" si="99"/>
        <v>471</v>
      </c>
      <c r="BU48" s="239">
        <f t="shared" si="100"/>
        <v>620</v>
      </c>
      <c r="BV48" s="239">
        <f t="shared" si="101"/>
        <v>620</v>
      </c>
      <c r="BW48" s="239">
        <f t="shared" si="102"/>
        <v>620</v>
      </c>
      <c r="BX48" s="239">
        <f t="shared" si="103"/>
        <v>620</v>
      </c>
      <c r="BY48" s="239">
        <f t="shared" si="104"/>
        <v>620</v>
      </c>
      <c r="BZ48" s="239">
        <f t="shared" si="104"/>
        <v>313</v>
      </c>
      <c r="CA48" s="558">
        <f t="shared" si="44"/>
        <v>50.483870967741936</v>
      </c>
    </row>
    <row r="49" spans="1:79" x14ac:dyDescent="0.2">
      <c r="A49" s="230" t="s">
        <v>569</v>
      </c>
      <c r="B49" s="14" t="s">
        <v>221</v>
      </c>
      <c r="C49" s="403">
        <f t="shared" ref="C49:AT49" si="187">SUM(C50:C88)</f>
        <v>18795</v>
      </c>
      <c r="D49" s="6">
        <f t="shared" ref="D49" si="188">SUM(D50:D88)</f>
        <v>33145</v>
      </c>
      <c r="E49" s="6">
        <f t="shared" ref="E49" si="189">SUM(E50:E88)</f>
        <v>32288</v>
      </c>
      <c r="F49" s="6">
        <f t="shared" ref="F49:G49" si="190">SUM(F50:F88)</f>
        <v>33435</v>
      </c>
      <c r="G49" s="6">
        <f t="shared" si="190"/>
        <v>33875</v>
      </c>
      <c r="H49" s="6">
        <f t="shared" ref="H49:I49" si="191">SUM(H50:H88)</f>
        <v>33598</v>
      </c>
      <c r="I49" s="6">
        <f t="shared" si="191"/>
        <v>29553</v>
      </c>
      <c r="J49" s="6">
        <f t="shared" si="187"/>
        <v>0</v>
      </c>
      <c r="K49" s="6">
        <f t="shared" si="187"/>
        <v>0</v>
      </c>
      <c r="L49" s="6">
        <f t="shared" si="187"/>
        <v>0</v>
      </c>
      <c r="M49" s="6">
        <f t="shared" si="187"/>
        <v>0</v>
      </c>
      <c r="N49" s="6"/>
      <c r="O49" s="6">
        <f t="shared" si="187"/>
        <v>0</v>
      </c>
      <c r="P49" s="403">
        <f t="shared" si="187"/>
        <v>65514</v>
      </c>
      <c r="Q49" s="6">
        <f t="shared" ref="Q49" si="192">SUM(Q50:Q88)</f>
        <v>52900</v>
      </c>
      <c r="R49" s="6">
        <f t="shared" ref="R49:T49" si="193">SUM(R50:R88)</f>
        <v>52900</v>
      </c>
      <c r="S49" s="6">
        <f t="shared" si="193"/>
        <v>52900</v>
      </c>
      <c r="T49" s="6">
        <f t="shared" si="193"/>
        <v>49900</v>
      </c>
      <c r="U49" s="6">
        <f t="shared" ref="U49:V49" si="194">SUM(U50:U88)</f>
        <v>51790</v>
      </c>
      <c r="V49" s="6">
        <f t="shared" si="194"/>
        <v>49870</v>
      </c>
      <c r="W49" s="403">
        <f t="shared" si="187"/>
        <v>4189</v>
      </c>
      <c r="X49" s="6">
        <f t="shared" ref="X49" si="195">SUM(X50:X88)</f>
        <v>6000</v>
      </c>
      <c r="Y49" s="6">
        <f t="shared" ref="Y49" si="196">SUM(Y50:Y88)</f>
        <v>5835</v>
      </c>
      <c r="Z49" s="6">
        <f t="shared" ref="Z49:AA49" si="197">SUM(Z50:Z88)</f>
        <v>5835</v>
      </c>
      <c r="AA49" s="6">
        <f t="shared" si="197"/>
        <v>5710</v>
      </c>
      <c r="AB49" s="6">
        <f t="shared" ref="AB49:AC49" si="198">SUM(AB50:AB88)</f>
        <v>5747</v>
      </c>
      <c r="AC49" s="6">
        <f t="shared" si="198"/>
        <v>4689</v>
      </c>
      <c r="AD49" s="403">
        <f t="shared" si="187"/>
        <v>156290</v>
      </c>
      <c r="AE49" s="6">
        <f t="shared" ref="AE49" si="199">SUM(AE50:AE88)</f>
        <v>113698</v>
      </c>
      <c r="AF49" s="6">
        <f t="shared" ref="AF49" si="200">SUM(AF50:AF88)</f>
        <v>115337</v>
      </c>
      <c r="AG49" s="6">
        <f t="shared" ref="AG49:AH49" si="201">SUM(AG50:AG88)</f>
        <v>112426</v>
      </c>
      <c r="AH49" s="6">
        <f t="shared" si="201"/>
        <v>120416</v>
      </c>
      <c r="AI49" s="6">
        <f t="shared" ref="AI49:AJ49" si="202">SUM(AI50:AI88)</f>
        <v>120416</v>
      </c>
      <c r="AJ49" s="6">
        <f t="shared" si="202"/>
        <v>69871</v>
      </c>
      <c r="AK49" s="403">
        <f t="shared" si="187"/>
        <v>24421</v>
      </c>
      <c r="AL49" s="6">
        <f t="shared" ref="AL49" si="203">SUM(AL50:AL88)</f>
        <v>26036</v>
      </c>
      <c r="AM49" s="6">
        <f t="shared" ref="AM49:AO49" si="204">SUM(AM50:AM88)</f>
        <v>26186</v>
      </c>
      <c r="AN49" s="6">
        <f t="shared" si="204"/>
        <v>26732</v>
      </c>
      <c r="AO49" s="6">
        <f t="shared" si="204"/>
        <v>26732</v>
      </c>
      <c r="AP49" s="6">
        <f t="shared" ref="AP49:AQ49" si="205">SUM(AP50:AP88)</f>
        <v>26732</v>
      </c>
      <c r="AQ49" s="6">
        <f t="shared" si="205"/>
        <v>26419</v>
      </c>
      <c r="AR49" s="6">
        <f t="shared" si="187"/>
        <v>0</v>
      </c>
      <c r="AS49" s="6"/>
      <c r="AT49" s="6">
        <f t="shared" si="187"/>
        <v>0</v>
      </c>
      <c r="AU49" s="6">
        <f t="shared" ref="AU49:BM49" si="206">SUM(AU50:AU88)</f>
        <v>0</v>
      </c>
      <c r="AV49" s="6">
        <f t="shared" si="206"/>
        <v>0</v>
      </c>
      <c r="AW49" s="6"/>
      <c r="AX49" s="6">
        <f t="shared" si="206"/>
        <v>0</v>
      </c>
      <c r="AY49" s="6">
        <f t="shared" si="206"/>
        <v>0</v>
      </c>
      <c r="AZ49" s="6"/>
      <c r="BA49" s="6">
        <f t="shared" si="206"/>
        <v>0</v>
      </c>
      <c r="BB49" s="6">
        <f t="shared" si="206"/>
        <v>0</v>
      </c>
      <c r="BC49" s="6">
        <f t="shared" si="206"/>
        <v>0</v>
      </c>
      <c r="BD49" s="6"/>
      <c r="BE49" s="6">
        <f t="shared" si="206"/>
        <v>0</v>
      </c>
      <c r="BF49" s="403">
        <f t="shared" si="206"/>
        <v>22667</v>
      </c>
      <c r="BG49" s="6">
        <f t="shared" ref="BG49" si="207">SUM(BG50:BG88)</f>
        <v>25970</v>
      </c>
      <c r="BH49" s="6">
        <f t="shared" ref="BH49" si="208">SUM(BH50:BH88)</f>
        <v>26827</v>
      </c>
      <c r="BI49" s="6">
        <f t="shared" ref="BI49:BJ49" si="209">SUM(BI50:BI88)</f>
        <v>27931</v>
      </c>
      <c r="BJ49" s="6">
        <f t="shared" si="209"/>
        <v>26877</v>
      </c>
      <c r="BK49" s="6">
        <f t="shared" ref="BK49:BL49" si="210">SUM(BK50:BK88)</f>
        <v>26877</v>
      </c>
      <c r="BL49" s="6">
        <f t="shared" si="210"/>
        <v>23178</v>
      </c>
      <c r="BM49" s="403">
        <f t="shared" si="206"/>
        <v>10658</v>
      </c>
      <c r="BN49" s="6">
        <f t="shared" ref="BN49" si="211">SUM(BN50:BN88)</f>
        <v>26410</v>
      </c>
      <c r="BO49" s="6">
        <f t="shared" ref="BO49" si="212">SUM(BO50:BO88)</f>
        <v>28016</v>
      </c>
      <c r="BP49" s="6">
        <f t="shared" ref="BP49:BQ49" si="213">SUM(BP50:BP88)</f>
        <v>28016</v>
      </c>
      <c r="BQ49" s="6">
        <f t="shared" si="213"/>
        <v>28016</v>
      </c>
      <c r="BR49" s="6">
        <f t="shared" ref="BR49:BS49" si="214">SUM(BR50:BR88)</f>
        <v>28016</v>
      </c>
      <c r="BS49" s="6">
        <f t="shared" si="214"/>
        <v>21372</v>
      </c>
      <c r="BT49" s="518">
        <f t="shared" si="99"/>
        <v>302534</v>
      </c>
      <c r="BU49" s="317">
        <f t="shared" si="100"/>
        <v>284159</v>
      </c>
      <c r="BV49" s="317">
        <f t="shared" si="101"/>
        <v>287389</v>
      </c>
      <c r="BW49" s="317">
        <f t="shared" si="102"/>
        <v>287275</v>
      </c>
      <c r="BX49" s="317">
        <f t="shared" si="103"/>
        <v>291526</v>
      </c>
      <c r="BY49" s="317">
        <f t="shared" si="104"/>
        <v>293176</v>
      </c>
      <c r="BZ49" s="317">
        <f t="shared" si="104"/>
        <v>224952</v>
      </c>
      <c r="CA49" s="558">
        <f t="shared" si="44"/>
        <v>76.729336644200075</v>
      </c>
    </row>
    <row r="50" spans="1:79" s="9" customFormat="1" x14ac:dyDescent="0.2">
      <c r="A50" s="55" t="s">
        <v>392</v>
      </c>
      <c r="B50" s="8" t="s">
        <v>238</v>
      </c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>
        <v>43787</v>
      </c>
      <c r="Q50" s="11">
        <v>30000</v>
      </c>
      <c r="R50" s="11">
        <v>30000</v>
      </c>
      <c r="S50" s="11">
        <v>30000</v>
      </c>
      <c r="T50" s="11">
        <f>30000-2200-800</f>
        <v>27000</v>
      </c>
      <c r="U50" s="11">
        <f>30000-2200-800</f>
        <v>27000</v>
      </c>
      <c r="V50" s="11">
        <v>25220</v>
      </c>
      <c r="W50" s="159">
        <v>581</v>
      </c>
      <c r="X50" s="11">
        <v>900</v>
      </c>
      <c r="Y50" s="11">
        <v>900</v>
      </c>
      <c r="Z50" s="11">
        <v>900</v>
      </c>
      <c r="AA50" s="11">
        <v>900</v>
      </c>
      <c r="AB50" s="11">
        <v>900</v>
      </c>
      <c r="AC50" s="11">
        <v>435</v>
      </c>
      <c r="AD50" s="159">
        <v>13252</v>
      </c>
      <c r="AE50" s="11">
        <v>15000</v>
      </c>
      <c r="AF50" s="11">
        <v>15000</v>
      </c>
      <c r="AG50" s="11">
        <v>15000</v>
      </c>
      <c r="AH50" s="11">
        <v>15000</v>
      </c>
      <c r="AI50" s="11">
        <v>15000</v>
      </c>
      <c r="AJ50" s="11">
        <v>11768</v>
      </c>
      <c r="AK50" s="159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59">
        <v>5761</v>
      </c>
      <c r="BG50" s="11">
        <v>7000</v>
      </c>
      <c r="BH50" s="11">
        <v>7000</v>
      </c>
      <c r="BI50" s="11">
        <v>7000</v>
      </c>
      <c r="BJ50" s="11">
        <v>7000</v>
      </c>
      <c r="BK50" s="11">
        <v>7000</v>
      </c>
      <c r="BL50" s="11">
        <v>5194</v>
      </c>
      <c r="BM50" s="159"/>
      <c r="BN50" s="11"/>
      <c r="BO50" s="11"/>
      <c r="BP50" s="11"/>
      <c r="BQ50" s="11"/>
      <c r="BR50" s="11"/>
      <c r="BS50" s="11"/>
      <c r="BT50" s="516">
        <f t="shared" si="99"/>
        <v>63381</v>
      </c>
      <c r="BU50" s="239">
        <f t="shared" si="100"/>
        <v>52900</v>
      </c>
      <c r="BV50" s="239">
        <f t="shared" si="101"/>
        <v>52900</v>
      </c>
      <c r="BW50" s="239">
        <f t="shared" si="102"/>
        <v>52900</v>
      </c>
      <c r="BX50" s="239">
        <f t="shared" si="103"/>
        <v>49900</v>
      </c>
      <c r="BY50" s="239">
        <f t="shared" si="104"/>
        <v>49900</v>
      </c>
      <c r="BZ50" s="239">
        <f t="shared" si="104"/>
        <v>42617</v>
      </c>
      <c r="CA50" s="558">
        <f t="shared" si="44"/>
        <v>85.404809619238478</v>
      </c>
    </row>
    <row r="51" spans="1:79" s="9" customFormat="1" x14ac:dyDescent="0.2">
      <c r="A51" s="55" t="s">
        <v>486</v>
      </c>
      <c r="B51" s="8" t="s">
        <v>246</v>
      </c>
      <c r="C51" s="159"/>
      <c r="D51" s="11"/>
      <c r="E51" s="11"/>
      <c r="F51" s="11"/>
      <c r="G51" s="11"/>
      <c r="H51" s="11"/>
      <c r="I51" s="11"/>
      <c r="J51" s="159"/>
      <c r="K51" s="159"/>
      <c r="L51" s="159"/>
      <c r="M51" s="159"/>
      <c r="N51" s="159"/>
      <c r="O51" s="159"/>
      <c r="P51" s="159"/>
      <c r="Q51" s="11"/>
      <c r="R51" s="11"/>
      <c r="S51" s="11"/>
      <c r="T51" s="11"/>
      <c r="U51" s="11"/>
      <c r="V51" s="11"/>
      <c r="W51" s="159"/>
      <c r="X51" s="11"/>
      <c r="Y51" s="11"/>
      <c r="Z51" s="11"/>
      <c r="AA51" s="11"/>
      <c r="AB51" s="11"/>
      <c r="AC51" s="11"/>
      <c r="AD51" s="159"/>
      <c r="AE51" s="11"/>
      <c r="AF51" s="11"/>
      <c r="AG51" s="11"/>
      <c r="AH51" s="11"/>
      <c r="AI51" s="11"/>
      <c r="AJ51" s="11"/>
      <c r="AK51" s="159">
        <v>23899</v>
      </c>
      <c r="AL51" s="11">
        <v>26036</v>
      </c>
      <c r="AM51" s="11">
        <v>26036</v>
      </c>
      <c r="AN51" s="11">
        <v>26036</v>
      </c>
      <c r="AO51" s="11">
        <v>26036</v>
      </c>
      <c r="AP51" s="11">
        <v>26036</v>
      </c>
      <c r="AQ51" s="11">
        <v>25723</v>
      </c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59"/>
      <c r="BG51" s="11"/>
      <c r="BH51" s="11"/>
      <c r="BI51" s="11"/>
      <c r="BJ51" s="11"/>
      <c r="BK51" s="11"/>
      <c r="BL51" s="11"/>
      <c r="BM51" s="159"/>
      <c r="BN51" s="11"/>
      <c r="BO51" s="11"/>
      <c r="BP51" s="11"/>
      <c r="BQ51" s="11"/>
      <c r="BR51" s="11"/>
      <c r="BS51" s="11"/>
      <c r="BT51" s="516">
        <f t="shared" si="99"/>
        <v>23899</v>
      </c>
      <c r="BU51" s="239">
        <f t="shared" si="100"/>
        <v>26036</v>
      </c>
      <c r="BV51" s="239">
        <f t="shared" si="101"/>
        <v>26036</v>
      </c>
      <c r="BW51" s="239">
        <f t="shared" si="102"/>
        <v>26036</v>
      </c>
      <c r="BX51" s="239">
        <f t="shared" si="103"/>
        <v>26036</v>
      </c>
      <c r="BY51" s="239">
        <f t="shared" ref="BY51:BZ66" si="215">H51+N51+U51+AB51+AI51+AP51+AW51+BD51+BK51+BR51</f>
        <v>26036</v>
      </c>
      <c r="BZ51" s="239">
        <f t="shared" si="215"/>
        <v>25723</v>
      </c>
      <c r="CA51" s="558">
        <f t="shared" si="44"/>
        <v>98.797818405284985</v>
      </c>
    </row>
    <row r="52" spans="1:79" s="9" customFormat="1" x14ac:dyDescent="0.2">
      <c r="A52" s="55" t="s">
        <v>542</v>
      </c>
      <c r="B52" s="8" t="s">
        <v>237</v>
      </c>
      <c r="C52" s="159">
        <v>81</v>
      </c>
      <c r="D52" s="11">
        <f>100+2830</f>
        <v>2930</v>
      </c>
      <c r="E52" s="11">
        <f>100+2830-2830</f>
        <v>100</v>
      </c>
      <c r="F52" s="11">
        <f>100+2830-2830</f>
        <v>100</v>
      </c>
      <c r="G52" s="11">
        <f>100+2830-2830</f>
        <v>100</v>
      </c>
      <c r="H52" s="11">
        <f>100+2830-2830</f>
        <v>100</v>
      </c>
      <c r="I52" s="11">
        <v>85</v>
      </c>
      <c r="J52" s="159"/>
      <c r="K52" s="159"/>
      <c r="L52" s="159"/>
      <c r="M52" s="159"/>
      <c r="N52" s="159"/>
      <c r="O52" s="159"/>
      <c r="P52" s="159">
        <v>18996</v>
      </c>
      <c r="Q52" s="11">
        <v>20000</v>
      </c>
      <c r="R52" s="11">
        <f>20000</f>
        <v>20000</v>
      </c>
      <c r="S52" s="11">
        <v>20000</v>
      </c>
      <c r="T52" s="11">
        <v>20000</v>
      </c>
      <c r="U52" s="11">
        <f>20000+1650</f>
        <v>21650</v>
      </c>
      <c r="V52" s="11">
        <v>21551</v>
      </c>
      <c r="W52" s="159"/>
      <c r="X52" s="11"/>
      <c r="Y52" s="11"/>
      <c r="Z52" s="11"/>
      <c r="AA52" s="11"/>
      <c r="AB52" s="11"/>
      <c r="AC52" s="11"/>
      <c r="AD52" s="159">
        <v>734</v>
      </c>
      <c r="AE52" s="11">
        <f t="shared" ref="AE52:AI52" si="216">100+750</f>
        <v>850</v>
      </c>
      <c r="AF52" s="11">
        <f t="shared" si="216"/>
        <v>850</v>
      </c>
      <c r="AG52" s="11">
        <f t="shared" si="216"/>
        <v>850</v>
      </c>
      <c r="AH52" s="11">
        <f t="shared" si="216"/>
        <v>850</v>
      </c>
      <c r="AI52" s="11">
        <f t="shared" si="216"/>
        <v>850</v>
      </c>
      <c r="AJ52" s="11">
        <v>797</v>
      </c>
      <c r="AK52" s="159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59"/>
      <c r="BG52" s="11"/>
      <c r="BH52" s="11"/>
      <c r="BI52" s="11"/>
      <c r="BJ52" s="11"/>
      <c r="BK52" s="11"/>
      <c r="BL52" s="11"/>
      <c r="BM52" s="159">
        <v>0</v>
      </c>
      <c r="BN52" s="11">
        <v>0</v>
      </c>
      <c r="BO52" s="11">
        <v>100</v>
      </c>
      <c r="BP52" s="11">
        <v>100</v>
      </c>
      <c r="BQ52" s="11">
        <v>100</v>
      </c>
      <c r="BR52" s="11">
        <v>100</v>
      </c>
      <c r="BS52" s="11">
        <v>100</v>
      </c>
      <c r="BT52" s="516">
        <f t="shared" si="99"/>
        <v>19811</v>
      </c>
      <c r="BU52" s="239">
        <f t="shared" si="100"/>
        <v>23780</v>
      </c>
      <c r="BV52" s="239">
        <f t="shared" si="101"/>
        <v>21050</v>
      </c>
      <c r="BW52" s="239">
        <f t="shared" si="102"/>
        <v>21050</v>
      </c>
      <c r="BX52" s="239">
        <f t="shared" si="103"/>
        <v>21050</v>
      </c>
      <c r="BY52" s="239">
        <f t="shared" si="215"/>
        <v>22700</v>
      </c>
      <c r="BZ52" s="239">
        <f t="shared" si="215"/>
        <v>22533</v>
      </c>
      <c r="CA52" s="558">
        <f t="shared" si="44"/>
        <v>99.264317180616729</v>
      </c>
    </row>
    <row r="53" spans="1:79" s="9" customFormat="1" x14ac:dyDescent="0.2">
      <c r="A53" s="55" t="s">
        <v>489</v>
      </c>
      <c r="B53" s="8" t="s">
        <v>236</v>
      </c>
      <c r="C53" s="159">
        <v>505</v>
      </c>
      <c r="D53" s="11">
        <v>500</v>
      </c>
      <c r="E53" s="11">
        <v>500</v>
      </c>
      <c r="F53" s="11">
        <v>500</v>
      </c>
      <c r="G53" s="11">
        <v>500</v>
      </c>
      <c r="H53" s="11">
        <f>500-37</f>
        <v>463</v>
      </c>
      <c r="I53" s="11">
        <v>355</v>
      </c>
      <c r="J53" s="11"/>
      <c r="K53" s="11"/>
      <c r="L53" s="11"/>
      <c r="M53" s="159"/>
      <c r="N53" s="159"/>
      <c r="O53" s="159"/>
      <c r="P53" s="159"/>
      <c r="Q53" s="11"/>
      <c r="R53" s="11"/>
      <c r="S53" s="11"/>
      <c r="T53" s="11"/>
      <c r="U53" s="11"/>
      <c r="V53" s="11"/>
      <c r="W53" s="159">
        <v>1140</v>
      </c>
      <c r="X53" s="11">
        <f>1500</f>
        <v>1500</v>
      </c>
      <c r="Y53" s="11">
        <f>1500-165</f>
        <v>1335</v>
      </c>
      <c r="Z53" s="11">
        <f>1500-165</f>
        <v>1335</v>
      </c>
      <c r="AA53" s="11">
        <f>1500-165</f>
        <v>1335</v>
      </c>
      <c r="AB53" s="11">
        <f>1500-165+37</f>
        <v>1372</v>
      </c>
      <c r="AC53" s="11">
        <v>1371</v>
      </c>
      <c r="AD53" s="159">
        <v>32077</v>
      </c>
      <c r="AE53" s="11">
        <v>8725</v>
      </c>
      <c r="AF53" s="11">
        <f>8725+2179</f>
        <v>10904</v>
      </c>
      <c r="AG53" s="11">
        <f>8725+2179</f>
        <v>10904</v>
      </c>
      <c r="AH53" s="11">
        <f>8725+2179</f>
        <v>10904</v>
      </c>
      <c r="AI53" s="11">
        <f>8725+2179</f>
        <v>10904</v>
      </c>
      <c r="AJ53" s="11">
        <v>6376</v>
      </c>
      <c r="AK53" s="159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59">
        <v>30</v>
      </c>
      <c r="BG53" s="11">
        <v>200</v>
      </c>
      <c r="BH53" s="11">
        <v>200</v>
      </c>
      <c r="BI53" s="11">
        <v>200</v>
      </c>
      <c r="BJ53" s="11">
        <v>200</v>
      </c>
      <c r="BK53" s="11">
        <v>200</v>
      </c>
      <c r="BL53" s="11">
        <v>47</v>
      </c>
      <c r="BM53" s="159">
        <v>28</v>
      </c>
      <c r="BN53" s="11">
        <v>100</v>
      </c>
      <c r="BO53" s="11">
        <v>100</v>
      </c>
      <c r="BP53" s="11">
        <v>100</v>
      </c>
      <c r="BQ53" s="11">
        <v>100</v>
      </c>
      <c r="BR53" s="11">
        <v>100</v>
      </c>
      <c r="BS53" s="11">
        <v>0</v>
      </c>
      <c r="BT53" s="516">
        <f t="shared" si="99"/>
        <v>33780</v>
      </c>
      <c r="BU53" s="239">
        <f t="shared" si="100"/>
        <v>11025</v>
      </c>
      <c r="BV53" s="239">
        <f t="shared" si="101"/>
        <v>13039</v>
      </c>
      <c r="BW53" s="239">
        <f t="shared" si="102"/>
        <v>13039</v>
      </c>
      <c r="BX53" s="239">
        <f t="shared" si="103"/>
        <v>13039</v>
      </c>
      <c r="BY53" s="239">
        <f t="shared" si="215"/>
        <v>13039</v>
      </c>
      <c r="BZ53" s="239">
        <f t="shared" si="215"/>
        <v>8149</v>
      </c>
      <c r="CA53" s="558">
        <f t="shared" si="44"/>
        <v>62.497124012577657</v>
      </c>
    </row>
    <row r="54" spans="1:79" s="9" customFormat="1" hidden="1" x14ac:dyDescent="0.2">
      <c r="A54" s="55"/>
      <c r="B54" s="8" t="s">
        <v>318</v>
      </c>
      <c r="C54" s="159"/>
      <c r="D54" s="11"/>
      <c r="E54" s="11"/>
      <c r="F54" s="11"/>
      <c r="G54" s="11"/>
      <c r="H54" s="11"/>
      <c r="I54" s="11"/>
      <c r="J54" s="159"/>
      <c r="K54" s="159"/>
      <c r="L54" s="159"/>
      <c r="M54" s="159"/>
      <c r="N54" s="159"/>
      <c r="O54" s="159"/>
      <c r="P54" s="159"/>
      <c r="Q54" s="11"/>
      <c r="R54" s="11"/>
      <c r="S54" s="11"/>
      <c r="T54" s="11"/>
      <c r="U54" s="11"/>
      <c r="V54" s="11"/>
      <c r="W54" s="159"/>
      <c r="X54" s="11"/>
      <c r="Y54" s="11"/>
      <c r="Z54" s="11"/>
      <c r="AA54" s="11"/>
      <c r="AB54" s="11"/>
      <c r="AC54" s="11"/>
      <c r="AD54" s="159"/>
      <c r="AE54" s="11"/>
      <c r="AF54" s="11"/>
      <c r="AG54" s="11"/>
      <c r="AH54" s="11"/>
      <c r="AI54" s="11"/>
      <c r="AJ54" s="11"/>
      <c r="AK54" s="159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59"/>
      <c r="BG54" s="11"/>
      <c r="BH54" s="11"/>
      <c r="BI54" s="11"/>
      <c r="BJ54" s="11"/>
      <c r="BK54" s="11"/>
      <c r="BL54" s="11"/>
      <c r="BM54" s="159"/>
      <c r="BN54" s="11"/>
      <c r="BO54" s="11"/>
      <c r="BP54" s="11"/>
      <c r="BQ54" s="11"/>
      <c r="BR54" s="11"/>
      <c r="BS54" s="11"/>
      <c r="BT54" s="516">
        <f t="shared" si="99"/>
        <v>0</v>
      </c>
      <c r="BU54" s="239">
        <f t="shared" si="100"/>
        <v>0</v>
      </c>
      <c r="BV54" s="239">
        <f t="shared" si="101"/>
        <v>0</v>
      </c>
      <c r="BW54" s="239">
        <f t="shared" si="102"/>
        <v>0</v>
      </c>
      <c r="BX54" s="239">
        <f t="shared" si="103"/>
        <v>0</v>
      </c>
      <c r="BY54" s="239">
        <f t="shared" si="215"/>
        <v>0</v>
      </c>
      <c r="BZ54" s="239">
        <f t="shared" si="215"/>
        <v>0</v>
      </c>
      <c r="CA54" s="558" t="e">
        <f t="shared" si="44"/>
        <v>#DIV/0!</v>
      </c>
    </row>
    <row r="55" spans="1:79" s="9" customFormat="1" ht="12.75" customHeight="1" x14ac:dyDescent="0.2">
      <c r="A55" s="55" t="s">
        <v>496</v>
      </c>
      <c r="B55" s="8" t="s">
        <v>235</v>
      </c>
      <c r="C55" s="159">
        <v>0</v>
      </c>
      <c r="D55" s="11">
        <v>0</v>
      </c>
      <c r="E55" s="11"/>
      <c r="F55" s="11">
        <v>0</v>
      </c>
      <c r="G55" s="11">
        <v>5</v>
      </c>
      <c r="H55" s="11">
        <v>5</v>
      </c>
      <c r="I55" s="11">
        <v>5</v>
      </c>
      <c r="J55" s="159"/>
      <c r="K55" s="159"/>
      <c r="L55" s="159"/>
      <c r="M55" s="159"/>
      <c r="N55" s="159"/>
      <c r="O55" s="159"/>
      <c r="P55" s="159"/>
      <c r="Q55" s="11"/>
      <c r="R55" s="11"/>
      <c r="S55" s="11"/>
      <c r="T55" s="11"/>
      <c r="U55" s="11"/>
      <c r="V55" s="11"/>
      <c r="W55" s="159"/>
      <c r="X55" s="11"/>
      <c r="Y55" s="11"/>
      <c r="Z55" s="11"/>
      <c r="AA55" s="11"/>
      <c r="AB55" s="11"/>
      <c r="AC55" s="11"/>
      <c r="AD55" s="159">
        <v>5613</v>
      </c>
      <c r="AE55" s="11">
        <v>6000</v>
      </c>
      <c r="AF55" s="11">
        <v>6000</v>
      </c>
      <c r="AG55" s="11">
        <v>6000</v>
      </c>
      <c r="AH55" s="11">
        <f>6000+505+495</f>
        <v>7000</v>
      </c>
      <c r="AI55" s="11">
        <f>6000+505+495</f>
        <v>7000</v>
      </c>
      <c r="AJ55" s="11">
        <v>6499</v>
      </c>
      <c r="AK55" s="159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59">
        <v>910</v>
      </c>
      <c r="BG55" s="11">
        <v>1500</v>
      </c>
      <c r="BH55" s="11">
        <v>1500</v>
      </c>
      <c r="BI55" s="11">
        <v>1500</v>
      </c>
      <c r="BJ55" s="11">
        <f>1500-495-5</f>
        <v>1000</v>
      </c>
      <c r="BK55" s="11">
        <f>1500-495-5</f>
        <v>1000</v>
      </c>
      <c r="BL55" s="11">
        <v>592</v>
      </c>
      <c r="BM55" s="159"/>
      <c r="BN55" s="11"/>
      <c r="BO55" s="11"/>
      <c r="BP55" s="11"/>
      <c r="BQ55" s="11"/>
      <c r="BR55" s="11"/>
      <c r="BS55" s="11"/>
      <c r="BT55" s="516">
        <f t="shared" si="99"/>
        <v>6523</v>
      </c>
      <c r="BU55" s="239">
        <f t="shared" si="100"/>
        <v>7500</v>
      </c>
      <c r="BV55" s="239">
        <f t="shared" si="101"/>
        <v>7500</v>
      </c>
      <c r="BW55" s="239">
        <f t="shared" si="102"/>
        <v>7500</v>
      </c>
      <c r="BX55" s="239">
        <f t="shared" si="103"/>
        <v>8005</v>
      </c>
      <c r="BY55" s="239">
        <f t="shared" si="215"/>
        <v>8005</v>
      </c>
      <c r="BZ55" s="239">
        <f t="shared" si="215"/>
        <v>7096</v>
      </c>
      <c r="CA55" s="558">
        <f t="shared" si="44"/>
        <v>88.644597126795759</v>
      </c>
    </row>
    <row r="56" spans="1:79" s="9" customFormat="1" x14ac:dyDescent="0.2">
      <c r="A56" s="55" t="s">
        <v>393</v>
      </c>
      <c r="B56" s="8" t="s">
        <v>234</v>
      </c>
      <c r="C56" s="159"/>
      <c r="D56" s="11"/>
      <c r="E56" s="11"/>
      <c r="F56" s="11"/>
      <c r="G56" s="11"/>
      <c r="H56" s="11"/>
      <c r="I56" s="11"/>
      <c r="J56" s="159"/>
      <c r="K56" s="159"/>
      <c r="L56" s="159"/>
      <c r="M56" s="159"/>
      <c r="N56" s="159"/>
      <c r="O56" s="159"/>
      <c r="P56" s="159"/>
      <c r="Q56" s="11"/>
      <c r="R56" s="11"/>
      <c r="S56" s="11"/>
      <c r="T56" s="11"/>
      <c r="U56" s="11"/>
      <c r="V56" s="11"/>
      <c r="W56" s="159"/>
      <c r="X56" s="11"/>
      <c r="Y56" s="11"/>
      <c r="Z56" s="11"/>
      <c r="AA56" s="11"/>
      <c r="AB56" s="11"/>
      <c r="AC56" s="11"/>
      <c r="AD56" s="159"/>
      <c r="AE56" s="11"/>
      <c r="AF56" s="11"/>
      <c r="AG56" s="11"/>
      <c r="AH56" s="11"/>
      <c r="AI56" s="11"/>
      <c r="AJ56" s="11"/>
      <c r="AK56" s="159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59"/>
      <c r="BG56" s="11"/>
      <c r="BH56" s="11"/>
      <c r="BI56" s="11"/>
      <c r="BJ56" s="11"/>
      <c r="BK56" s="11"/>
      <c r="BL56" s="11"/>
      <c r="BM56" s="159"/>
      <c r="BN56" s="11"/>
      <c r="BO56" s="11"/>
      <c r="BP56" s="11"/>
      <c r="BQ56" s="11"/>
      <c r="BR56" s="11"/>
      <c r="BS56" s="11"/>
      <c r="BT56" s="516">
        <f t="shared" si="99"/>
        <v>0</v>
      </c>
      <c r="BU56" s="239">
        <f t="shared" si="100"/>
        <v>0</v>
      </c>
      <c r="BV56" s="239">
        <f t="shared" si="101"/>
        <v>0</v>
      </c>
      <c r="BW56" s="239">
        <f t="shared" si="102"/>
        <v>0</v>
      </c>
      <c r="BX56" s="239">
        <f t="shared" si="103"/>
        <v>0</v>
      </c>
      <c r="BY56" s="239">
        <f t="shared" si="215"/>
        <v>0</v>
      </c>
      <c r="BZ56" s="239">
        <f t="shared" si="215"/>
        <v>0</v>
      </c>
      <c r="CA56" s="558"/>
    </row>
    <row r="57" spans="1:79" s="9" customFormat="1" x14ac:dyDescent="0.2">
      <c r="A57" s="55"/>
      <c r="B57" s="8" t="s">
        <v>241</v>
      </c>
      <c r="C57" s="159">
        <v>1620</v>
      </c>
      <c r="D57" s="11">
        <v>1620</v>
      </c>
      <c r="E57" s="11">
        <v>1620</v>
      </c>
      <c r="F57" s="11">
        <v>1620</v>
      </c>
      <c r="G57" s="11">
        <v>1620</v>
      </c>
      <c r="H57" s="11">
        <v>1620</v>
      </c>
      <c r="I57" s="11">
        <v>1620</v>
      </c>
      <c r="J57" s="159"/>
      <c r="K57" s="159"/>
      <c r="L57" s="159"/>
      <c r="M57" s="159"/>
      <c r="N57" s="159"/>
      <c r="O57" s="159"/>
      <c r="P57" s="159"/>
      <c r="Q57" s="11"/>
      <c r="R57" s="11"/>
      <c r="S57" s="11"/>
      <c r="T57" s="11"/>
      <c r="U57" s="11"/>
      <c r="V57" s="11"/>
      <c r="W57" s="159"/>
      <c r="X57" s="11"/>
      <c r="Y57" s="11"/>
      <c r="Z57" s="11"/>
      <c r="AA57" s="11"/>
      <c r="AB57" s="11"/>
      <c r="AC57" s="11"/>
      <c r="AD57" s="159"/>
      <c r="AE57" s="11"/>
      <c r="AF57" s="11"/>
      <c r="AG57" s="11"/>
      <c r="AH57" s="11"/>
      <c r="AI57" s="11"/>
      <c r="AJ57" s="11"/>
      <c r="AK57" s="159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59"/>
      <c r="BG57" s="11"/>
      <c r="BH57" s="11"/>
      <c r="BI57" s="11"/>
      <c r="BJ57" s="11"/>
      <c r="BK57" s="11"/>
      <c r="BL57" s="11"/>
      <c r="BM57" s="159"/>
      <c r="BN57" s="11"/>
      <c r="BO57" s="11"/>
      <c r="BP57" s="11"/>
      <c r="BQ57" s="11"/>
      <c r="BR57" s="11"/>
      <c r="BS57" s="11"/>
      <c r="BT57" s="516">
        <f t="shared" si="99"/>
        <v>1620</v>
      </c>
      <c r="BU57" s="239">
        <f t="shared" si="100"/>
        <v>1620</v>
      </c>
      <c r="BV57" s="239">
        <f t="shared" si="101"/>
        <v>1620</v>
      </c>
      <c r="BW57" s="239">
        <f t="shared" si="102"/>
        <v>1620</v>
      </c>
      <c r="BX57" s="239">
        <f t="shared" si="103"/>
        <v>1620</v>
      </c>
      <c r="BY57" s="239">
        <f t="shared" si="215"/>
        <v>1620</v>
      </c>
      <c r="BZ57" s="239">
        <f t="shared" si="215"/>
        <v>1620</v>
      </c>
      <c r="CA57" s="558">
        <f t="shared" si="44"/>
        <v>100</v>
      </c>
    </row>
    <row r="58" spans="1:79" s="9" customFormat="1" x14ac:dyDescent="0.2">
      <c r="A58" s="55"/>
      <c r="B58" s="8" t="s">
        <v>700</v>
      </c>
      <c r="C58" s="159">
        <v>1440</v>
      </c>
      <c r="D58" s="11">
        <f t="shared" ref="D58:H58" si="217">480+3000</f>
        <v>3480</v>
      </c>
      <c r="E58" s="11">
        <f t="shared" si="217"/>
        <v>3480</v>
      </c>
      <c r="F58" s="11">
        <f t="shared" si="217"/>
        <v>3480</v>
      </c>
      <c r="G58" s="11">
        <f t="shared" si="217"/>
        <v>3480</v>
      </c>
      <c r="H58" s="11">
        <f t="shared" si="217"/>
        <v>3480</v>
      </c>
      <c r="I58" s="11">
        <v>3480</v>
      </c>
      <c r="J58" s="159"/>
      <c r="K58" s="159"/>
      <c r="L58" s="159"/>
      <c r="M58" s="159"/>
      <c r="N58" s="159"/>
      <c r="O58" s="159"/>
      <c r="P58" s="159"/>
      <c r="Q58" s="11"/>
      <c r="R58" s="11"/>
      <c r="S58" s="11"/>
      <c r="T58" s="11"/>
      <c r="U58" s="11"/>
      <c r="V58" s="11"/>
      <c r="W58" s="159"/>
      <c r="X58" s="11"/>
      <c r="Y58" s="11"/>
      <c r="Z58" s="11"/>
      <c r="AA58" s="11"/>
      <c r="AB58" s="11"/>
      <c r="AC58" s="11"/>
      <c r="AD58" s="159"/>
      <c r="AE58" s="11"/>
      <c r="AF58" s="11"/>
      <c r="AG58" s="11"/>
      <c r="AH58" s="11"/>
      <c r="AI58" s="11"/>
      <c r="AJ58" s="11"/>
      <c r="AK58" s="159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59"/>
      <c r="BG58" s="11"/>
      <c r="BH58" s="11"/>
      <c r="BI58" s="11"/>
      <c r="BJ58" s="11"/>
      <c r="BK58" s="11"/>
      <c r="BL58" s="11"/>
      <c r="BM58" s="159"/>
      <c r="BN58" s="11"/>
      <c r="BO58" s="11"/>
      <c r="BP58" s="11"/>
      <c r="BQ58" s="11"/>
      <c r="BR58" s="11"/>
      <c r="BS58" s="11"/>
      <c r="BT58" s="516">
        <f t="shared" si="99"/>
        <v>1440</v>
      </c>
      <c r="BU58" s="239">
        <f t="shared" si="100"/>
        <v>3480</v>
      </c>
      <c r="BV58" s="239">
        <f t="shared" si="101"/>
        <v>3480</v>
      </c>
      <c r="BW58" s="239">
        <f t="shared" si="102"/>
        <v>3480</v>
      </c>
      <c r="BX58" s="239">
        <f t="shared" si="103"/>
        <v>3480</v>
      </c>
      <c r="BY58" s="239">
        <f t="shared" si="215"/>
        <v>3480</v>
      </c>
      <c r="BZ58" s="239">
        <f t="shared" si="215"/>
        <v>3480</v>
      </c>
      <c r="CA58" s="558">
        <f t="shared" si="44"/>
        <v>100</v>
      </c>
    </row>
    <row r="59" spans="1:79" s="9" customFormat="1" x14ac:dyDescent="0.2">
      <c r="A59" s="55"/>
      <c r="B59" s="8" t="s">
        <v>252</v>
      </c>
      <c r="C59" s="159">
        <v>7011</v>
      </c>
      <c r="D59" s="11">
        <v>5000</v>
      </c>
      <c r="E59" s="11">
        <v>5000</v>
      </c>
      <c r="F59" s="11">
        <v>5000</v>
      </c>
      <c r="G59" s="11">
        <v>5000</v>
      </c>
      <c r="H59" s="11">
        <v>5000</v>
      </c>
      <c r="I59" s="11">
        <v>2940</v>
      </c>
      <c r="J59" s="159"/>
      <c r="K59" s="159"/>
      <c r="L59" s="159"/>
      <c r="M59" s="159"/>
      <c r="N59" s="159"/>
      <c r="O59" s="159"/>
      <c r="P59" s="159"/>
      <c r="Q59" s="11"/>
      <c r="R59" s="11"/>
      <c r="S59" s="11"/>
      <c r="T59" s="11"/>
      <c r="U59" s="11"/>
      <c r="V59" s="11"/>
      <c r="W59" s="159"/>
      <c r="X59" s="11"/>
      <c r="Y59" s="11"/>
      <c r="Z59" s="11"/>
      <c r="AA59" s="11"/>
      <c r="AB59" s="11"/>
      <c r="AC59" s="11"/>
      <c r="AD59" s="159"/>
      <c r="AE59" s="11"/>
      <c r="AF59" s="11"/>
      <c r="AG59" s="11"/>
      <c r="AH59" s="11"/>
      <c r="AI59" s="11"/>
      <c r="AJ59" s="11"/>
      <c r="AK59" s="159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59"/>
      <c r="BG59" s="11"/>
      <c r="BH59" s="11"/>
      <c r="BI59" s="11"/>
      <c r="BJ59" s="11"/>
      <c r="BK59" s="11"/>
      <c r="BL59" s="11"/>
      <c r="BM59" s="159"/>
      <c r="BN59" s="11"/>
      <c r="BO59" s="11"/>
      <c r="BP59" s="11"/>
      <c r="BQ59" s="11"/>
      <c r="BR59" s="11"/>
      <c r="BS59" s="11"/>
      <c r="BT59" s="516">
        <f t="shared" si="99"/>
        <v>7011</v>
      </c>
      <c r="BU59" s="239">
        <f t="shared" si="100"/>
        <v>5000</v>
      </c>
      <c r="BV59" s="239">
        <f t="shared" si="101"/>
        <v>5000</v>
      </c>
      <c r="BW59" s="239">
        <f t="shared" si="102"/>
        <v>5000</v>
      </c>
      <c r="BX59" s="239">
        <f t="shared" si="103"/>
        <v>5000</v>
      </c>
      <c r="BY59" s="239">
        <f t="shared" si="215"/>
        <v>5000</v>
      </c>
      <c r="BZ59" s="239">
        <f t="shared" si="215"/>
        <v>2940</v>
      </c>
      <c r="CA59" s="558">
        <f t="shared" si="44"/>
        <v>58.8</v>
      </c>
    </row>
    <row r="60" spans="1:79" s="9" customFormat="1" x14ac:dyDescent="0.2">
      <c r="A60" s="55"/>
      <c r="B60" s="8" t="s">
        <v>402</v>
      </c>
      <c r="C60" s="159">
        <v>0</v>
      </c>
      <c r="D60" s="11">
        <v>2500</v>
      </c>
      <c r="E60" s="11">
        <v>2500</v>
      </c>
      <c r="F60" s="11">
        <f>2500+1290</f>
        <v>3790</v>
      </c>
      <c r="G60" s="11">
        <f>2500+1290</f>
        <v>3790</v>
      </c>
      <c r="H60" s="11">
        <f>2500+1290+25</f>
        <v>3815</v>
      </c>
      <c r="I60" s="11">
        <v>3811</v>
      </c>
      <c r="J60" s="159"/>
      <c r="K60" s="159"/>
      <c r="L60" s="159"/>
      <c r="M60" s="159"/>
      <c r="N60" s="159"/>
      <c r="O60" s="159"/>
      <c r="P60" s="159"/>
      <c r="Q60" s="11"/>
      <c r="R60" s="11"/>
      <c r="S60" s="11"/>
      <c r="T60" s="11"/>
      <c r="U60" s="11"/>
      <c r="V60" s="11"/>
      <c r="W60" s="159"/>
      <c r="X60" s="11"/>
      <c r="Y60" s="11"/>
      <c r="Z60" s="11"/>
      <c r="AA60" s="11"/>
      <c r="AB60" s="11"/>
      <c r="AC60" s="11"/>
      <c r="AD60" s="159"/>
      <c r="AE60" s="11"/>
      <c r="AF60" s="11"/>
      <c r="AG60" s="11"/>
      <c r="AH60" s="11"/>
      <c r="AI60" s="11"/>
      <c r="AJ60" s="11"/>
      <c r="AK60" s="159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59"/>
      <c r="BG60" s="11"/>
      <c r="BH60" s="11"/>
      <c r="BI60" s="11"/>
      <c r="BJ60" s="11"/>
      <c r="BK60" s="11"/>
      <c r="BL60" s="11"/>
      <c r="BM60" s="159"/>
      <c r="BN60" s="11"/>
      <c r="BO60" s="11"/>
      <c r="BP60" s="11"/>
      <c r="BQ60" s="11"/>
      <c r="BR60" s="11"/>
      <c r="BS60" s="11"/>
      <c r="BT60" s="516">
        <f t="shared" si="99"/>
        <v>0</v>
      </c>
      <c r="BU60" s="239">
        <f t="shared" si="100"/>
        <v>2500</v>
      </c>
      <c r="BV60" s="239">
        <f t="shared" si="101"/>
        <v>2500</v>
      </c>
      <c r="BW60" s="239">
        <f t="shared" si="102"/>
        <v>3790</v>
      </c>
      <c r="BX60" s="239">
        <f t="shared" si="103"/>
        <v>3790</v>
      </c>
      <c r="BY60" s="239">
        <f t="shared" si="215"/>
        <v>3815</v>
      </c>
      <c r="BZ60" s="239">
        <f t="shared" si="215"/>
        <v>3811</v>
      </c>
      <c r="CA60" s="558">
        <f t="shared" si="44"/>
        <v>99.895150720838799</v>
      </c>
    </row>
    <row r="61" spans="1:79" s="9" customFormat="1" x14ac:dyDescent="0.2">
      <c r="A61" s="55"/>
      <c r="B61" s="8" t="s">
        <v>250</v>
      </c>
      <c r="C61" s="188"/>
      <c r="D61" s="8"/>
      <c r="E61" s="8"/>
      <c r="F61" s="8"/>
      <c r="G61" s="8"/>
      <c r="H61" s="8"/>
      <c r="I61" s="8"/>
      <c r="J61" s="11"/>
      <c r="K61" s="11"/>
      <c r="L61" s="11"/>
      <c r="M61" s="159"/>
      <c r="N61" s="159"/>
      <c r="O61" s="159"/>
      <c r="P61" s="188"/>
      <c r="Q61" s="11"/>
      <c r="R61" s="11"/>
      <c r="S61" s="11"/>
      <c r="T61" s="11"/>
      <c r="U61" s="11"/>
      <c r="V61" s="11"/>
      <c r="W61" s="188"/>
      <c r="X61" s="11"/>
      <c r="Y61" s="11"/>
      <c r="Z61" s="11"/>
      <c r="AA61" s="11"/>
      <c r="AB61" s="11"/>
      <c r="AC61" s="11"/>
      <c r="AD61" s="188"/>
      <c r="AE61" s="11"/>
      <c r="AF61" s="11"/>
      <c r="AG61" s="11"/>
      <c r="AH61" s="11"/>
      <c r="AI61" s="11"/>
      <c r="AJ61" s="11"/>
      <c r="AK61" s="188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59">
        <v>127</v>
      </c>
      <c r="BG61" s="11">
        <v>200</v>
      </c>
      <c r="BH61" s="11">
        <v>200</v>
      </c>
      <c r="BI61" s="11">
        <v>200</v>
      </c>
      <c r="BJ61" s="11">
        <v>200</v>
      </c>
      <c r="BK61" s="11">
        <v>200</v>
      </c>
      <c r="BL61" s="11">
        <v>104</v>
      </c>
      <c r="BM61" s="188"/>
      <c r="BN61" s="11"/>
      <c r="BO61" s="11"/>
      <c r="BP61" s="11"/>
      <c r="BQ61" s="11"/>
      <c r="BR61" s="11"/>
      <c r="BS61" s="11"/>
      <c r="BT61" s="516">
        <f t="shared" si="99"/>
        <v>127</v>
      </c>
      <c r="BU61" s="239">
        <f t="shared" si="100"/>
        <v>200</v>
      </c>
      <c r="BV61" s="239">
        <f t="shared" si="101"/>
        <v>200</v>
      </c>
      <c r="BW61" s="239">
        <f t="shared" si="102"/>
        <v>200</v>
      </c>
      <c r="BX61" s="239">
        <f t="shared" si="103"/>
        <v>200</v>
      </c>
      <c r="BY61" s="239">
        <f t="shared" si="215"/>
        <v>200</v>
      </c>
      <c r="BZ61" s="239">
        <f t="shared" si="215"/>
        <v>104</v>
      </c>
      <c r="CA61" s="558">
        <f t="shared" si="44"/>
        <v>52</v>
      </c>
    </row>
    <row r="62" spans="1:79" s="9" customFormat="1" x14ac:dyDescent="0.2">
      <c r="A62" s="55"/>
      <c r="B62" s="8" t="s">
        <v>612</v>
      </c>
      <c r="C62" s="188"/>
      <c r="D62" s="8"/>
      <c r="E62" s="8"/>
      <c r="F62" s="8"/>
      <c r="G62" s="8"/>
      <c r="H62" s="8"/>
      <c r="I62" s="8"/>
      <c r="J62" s="159"/>
      <c r="K62" s="159"/>
      <c r="L62" s="159"/>
      <c r="M62" s="159"/>
      <c r="N62" s="159"/>
      <c r="O62" s="159"/>
      <c r="P62" s="188"/>
      <c r="Q62" s="11"/>
      <c r="R62" s="11"/>
      <c r="S62" s="11"/>
      <c r="T62" s="11"/>
      <c r="U62" s="11"/>
      <c r="V62" s="11"/>
      <c r="W62" s="188"/>
      <c r="X62" s="11"/>
      <c r="Y62" s="11"/>
      <c r="Z62" s="11"/>
      <c r="AA62" s="11"/>
      <c r="AB62" s="11"/>
      <c r="AC62" s="11"/>
      <c r="AD62" s="188"/>
      <c r="AE62" s="11"/>
      <c r="AF62" s="11"/>
      <c r="AG62" s="11"/>
      <c r="AH62" s="11"/>
      <c r="AI62" s="11"/>
      <c r="AJ62" s="11"/>
      <c r="AK62" s="188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59">
        <v>2140</v>
      </c>
      <c r="BG62" s="11">
        <f t="shared" ref="BG62:BK62" si="218">927+1373</f>
        <v>2300</v>
      </c>
      <c r="BH62" s="11">
        <f t="shared" si="218"/>
        <v>2300</v>
      </c>
      <c r="BI62" s="11">
        <f t="shared" si="218"/>
        <v>2300</v>
      </c>
      <c r="BJ62" s="11">
        <f t="shared" si="218"/>
        <v>2300</v>
      </c>
      <c r="BK62" s="11">
        <f t="shared" si="218"/>
        <v>2300</v>
      </c>
      <c r="BL62" s="11">
        <v>2295</v>
      </c>
      <c r="BM62" s="188"/>
      <c r="BN62" s="11"/>
      <c r="BO62" s="11"/>
      <c r="BP62" s="11"/>
      <c r="BQ62" s="11"/>
      <c r="BR62" s="11"/>
      <c r="BS62" s="11"/>
      <c r="BT62" s="516">
        <f t="shared" si="99"/>
        <v>2140</v>
      </c>
      <c r="BU62" s="239">
        <f t="shared" si="100"/>
        <v>2300</v>
      </c>
      <c r="BV62" s="239">
        <f t="shared" si="101"/>
        <v>2300</v>
      </c>
      <c r="BW62" s="239">
        <f t="shared" si="102"/>
        <v>2300</v>
      </c>
      <c r="BX62" s="239">
        <f t="shared" si="103"/>
        <v>2300</v>
      </c>
      <c r="BY62" s="239">
        <f t="shared" si="215"/>
        <v>2300</v>
      </c>
      <c r="BZ62" s="239">
        <f t="shared" si="215"/>
        <v>2295</v>
      </c>
      <c r="CA62" s="558">
        <f t="shared" si="44"/>
        <v>99.782608695652172</v>
      </c>
    </row>
    <row r="63" spans="1:79" s="9" customFormat="1" x14ac:dyDescent="0.2">
      <c r="A63" s="55"/>
      <c r="B63" s="8" t="s">
        <v>403</v>
      </c>
      <c r="C63" s="188"/>
      <c r="D63" s="8"/>
      <c r="E63" s="8"/>
      <c r="F63" s="8"/>
      <c r="G63" s="8"/>
      <c r="H63" s="8"/>
      <c r="I63" s="8"/>
      <c r="J63" s="159"/>
      <c r="K63" s="159"/>
      <c r="L63" s="159"/>
      <c r="M63" s="159"/>
      <c r="N63" s="159"/>
      <c r="O63" s="159"/>
      <c r="P63" s="188"/>
      <c r="Q63" s="11"/>
      <c r="R63" s="11"/>
      <c r="S63" s="11"/>
      <c r="T63" s="11"/>
      <c r="U63" s="11"/>
      <c r="V63" s="11"/>
      <c r="W63" s="188"/>
      <c r="X63" s="11"/>
      <c r="Y63" s="11"/>
      <c r="Z63" s="11"/>
      <c r="AA63" s="11"/>
      <c r="AB63" s="11"/>
      <c r="AC63" s="11"/>
      <c r="AD63" s="188"/>
      <c r="AE63" s="11"/>
      <c r="AF63" s="11"/>
      <c r="AG63" s="11"/>
      <c r="AH63" s="11"/>
      <c r="AI63" s="11"/>
      <c r="AJ63" s="11"/>
      <c r="AK63" s="188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59">
        <v>3186</v>
      </c>
      <c r="BG63" s="11">
        <v>3435</v>
      </c>
      <c r="BH63" s="11">
        <v>3435</v>
      </c>
      <c r="BI63" s="11">
        <v>3435</v>
      </c>
      <c r="BJ63" s="11">
        <f>3435-38-16</f>
        <v>3381</v>
      </c>
      <c r="BK63" s="11">
        <f>3435-38-16</f>
        <v>3381</v>
      </c>
      <c r="BL63" s="11">
        <v>2574</v>
      </c>
      <c r="BM63" s="188"/>
      <c r="BN63" s="11"/>
      <c r="BO63" s="11"/>
      <c r="BP63" s="11"/>
      <c r="BQ63" s="11"/>
      <c r="BR63" s="11"/>
      <c r="BS63" s="11"/>
      <c r="BT63" s="516">
        <f t="shared" si="99"/>
        <v>3186</v>
      </c>
      <c r="BU63" s="239">
        <f t="shared" si="100"/>
        <v>3435</v>
      </c>
      <c r="BV63" s="239">
        <f t="shared" si="101"/>
        <v>3435</v>
      </c>
      <c r="BW63" s="239">
        <f t="shared" si="102"/>
        <v>3435</v>
      </c>
      <c r="BX63" s="239">
        <f t="shared" si="103"/>
        <v>3381</v>
      </c>
      <c r="BY63" s="239">
        <f t="shared" si="215"/>
        <v>3381</v>
      </c>
      <c r="BZ63" s="239">
        <f t="shared" si="215"/>
        <v>2574</v>
      </c>
      <c r="CA63" s="558">
        <f t="shared" si="44"/>
        <v>76.131322094055008</v>
      </c>
    </row>
    <row r="64" spans="1:79" s="9" customFormat="1" x14ac:dyDescent="0.2">
      <c r="A64" s="55"/>
      <c r="B64" s="8" t="s">
        <v>321</v>
      </c>
      <c r="C64" s="188"/>
      <c r="D64" s="8"/>
      <c r="E64" s="8"/>
      <c r="F64" s="8"/>
      <c r="G64" s="8"/>
      <c r="H64" s="8"/>
      <c r="I64" s="8"/>
      <c r="J64" s="159"/>
      <c r="K64" s="159"/>
      <c r="L64" s="159"/>
      <c r="M64" s="159"/>
      <c r="N64" s="159"/>
      <c r="O64" s="159"/>
      <c r="P64" s="188"/>
      <c r="Q64" s="11"/>
      <c r="R64" s="11"/>
      <c r="S64" s="11"/>
      <c r="T64" s="11"/>
      <c r="U64" s="11"/>
      <c r="V64" s="11"/>
      <c r="W64" s="188"/>
      <c r="X64" s="11"/>
      <c r="Y64" s="11"/>
      <c r="Z64" s="11"/>
      <c r="AA64" s="11"/>
      <c r="AB64" s="11"/>
      <c r="AC64" s="11"/>
      <c r="AD64" s="188"/>
      <c r="AE64" s="11"/>
      <c r="AF64" s="11"/>
      <c r="AG64" s="11"/>
      <c r="AH64" s="11"/>
      <c r="AI64" s="11"/>
      <c r="AJ64" s="11"/>
      <c r="AK64" s="188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59">
        <v>9971</v>
      </c>
      <c r="BG64" s="11">
        <v>11035</v>
      </c>
      <c r="BH64" s="11">
        <v>11035</v>
      </c>
      <c r="BI64" s="11">
        <v>11035</v>
      </c>
      <c r="BJ64" s="11">
        <f>11035-500</f>
        <v>10535</v>
      </c>
      <c r="BK64" s="11">
        <f>11035-500</f>
        <v>10535</v>
      </c>
      <c r="BL64" s="11">
        <v>10261</v>
      </c>
      <c r="BM64" s="188"/>
      <c r="BN64" s="11"/>
      <c r="BO64" s="11"/>
      <c r="BP64" s="11"/>
      <c r="BQ64" s="11"/>
      <c r="BR64" s="11"/>
      <c r="BS64" s="11"/>
      <c r="BT64" s="516">
        <f t="shared" si="99"/>
        <v>9971</v>
      </c>
      <c r="BU64" s="239">
        <f t="shared" si="100"/>
        <v>11035</v>
      </c>
      <c r="BV64" s="239">
        <f t="shared" si="101"/>
        <v>11035</v>
      </c>
      <c r="BW64" s="239">
        <f t="shared" si="102"/>
        <v>11035</v>
      </c>
      <c r="BX64" s="239">
        <f t="shared" si="103"/>
        <v>10535</v>
      </c>
      <c r="BY64" s="239">
        <f t="shared" si="215"/>
        <v>10535</v>
      </c>
      <c r="BZ64" s="239">
        <f t="shared" si="215"/>
        <v>10261</v>
      </c>
      <c r="CA64" s="558">
        <f t="shared" si="44"/>
        <v>97.39914570479354</v>
      </c>
    </row>
    <row r="65" spans="1:79" s="9" customFormat="1" x14ac:dyDescent="0.2">
      <c r="A65" s="55"/>
      <c r="B65" s="8" t="s">
        <v>243</v>
      </c>
      <c r="C65" s="188"/>
      <c r="D65" s="8"/>
      <c r="E65" s="8"/>
      <c r="F65" s="8"/>
      <c r="G65" s="8"/>
      <c r="H65" s="8"/>
      <c r="I65" s="8"/>
      <c r="J65" s="159"/>
      <c r="K65" s="159"/>
      <c r="L65" s="159"/>
      <c r="M65" s="159"/>
      <c r="N65" s="159"/>
      <c r="O65" s="159"/>
      <c r="P65" s="188"/>
      <c r="Q65" s="11"/>
      <c r="R65" s="11"/>
      <c r="S65" s="11"/>
      <c r="T65" s="11"/>
      <c r="U65" s="11"/>
      <c r="V65" s="11"/>
      <c r="W65" s="188"/>
      <c r="X65" s="11"/>
      <c r="Y65" s="11"/>
      <c r="Z65" s="11"/>
      <c r="AA65" s="11"/>
      <c r="AB65" s="11"/>
      <c r="AC65" s="11"/>
      <c r="AD65" s="188"/>
      <c r="AE65" s="11"/>
      <c r="AF65" s="11"/>
      <c r="AG65" s="11"/>
      <c r="AH65" s="11"/>
      <c r="AI65" s="11"/>
      <c r="AJ65" s="11"/>
      <c r="AK65" s="188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59">
        <v>428</v>
      </c>
      <c r="BG65" s="11">
        <v>0</v>
      </c>
      <c r="BH65" s="11">
        <v>857</v>
      </c>
      <c r="BI65" s="11">
        <f>857+143</f>
        <v>1000</v>
      </c>
      <c r="BJ65" s="11">
        <f>857+143</f>
        <v>1000</v>
      </c>
      <c r="BK65" s="11">
        <f>857+143</f>
        <v>1000</v>
      </c>
      <c r="BL65" s="11">
        <v>999</v>
      </c>
      <c r="BM65" s="188"/>
      <c r="BN65" s="11"/>
      <c r="BO65" s="11"/>
      <c r="BP65" s="11"/>
      <c r="BQ65" s="11"/>
      <c r="BR65" s="11"/>
      <c r="BS65" s="11"/>
      <c r="BT65" s="516">
        <f t="shared" si="99"/>
        <v>428</v>
      </c>
      <c r="BU65" s="239">
        <f t="shared" si="100"/>
        <v>0</v>
      </c>
      <c r="BV65" s="239">
        <f t="shared" si="101"/>
        <v>857</v>
      </c>
      <c r="BW65" s="239">
        <f t="shared" si="102"/>
        <v>1000</v>
      </c>
      <c r="BX65" s="239">
        <f t="shared" si="103"/>
        <v>1000</v>
      </c>
      <c r="BY65" s="239">
        <f t="shared" si="215"/>
        <v>1000</v>
      </c>
      <c r="BZ65" s="239">
        <f t="shared" si="215"/>
        <v>999</v>
      </c>
      <c r="CA65" s="558">
        <f t="shared" si="44"/>
        <v>99.9</v>
      </c>
    </row>
    <row r="66" spans="1:79" s="9" customFormat="1" x14ac:dyDescent="0.2">
      <c r="A66" s="55"/>
      <c r="B66" s="8" t="s">
        <v>482</v>
      </c>
      <c r="C66" s="188"/>
      <c r="D66" s="8"/>
      <c r="E66" s="8"/>
      <c r="F66" s="8"/>
      <c r="G66" s="8"/>
      <c r="H66" s="8"/>
      <c r="I66" s="8"/>
      <c r="J66" s="159"/>
      <c r="K66" s="159"/>
      <c r="L66" s="159"/>
      <c r="M66" s="159"/>
      <c r="N66" s="159"/>
      <c r="O66" s="159"/>
      <c r="P66" s="188"/>
      <c r="Q66" s="11"/>
      <c r="R66" s="11"/>
      <c r="S66" s="11"/>
      <c r="T66" s="11"/>
      <c r="U66" s="11"/>
      <c r="V66" s="11"/>
      <c r="W66" s="188"/>
      <c r="X66" s="11"/>
      <c r="Y66" s="11"/>
      <c r="Z66" s="11"/>
      <c r="AA66" s="11"/>
      <c r="AB66" s="11"/>
      <c r="AC66" s="11"/>
      <c r="AD66" s="188"/>
      <c r="AE66" s="11"/>
      <c r="AF66" s="11"/>
      <c r="AG66" s="11"/>
      <c r="AH66" s="11"/>
      <c r="AI66" s="11"/>
      <c r="AJ66" s="11"/>
      <c r="AK66" s="188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88"/>
      <c r="BG66" s="11"/>
      <c r="BH66" s="11"/>
      <c r="BI66" s="11"/>
      <c r="BJ66" s="11"/>
      <c r="BK66" s="11"/>
      <c r="BL66" s="11"/>
      <c r="BM66" s="159">
        <v>4220</v>
      </c>
      <c r="BN66" s="11">
        <v>5310</v>
      </c>
      <c r="BO66" s="11">
        <v>5310</v>
      </c>
      <c r="BP66" s="11">
        <f>360+450*11</f>
        <v>5310</v>
      </c>
      <c r="BQ66" s="11">
        <f>360+450*11</f>
        <v>5310</v>
      </c>
      <c r="BR66" s="11">
        <f>360+450*11</f>
        <v>5310</v>
      </c>
      <c r="BS66" s="11">
        <v>5310</v>
      </c>
      <c r="BT66" s="516">
        <f t="shared" si="99"/>
        <v>4220</v>
      </c>
      <c r="BU66" s="239">
        <f t="shared" si="100"/>
        <v>5310</v>
      </c>
      <c r="BV66" s="239">
        <f t="shared" si="101"/>
        <v>5310</v>
      </c>
      <c r="BW66" s="239">
        <f t="shared" si="102"/>
        <v>5310</v>
      </c>
      <c r="BX66" s="239">
        <f t="shared" si="103"/>
        <v>5310</v>
      </c>
      <c r="BY66" s="239">
        <f t="shared" si="215"/>
        <v>5310</v>
      </c>
      <c r="BZ66" s="239">
        <f t="shared" si="215"/>
        <v>5310</v>
      </c>
      <c r="CA66" s="558">
        <f t="shared" si="44"/>
        <v>100</v>
      </c>
    </row>
    <row r="67" spans="1:79" s="9" customFormat="1" ht="12.75" customHeight="1" x14ac:dyDescent="0.2">
      <c r="A67" s="55"/>
      <c r="B67" s="8" t="s">
        <v>587</v>
      </c>
      <c r="C67" s="159">
        <f t="shared" ref="C67:H67" si="219">700+5</f>
        <v>705</v>
      </c>
      <c r="D67" s="11">
        <f t="shared" si="219"/>
        <v>705</v>
      </c>
      <c r="E67" s="11">
        <f t="shared" si="219"/>
        <v>705</v>
      </c>
      <c r="F67" s="11">
        <f t="shared" si="219"/>
        <v>705</v>
      </c>
      <c r="G67" s="11">
        <f t="shared" si="219"/>
        <v>705</v>
      </c>
      <c r="H67" s="11">
        <f t="shared" si="219"/>
        <v>705</v>
      </c>
      <c r="I67" s="11">
        <v>705</v>
      </c>
      <c r="J67" s="159"/>
      <c r="K67" s="159"/>
      <c r="L67" s="159"/>
      <c r="M67" s="159"/>
      <c r="N67" s="159"/>
      <c r="O67" s="159"/>
      <c r="P67" s="159"/>
      <c r="Q67" s="11"/>
      <c r="R67" s="11"/>
      <c r="S67" s="11"/>
      <c r="T67" s="11"/>
      <c r="U67" s="11"/>
      <c r="V67" s="11"/>
      <c r="W67" s="159"/>
      <c r="X67" s="11"/>
      <c r="Y67" s="11"/>
      <c r="Z67" s="11"/>
      <c r="AA67" s="11"/>
      <c r="AB67" s="11"/>
      <c r="AC67" s="11"/>
      <c r="AD67" s="159"/>
      <c r="AE67" s="11"/>
      <c r="AF67" s="11"/>
      <c r="AG67" s="11"/>
      <c r="AH67" s="11"/>
      <c r="AI67" s="11"/>
      <c r="AJ67" s="11"/>
      <c r="AK67" s="159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59"/>
      <c r="BG67" s="11"/>
      <c r="BH67" s="11"/>
      <c r="BI67" s="11"/>
      <c r="BJ67" s="11"/>
      <c r="BK67" s="11"/>
      <c r="BL67" s="11"/>
      <c r="BM67" s="159"/>
      <c r="BN67" s="11"/>
      <c r="BO67" s="11"/>
      <c r="BP67" s="11"/>
      <c r="BQ67" s="11"/>
      <c r="BR67" s="11"/>
      <c r="BS67" s="11"/>
      <c r="BT67" s="516">
        <f t="shared" ref="BT67:BT96" si="220">C67+J67+P67+W67+AD67+AK67+AR67+AY67+BF67+BM67</f>
        <v>705</v>
      </c>
      <c r="BU67" s="239">
        <f t="shared" ref="BU67:BU96" si="221">D67+K67+Q67+X67+AE67+AL67+AS67+AZ67+BG67+BN67</f>
        <v>705</v>
      </c>
      <c r="BV67" s="239">
        <f t="shared" ref="BV67:BV87" si="222">E67+K67+R67+Y67+AF67+AM67+AT67+BA67+BH67+BO67</f>
        <v>705</v>
      </c>
      <c r="BW67" s="239">
        <f t="shared" ref="BW67:BW87" si="223">F67+L67+S67+Z67+AG67+AN67+AU67+BB67+BI67+BP67</f>
        <v>705</v>
      </c>
      <c r="BX67" s="239">
        <f t="shared" ref="BX67:BX87" si="224">G67+M67+T67+AA67+AH67+AO67+AV67+BC67+BJ67+BQ67</f>
        <v>705</v>
      </c>
      <c r="BY67" s="239">
        <f t="shared" ref="BY67:BZ82" si="225">H67+N67+U67+AB67+AI67+AP67+AW67+BD67+BK67+BR67</f>
        <v>705</v>
      </c>
      <c r="BZ67" s="239">
        <f t="shared" si="225"/>
        <v>705</v>
      </c>
      <c r="CA67" s="558">
        <f t="shared" si="44"/>
        <v>100</v>
      </c>
    </row>
    <row r="68" spans="1:79" s="9" customFormat="1" ht="12.75" hidden="1" customHeight="1" x14ac:dyDescent="0.2">
      <c r="A68" s="55"/>
      <c r="B68" s="8"/>
      <c r="C68" s="159"/>
      <c r="D68" s="11"/>
      <c r="E68" s="11"/>
      <c r="F68" s="11"/>
      <c r="G68" s="11"/>
      <c r="H68" s="11"/>
      <c r="I68" s="11"/>
      <c r="J68" s="159"/>
      <c r="K68" s="159"/>
      <c r="L68" s="159"/>
      <c r="M68" s="159"/>
      <c r="N68" s="159"/>
      <c r="O68" s="159"/>
      <c r="P68" s="159"/>
      <c r="Q68" s="11"/>
      <c r="R68" s="11"/>
      <c r="S68" s="11"/>
      <c r="T68" s="11"/>
      <c r="U68" s="11"/>
      <c r="V68" s="11"/>
      <c r="W68" s="159"/>
      <c r="X68" s="11"/>
      <c r="Y68" s="11"/>
      <c r="Z68" s="11"/>
      <c r="AA68" s="11"/>
      <c r="AB68" s="11"/>
      <c r="AC68" s="11"/>
      <c r="AD68" s="159"/>
      <c r="AE68" s="11"/>
      <c r="AF68" s="11"/>
      <c r="AG68" s="11"/>
      <c r="AH68" s="11"/>
      <c r="AI68" s="11"/>
      <c r="AJ68" s="11"/>
      <c r="AK68" s="159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59"/>
      <c r="BG68" s="11"/>
      <c r="BH68" s="11"/>
      <c r="BI68" s="11"/>
      <c r="BJ68" s="11"/>
      <c r="BK68" s="11"/>
      <c r="BL68" s="11"/>
      <c r="BM68" s="159"/>
      <c r="BN68" s="11"/>
      <c r="BO68" s="11"/>
      <c r="BP68" s="11"/>
      <c r="BQ68" s="11"/>
      <c r="BR68" s="11"/>
      <c r="BS68" s="11"/>
      <c r="BT68" s="516">
        <f t="shared" si="220"/>
        <v>0</v>
      </c>
      <c r="BU68" s="239">
        <f t="shared" si="221"/>
        <v>0</v>
      </c>
      <c r="BV68" s="239">
        <f t="shared" si="222"/>
        <v>0</v>
      </c>
      <c r="BW68" s="239">
        <f t="shared" si="223"/>
        <v>0</v>
      </c>
      <c r="BX68" s="239">
        <f t="shared" si="224"/>
        <v>0</v>
      </c>
      <c r="BY68" s="239">
        <f t="shared" si="225"/>
        <v>0</v>
      </c>
      <c r="BZ68" s="239">
        <f t="shared" si="225"/>
        <v>0</v>
      </c>
      <c r="CA68" s="558" t="e">
        <f t="shared" si="44"/>
        <v>#DIV/0!</v>
      </c>
    </row>
    <row r="69" spans="1:79" s="9" customFormat="1" x14ac:dyDescent="0.2">
      <c r="A69" s="55"/>
      <c r="B69" s="19" t="s">
        <v>626</v>
      </c>
      <c r="C69" s="159">
        <v>334</v>
      </c>
      <c r="D69" s="11">
        <v>7410</v>
      </c>
      <c r="E69" s="11">
        <f>7410-857</f>
        <v>6553</v>
      </c>
      <c r="F69" s="11">
        <f>7410-857-143</f>
        <v>6410</v>
      </c>
      <c r="G69" s="11">
        <f>7410-857-143+310</f>
        <v>6720</v>
      </c>
      <c r="H69" s="11">
        <f>7410-857-143+310-25</f>
        <v>6695</v>
      </c>
      <c r="I69" s="11">
        <v>6397</v>
      </c>
      <c r="J69" s="159"/>
      <c r="K69" s="159"/>
      <c r="L69" s="159"/>
      <c r="M69" s="159"/>
      <c r="N69" s="159"/>
      <c r="O69" s="159"/>
      <c r="P69" s="159"/>
      <c r="Q69" s="11"/>
      <c r="R69" s="11"/>
      <c r="S69" s="11"/>
      <c r="T69" s="11"/>
      <c r="U69" s="11"/>
      <c r="V69" s="11"/>
      <c r="W69" s="159"/>
      <c r="X69" s="11"/>
      <c r="Y69" s="11"/>
      <c r="Z69" s="11"/>
      <c r="AA69" s="11"/>
      <c r="AB69" s="11"/>
      <c r="AC69" s="11"/>
      <c r="AD69" s="159">
        <v>7977</v>
      </c>
      <c r="AE69" s="11">
        <v>15660</v>
      </c>
      <c r="AF69" s="11">
        <f>15660+310</f>
        <v>15970</v>
      </c>
      <c r="AG69" s="11">
        <f>15660+310-561-6500</f>
        <v>8909</v>
      </c>
      <c r="AH69" s="11">
        <f>15660+310-561-6500-310-775</f>
        <v>7824</v>
      </c>
      <c r="AI69" s="11">
        <f>15660+310-561-6500-310-775</f>
        <v>7824</v>
      </c>
      <c r="AJ69" s="11">
        <v>4207</v>
      </c>
      <c r="AK69" s="159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59">
        <v>0</v>
      </c>
      <c r="BG69" s="11">
        <v>0</v>
      </c>
      <c r="BH69" s="11">
        <v>0</v>
      </c>
      <c r="BI69" s="11">
        <v>561</v>
      </c>
      <c r="BJ69" s="11">
        <v>561</v>
      </c>
      <c r="BK69" s="11">
        <v>561</v>
      </c>
      <c r="BL69" s="11">
        <v>561</v>
      </c>
      <c r="BM69" s="159"/>
      <c r="BN69" s="11"/>
      <c r="BO69" s="11"/>
      <c r="BP69" s="11"/>
      <c r="BQ69" s="11"/>
      <c r="BR69" s="11"/>
      <c r="BS69" s="11"/>
      <c r="BT69" s="516">
        <f t="shared" si="220"/>
        <v>8311</v>
      </c>
      <c r="BU69" s="239">
        <f t="shared" si="221"/>
        <v>23070</v>
      </c>
      <c r="BV69" s="239">
        <f t="shared" si="222"/>
        <v>22523</v>
      </c>
      <c r="BW69" s="239">
        <f t="shared" si="223"/>
        <v>15880</v>
      </c>
      <c r="BX69" s="239">
        <f t="shared" si="224"/>
        <v>15105</v>
      </c>
      <c r="BY69" s="239">
        <f t="shared" si="225"/>
        <v>15080</v>
      </c>
      <c r="BZ69" s="239">
        <f t="shared" si="225"/>
        <v>11165</v>
      </c>
      <c r="CA69" s="558">
        <f t="shared" si="44"/>
        <v>74.038461538461547</v>
      </c>
    </row>
    <row r="70" spans="1:79" s="9" customFormat="1" ht="15" customHeight="1" thickBot="1" x14ac:dyDescent="0.25">
      <c r="A70" s="55"/>
      <c r="B70" s="8" t="s">
        <v>792</v>
      </c>
      <c r="C70" s="159"/>
      <c r="D70" s="11"/>
      <c r="E70" s="11"/>
      <c r="F70" s="11"/>
      <c r="G70" s="11"/>
      <c r="H70" s="11"/>
      <c r="I70" s="11"/>
      <c r="J70" s="159"/>
      <c r="K70" s="159"/>
      <c r="L70" s="159"/>
      <c r="M70" s="159"/>
      <c r="N70" s="159"/>
      <c r="O70" s="159"/>
      <c r="P70" s="159"/>
      <c r="Q70" s="11"/>
      <c r="R70" s="11"/>
      <c r="S70" s="11"/>
      <c r="T70" s="11"/>
      <c r="U70" s="11"/>
      <c r="V70" s="11"/>
      <c r="W70" s="159"/>
      <c r="X70" s="11"/>
      <c r="Y70" s="11"/>
      <c r="Z70" s="11"/>
      <c r="AA70" s="11"/>
      <c r="AB70" s="11"/>
      <c r="AC70" s="11"/>
      <c r="AD70" s="159"/>
      <c r="AE70" s="11">
        <v>0</v>
      </c>
      <c r="AF70" s="11">
        <v>0</v>
      </c>
      <c r="AG70" s="11">
        <v>6500</v>
      </c>
      <c r="AH70" s="11">
        <v>6500</v>
      </c>
      <c r="AI70" s="11">
        <v>6500</v>
      </c>
      <c r="AJ70" s="11">
        <v>0</v>
      </c>
      <c r="AK70" s="159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59"/>
      <c r="BG70" s="11"/>
      <c r="BH70" s="11"/>
      <c r="BI70" s="11"/>
      <c r="BJ70" s="11"/>
      <c r="BK70" s="11"/>
      <c r="BL70" s="11"/>
      <c r="BM70" s="159"/>
      <c r="BN70" s="11"/>
      <c r="BO70" s="11"/>
      <c r="BP70" s="11"/>
      <c r="BQ70" s="11"/>
      <c r="BR70" s="11"/>
      <c r="BS70" s="11"/>
      <c r="BT70" s="516">
        <f t="shared" si="220"/>
        <v>0</v>
      </c>
      <c r="BU70" s="239">
        <f t="shared" si="221"/>
        <v>0</v>
      </c>
      <c r="BV70" s="239">
        <f t="shared" si="222"/>
        <v>0</v>
      </c>
      <c r="BW70" s="239">
        <f t="shared" si="223"/>
        <v>6500</v>
      </c>
      <c r="BX70" s="239">
        <f t="shared" si="224"/>
        <v>6500</v>
      </c>
      <c r="BY70" s="239">
        <f t="shared" si="225"/>
        <v>6500</v>
      </c>
      <c r="BZ70" s="239">
        <f t="shared" si="225"/>
        <v>0</v>
      </c>
      <c r="CA70" s="558">
        <f t="shared" si="44"/>
        <v>0</v>
      </c>
    </row>
    <row r="71" spans="1:79" s="9" customFormat="1" ht="15.75" hidden="1" customHeight="1" x14ac:dyDescent="0.2">
      <c r="A71" s="55"/>
      <c r="B71" s="19" t="s">
        <v>555</v>
      </c>
      <c r="C71" s="159"/>
      <c r="D71" s="11"/>
      <c r="E71" s="11"/>
      <c r="F71" s="11"/>
      <c r="G71" s="11"/>
      <c r="H71" s="11"/>
      <c r="I71" s="11"/>
      <c r="J71" s="159"/>
      <c r="K71" s="159"/>
      <c r="L71" s="159"/>
      <c r="M71" s="159"/>
      <c r="N71" s="159"/>
      <c r="O71" s="159"/>
      <c r="P71" s="159"/>
      <c r="Q71" s="11"/>
      <c r="R71" s="11"/>
      <c r="S71" s="11"/>
      <c r="T71" s="11"/>
      <c r="U71" s="11"/>
      <c r="V71" s="11"/>
      <c r="W71" s="159"/>
      <c r="X71" s="11"/>
      <c r="Y71" s="11"/>
      <c r="Z71" s="11"/>
      <c r="AA71" s="11"/>
      <c r="AB71" s="11"/>
      <c r="AC71" s="11"/>
      <c r="AD71" s="159"/>
      <c r="AE71" s="11"/>
      <c r="AF71" s="11"/>
      <c r="AG71" s="11"/>
      <c r="AH71" s="11"/>
      <c r="AI71" s="11"/>
      <c r="AJ71" s="11"/>
      <c r="AK71" s="159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59"/>
      <c r="BG71" s="11"/>
      <c r="BH71" s="11"/>
      <c r="BI71" s="11"/>
      <c r="BJ71" s="11"/>
      <c r="BK71" s="11"/>
      <c r="BL71" s="11"/>
      <c r="BM71" s="159"/>
      <c r="BN71" s="11"/>
      <c r="BO71" s="11"/>
      <c r="BP71" s="11"/>
      <c r="BQ71" s="11"/>
      <c r="BR71" s="11"/>
      <c r="BS71" s="11"/>
      <c r="BT71" s="516">
        <f t="shared" si="220"/>
        <v>0</v>
      </c>
      <c r="BU71" s="239">
        <f t="shared" si="221"/>
        <v>0</v>
      </c>
      <c r="BV71" s="239">
        <f t="shared" si="222"/>
        <v>0</v>
      </c>
      <c r="BW71" s="239">
        <f t="shared" si="223"/>
        <v>0</v>
      </c>
      <c r="BX71" s="239">
        <f t="shared" si="224"/>
        <v>0</v>
      </c>
      <c r="BY71" s="239">
        <f t="shared" si="225"/>
        <v>0</v>
      </c>
      <c r="BZ71" s="239">
        <f t="shared" si="225"/>
        <v>0</v>
      </c>
      <c r="CA71" s="558" t="e">
        <f t="shared" si="44"/>
        <v>#DIV/0!</v>
      </c>
    </row>
    <row r="72" spans="1:79" s="9" customFormat="1" ht="15.75" hidden="1" customHeight="1" x14ac:dyDescent="0.2">
      <c r="A72" s="55"/>
      <c r="B72" s="19"/>
      <c r="C72" s="159"/>
      <c r="D72" s="11"/>
      <c r="E72" s="11"/>
      <c r="F72" s="11"/>
      <c r="G72" s="11"/>
      <c r="H72" s="11"/>
      <c r="I72" s="11"/>
      <c r="J72" s="159"/>
      <c r="K72" s="159"/>
      <c r="L72" s="159"/>
      <c r="M72" s="159"/>
      <c r="N72" s="159"/>
      <c r="O72" s="159"/>
      <c r="P72" s="159"/>
      <c r="Q72" s="11"/>
      <c r="R72" s="11"/>
      <c r="S72" s="11"/>
      <c r="T72" s="11"/>
      <c r="U72" s="11"/>
      <c r="V72" s="11"/>
      <c r="W72" s="159"/>
      <c r="X72" s="11"/>
      <c r="Y72" s="11"/>
      <c r="Z72" s="11"/>
      <c r="AA72" s="11"/>
      <c r="AB72" s="11"/>
      <c r="AC72" s="11"/>
      <c r="AD72" s="159"/>
      <c r="AE72" s="11"/>
      <c r="AF72" s="11"/>
      <c r="AG72" s="11"/>
      <c r="AH72" s="11"/>
      <c r="AI72" s="11"/>
      <c r="AJ72" s="11"/>
      <c r="AK72" s="159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59"/>
      <c r="BG72" s="11"/>
      <c r="BH72" s="11"/>
      <c r="BI72" s="11"/>
      <c r="BJ72" s="11"/>
      <c r="BK72" s="11"/>
      <c r="BL72" s="11"/>
      <c r="BM72" s="159"/>
      <c r="BN72" s="11"/>
      <c r="BO72" s="11"/>
      <c r="BP72" s="11"/>
      <c r="BQ72" s="11"/>
      <c r="BR72" s="11"/>
      <c r="BS72" s="11"/>
      <c r="BT72" s="516">
        <f t="shared" si="220"/>
        <v>0</v>
      </c>
      <c r="BU72" s="239">
        <f t="shared" si="221"/>
        <v>0</v>
      </c>
      <c r="BV72" s="239">
        <f t="shared" si="222"/>
        <v>0</v>
      </c>
      <c r="BW72" s="239">
        <f t="shared" si="223"/>
        <v>0</v>
      </c>
      <c r="BX72" s="239">
        <f t="shared" si="224"/>
        <v>0</v>
      </c>
      <c r="BY72" s="239">
        <f t="shared" si="225"/>
        <v>0</v>
      </c>
      <c r="BZ72" s="239">
        <f t="shared" si="225"/>
        <v>0</v>
      </c>
      <c r="CA72" s="558" t="e">
        <f t="shared" si="44"/>
        <v>#DIV/0!</v>
      </c>
    </row>
    <row r="73" spans="1:79" s="9" customFormat="1" ht="15.75" hidden="1" customHeight="1" thickBot="1" x14ac:dyDescent="0.25">
      <c r="A73" s="55"/>
      <c r="B73" s="19"/>
      <c r="C73" s="159"/>
      <c r="D73" s="11"/>
      <c r="E73" s="11"/>
      <c r="F73" s="11"/>
      <c r="G73" s="11"/>
      <c r="H73" s="11"/>
      <c r="I73" s="11"/>
      <c r="J73" s="159"/>
      <c r="K73" s="159"/>
      <c r="L73" s="159"/>
      <c r="M73" s="159"/>
      <c r="N73" s="159"/>
      <c r="O73" s="159"/>
      <c r="P73" s="159"/>
      <c r="Q73" s="11"/>
      <c r="R73" s="11"/>
      <c r="S73" s="11"/>
      <c r="T73" s="11"/>
      <c r="U73" s="11"/>
      <c r="V73" s="11"/>
      <c r="W73" s="159"/>
      <c r="X73" s="11"/>
      <c r="Y73" s="11"/>
      <c r="Z73" s="11"/>
      <c r="AA73" s="11"/>
      <c r="AB73" s="11"/>
      <c r="AC73" s="11"/>
      <c r="AD73" s="159"/>
      <c r="AE73" s="11"/>
      <c r="AF73" s="11"/>
      <c r="AG73" s="11"/>
      <c r="AH73" s="11"/>
      <c r="AI73" s="11"/>
      <c r="AJ73" s="11"/>
      <c r="AK73" s="159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59"/>
      <c r="BG73" s="11"/>
      <c r="BH73" s="11"/>
      <c r="BI73" s="11"/>
      <c r="BJ73" s="11"/>
      <c r="BK73" s="11"/>
      <c r="BL73" s="11"/>
      <c r="BM73" s="159"/>
      <c r="BN73" s="11"/>
      <c r="BO73" s="11"/>
      <c r="BP73" s="11"/>
      <c r="BQ73" s="11"/>
      <c r="BR73" s="11"/>
      <c r="BS73" s="11"/>
      <c r="BT73" s="516">
        <f t="shared" si="220"/>
        <v>0</v>
      </c>
      <c r="BU73" s="239">
        <f t="shared" si="221"/>
        <v>0</v>
      </c>
      <c r="BV73" s="239">
        <f t="shared" si="222"/>
        <v>0</v>
      </c>
      <c r="BW73" s="239">
        <f t="shared" si="223"/>
        <v>0</v>
      </c>
      <c r="BX73" s="239">
        <f t="shared" si="224"/>
        <v>0</v>
      </c>
      <c r="BY73" s="239">
        <f t="shared" si="225"/>
        <v>0</v>
      </c>
      <c r="BZ73" s="239">
        <f t="shared" si="225"/>
        <v>0</v>
      </c>
      <c r="CA73" s="558" t="e">
        <f t="shared" si="44"/>
        <v>#DIV/0!</v>
      </c>
    </row>
    <row r="74" spans="1:79" s="9" customFormat="1" ht="26.25" thickBot="1" x14ac:dyDescent="0.25">
      <c r="A74" s="231"/>
      <c r="B74" s="220" t="s">
        <v>407</v>
      </c>
      <c r="C74" s="159"/>
      <c r="D74" s="11"/>
      <c r="E74" s="11"/>
      <c r="F74" s="11"/>
      <c r="G74" s="11"/>
      <c r="H74" s="11"/>
      <c r="I74" s="11"/>
      <c r="J74" s="213"/>
      <c r="K74" s="213"/>
      <c r="L74" s="213"/>
      <c r="M74" s="213"/>
      <c r="N74" s="213"/>
      <c r="O74" s="213"/>
      <c r="P74" s="159"/>
      <c r="Q74" s="75"/>
      <c r="R74" s="75"/>
      <c r="S74" s="75"/>
      <c r="T74" s="75"/>
      <c r="U74" s="75"/>
      <c r="V74" s="75"/>
      <c r="W74" s="159"/>
      <c r="X74" s="75"/>
      <c r="Y74" s="75"/>
      <c r="Z74" s="75"/>
      <c r="AA74" s="75"/>
      <c r="AB74" s="75"/>
      <c r="AC74" s="75"/>
      <c r="AD74" s="104">
        <v>73270</v>
      </c>
      <c r="AE74" s="360">
        <v>40463</v>
      </c>
      <c r="AF74" s="360">
        <v>39763</v>
      </c>
      <c r="AG74" s="360">
        <v>37413</v>
      </c>
      <c r="AH74" s="360">
        <v>34988</v>
      </c>
      <c r="AI74" s="360">
        <v>34988</v>
      </c>
      <c r="AJ74" s="360">
        <f>D155</f>
        <v>16273</v>
      </c>
      <c r="AK74" s="159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159"/>
      <c r="BG74" s="75"/>
      <c r="BH74" s="75"/>
      <c r="BI74" s="75"/>
      <c r="BJ74" s="75"/>
      <c r="BK74" s="75"/>
      <c r="BL74" s="75"/>
      <c r="BM74" s="159"/>
      <c r="BN74" s="75"/>
      <c r="BO74" s="75"/>
      <c r="BP74" s="75"/>
      <c r="BQ74" s="75"/>
      <c r="BR74" s="75"/>
      <c r="BS74" s="75"/>
      <c r="BT74" s="519">
        <f t="shared" si="220"/>
        <v>73270</v>
      </c>
      <c r="BU74" s="363">
        <f t="shared" si="221"/>
        <v>40463</v>
      </c>
      <c r="BV74" s="363">
        <f t="shared" si="222"/>
        <v>39763</v>
      </c>
      <c r="BW74" s="363">
        <f t="shared" si="223"/>
        <v>37413</v>
      </c>
      <c r="BX74" s="363">
        <f t="shared" si="224"/>
        <v>34988</v>
      </c>
      <c r="BY74" s="363">
        <f t="shared" si="225"/>
        <v>34988</v>
      </c>
      <c r="BZ74" s="363">
        <f t="shared" si="225"/>
        <v>16273</v>
      </c>
      <c r="CA74" s="558">
        <f t="shared" si="44"/>
        <v>46.510232079570137</v>
      </c>
    </row>
    <row r="75" spans="1:79" s="9" customFormat="1" x14ac:dyDescent="0.2">
      <c r="A75" s="55" t="s">
        <v>394</v>
      </c>
      <c r="B75" s="129" t="s">
        <v>233</v>
      </c>
      <c r="C75" s="498"/>
      <c r="D75" s="74"/>
      <c r="E75" s="74"/>
      <c r="F75" s="74"/>
      <c r="G75" s="74"/>
      <c r="H75" s="74"/>
      <c r="I75" s="74"/>
      <c r="J75" s="159"/>
      <c r="K75" s="159"/>
      <c r="L75" s="159"/>
      <c r="M75" s="159"/>
      <c r="N75" s="159"/>
      <c r="O75" s="159"/>
      <c r="P75" s="498"/>
      <c r="Q75" s="11"/>
      <c r="R75" s="11"/>
      <c r="S75" s="11"/>
      <c r="T75" s="11"/>
      <c r="U75" s="11"/>
      <c r="V75" s="11"/>
      <c r="W75" s="498"/>
      <c r="X75" s="11"/>
      <c r="Y75" s="11"/>
      <c r="Z75" s="11"/>
      <c r="AA75" s="11"/>
      <c r="AB75" s="11"/>
      <c r="AC75" s="11"/>
      <c r="AD75" s="498"/>
      <c r="AE75" s="11"/>
      <c r="AF75" s="11"/>
      <c r="AG75" s="11"/>
      <c r="AH75" s="11"/>
      <c r="AI75" s="11"/>
      <c r="AJ75" s="11"/>
      <c r="AK75" s="498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498"/>
      <c r="BG75" s="11"/>
      <c r="BH75" s="11"/>
      <c r="BI75" s="11"/>
      <c r="BJ75" s="11"/>
      <c r="BK75" s="11"/>
      <c r="BL75" s="11"/>
      <c r="BM75" s="498"/>
      <c r="BN75" s="11"/>
      <c r="BO75" s="11"/>
      <c r="BP75" s="11"/>
      <c r="BQ75" s="11"/>
      <c r="BR75" s="11"/>
      <c r="BS75" s="11"/>
      <c r="BT75" s="516">
        <f t="shared" si="220"/>
        <v>0</v>
      </c>
      <c r="BU75" s="239">
        <f t="shared" si="221"/>
        <v>0</v>
      </c>
      <c r="BV75" s="239">
        <f t="shared" si="222"/>
        <v>0</v>
      </c>
      <c r="BW75" s="239">
        <f t="shared" si="223"/>
        <v>0</v>
      </c>
      <c r="BX75" s="239">
        <f t="shared" si="224"/>
        <v>0</v>
      </c>
      <c r="BY75" s="239">
        <f t="shared" si="225"/>
        <v>0</v>
      </c>
      <c r="BZ75" s="239">
        <f t="shared" si="225"/>
        <v>0</v>
      </c>
      <c r="CA75" s="558"/>
    </row>
    <row r="76" spans="1:79" s="9" customFormat="1" x14ac:dyDescent="0.2">
      <c r="A76" s="55"/>
      <c r="B76" s="8" t="s">
        <v>266</v>
      </c>
      <c r="C76" s="159">
        <v>0</v>
      </c>
      <c r="D76" s="11">
        <v>100</v>
      </c>
      <c r="E76" s="11">
        <v>100</v>
      </c>
      <c r="F76" s="11">
        <v>100</v>
      </c>
      <c r="G76" s="11">
        <v>100</v>
      </c>
      <c r="H76" s="11">
        <v>100</v>
      </c>
      <c r="I76" s="11">
        <v>0</v>
      </c>
      <c r="J76" s="159"/>
      <c r="K76" s="159"/>
      <c r="L76" s="159"/>
      <c r="M76" s="159"/>
      <c r="N76" s="159"/>
      <c r="O76" s="159"/>
      <c r="P76" s="159"/>
      <c r="Q76" s="11"/>
      <c r="R76" s="11"/>
      <c r="S76" s="11"/>
      <c r="T76" s="11"/>
      <c r="U76" s="11"/>
      <c r="V76" s="11"/>
      <c r="W76" s="159"/>
      <c r="X76" s="11"/>
      <c r="Y76" s="11"/>
      <c r="Z76" s="11"/>
      <c r="AA76" s="11"/>
      <c r="AB76" s="11"/>
      <c r="AC76" s="11"/>
      <c r="AD76" s="159"/>
      <c r="AE76" s="11"/>
      <c r="AF76" s="11"/>
      <c r="AG76" s="11"/>
      <c r="AH76" s="11"/>
      <c r="AI76" s="11"/>
      <c r="AJ76" s="11"/>
      <c r="AK76" s="159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59"/>
      <c r="BG76" s="11"/>
      <c r="BH76" s="11"/>
      <c r="BI76" s="11"/>
      <c r="BJ76" s="11"/>
      <c r="BK76" s="11"/>
      <c r="BL76" s="11"/>
      <c r="BM76" s="159"/>
      <c r="BN76" s="11"/>
      <c r="BO76" s="11"/>
      <c r="BP76" s="11"/>
      <c r="BQ76" s="11"/>
      <c r="BR76" s="11"/>
      <c r="BS76" s="11"/>
      <c r="BT76" s="516">
        <f t="shared" si="220"/>
        <v>0</v>
      </c>
      <c r="BU76" s="239">
        <f t="shared" si="221"/>
        <v>100</v>
      </c>
      <c r="BV76" s="239">
        <f t="shared" si="222"/>
        <v>100</v>
      </c>
      <c r="BW76" s="239">
        <f t="shared" si="223"/>
        <v>100</v>
      </c>
      <c r="BX76" s="239">
        <f t="shared" si="224"/>
        <v>100</v>
      </c>
      <c r="BY76" s="239">
        <f t="shared" si="225"/>
        <v>100</v>
      </c>
      <c r="BZ76" s="239">
        <f t="shared" si="225"/>
        <v>0</v>
      </c>
      <c r="CA76" s="558">
        <f t="shared" ref="CA76:CA108" si="226">BZ76/BY76*100</f>
        <v>0</v>
      </c>
    </row>
    <row r="77" spans="1:79" s="9" customFormat="1" x14ac:dyDescent="0.2">
      <c r="A77" s="55"/>
      <c r="B77" s="8" t="s">
        <v>354</v>
      </c>
      <c r="C77" s="159">
        <v>6619</v>
      </c>
      <c r="D77" s="11">
        <v>8000</v>
      </c>
      <c r="E77" s="11">
        <v>8000</v>
      </c>
      <c r="F77" s="11">
        <v>8000</v>
      </c>
      <c r="G77" s="11">
        <f>8000+125</f>
        <v>8125</v>
      </c>
      <c r="H77" s="11">
        <f>8000+125</f>
        <v>8125</v>
      </c>
      <c r="I77" s="11">
        <v>7075</v>
      </c>
      <c r="J77" s="159"/>
      <c r="K77" s="159"/>
      <c r="L77" s="159"/>
      <c r="M77" s="159"/>
      <c r="N77" s="159"/>
      <c r="O77" s="159"/>
      <c r="P77" s="159"/>
      <c r="Q77" s="11"/>
      <c r="R77" s="11"/>
      <c r="S77" s="11"/>
      <c r="T77" s="11"/>
      <c r="U77" s="11"/>
      <c r="V77" s="11"/>
      <c r="W77" s="159"/>
      <c r="X77" s="11"/>
      <c r="Y77" s="11"/>
      <c r="Z77" s="11"/>
      <c r="AA77" s="11"/>
      <c r="AB77" s="11"/>
      <c r="AC77" s="11"/>
      <c r="AD77" s="159"/>
      <c r="AE77" s="11"/>
      <c r="AF77" s="11"/>
      <c r="AG77" s="11"/>
      <c r="AH77" s="11"/>
      <c r="AI77" s="11"/>
      <c r="AJ77" s="11"/>
      <c r="AK77" s="159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59"/>
      <c r="BG77" s="11"/>
      <c r="BH77" s="11"/>
      <c r="BI77" s="11"/>
      <c r="BJ77" s="11"/>
      <c r="BK77" s="11"/>
      <c r="BL77" s="11"/>
      <c r="BM77" s="159"/>
      <c r="BN77" s="11"/>
      <c r="BO77" s="11"/>
      <c r="BP77" s="11"/>
      <c r="BQ77" s="11"/>
      <c r="BR77" s="11"/>
      <c r="BS77" s="11"/>
      <c r="BT77" s="516">
        <f t="shared" si="220"/>
        <v>6619</v>
      </c>
      <c r="BU77" s="239">
        <f t="shared" si="221"/>
        <v>8000</v>
      </c>
      <c r="BV77" s="239">
        <f t="shared" si="222"/>
        <v>8000</v>
      </c>
      <c r="BW77" s="239">
        <f t="shared" si="223"/>
        <v>8000</v>
      </c>
      <c r="BX77" s="239">
        <f t="shared" si="224"/>
        <v>8125</v>
      </c>
      <c r="BY77" s="239">
        <f t="shared" si="225"/>
        <v>8125</v>
      </c>
      <c r="BZ77" s="239">
        <f t="shared" si="225"/>
        <v>7075</v>
      </c>
      <c r="CA77" s="558">
        <f t="shared" si="226"/>
        <v>87.07692307692308</v>
      </c>
    </row>
    <row r="78" spans="1:79" s="9" customFormat="1" x14ac:dyDescent="0.2">
      <c r="A78" s="55"/>
      <c r="B78" s="8" t="s">
        <v>493</v>
      </c>
      <c r="C78" s="159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59"/>
      <c r="Q78" s="11"/>
      <c r="R78" s="11"/>
      <c r="S78" s="11"/>
      <c r="T78" s="11"/>
      <c r="U78" s="11"/>
      <c r="V78" s="11"/>
      <c r="W78" s="159"/>
      <c r="X78" s="11"/>
      <c r="Y78" s="11"/>
      <c r="Z78" s="11"/>
      <c r="AA78" s="11"/>
      <c r="AB78" s="11"/>
      <c r="AC78" s="11"/>
      <c r="AD78" s="159">
        <v>2459</v>
      </c>
      <c r="AE78" s="11">
        <f>2700+50</f>
        <v>2750</v>
      </c>
      <c r="AF78" s="11">
        <f>2700+50-150</f>
        <v>2600</v>
      </c>
      <c r="AG78" s="11">
        <f>2700+50-150</f>
        <v>2600</v>
      </c>
      <c r="AH78" s="11">
        <f>2700+50-150</f>
        <v>2600</v>
      </c>
      <c r="AI78" s="11">
        <f>2700+50-150</f>
        <v>2600</v>
      </c>
      <c r="AJ78" s="11">
        <v>2532</v>
      </c>
      <c r="AK78" s="159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59">
        <v>5</v>
      </c>
      <c r="BG78" s="11"/>
      <c r="BH78" s="11"/>
      <c r="BI78" s="11"/>
      <c r="BJ78" s="11"/>
      <c r="BK78" s="11"/>
      <c r="BL78" s="11"/>
      <c r="BM78" s="159"/>
      <c r="BN78" s="11"/>
      <c r="BO78" s="11"/>
      <c r="BP78" s="11"/>
      <c r="BQ78" s="11"/>
      <c r="BR78" s="11"/>
      <c r="BS78" s="11"/>
      <c r="BT78" s="516">
        <f t="shared" si="220"/>
        <v>2464</v>
      </c>
      <c r="BU78" s="239">
        <f t="shared" si="221"/>
        <v>2750</v>
      </c>
      <c r="BV78" s="239">
        <f t="shared" si="222"/>
        <v>2600</v>
      </c>
      <c r="BW78" s="239">
        <f t="shared" si="223"/>
        <v>2600</v>
      </c>
      <c r="BX78" s="239">
        <f t="shared" si="224"/>
        <v>2600</v>
      </c>
      <c r="BY78" s="239">
        <f t="shared" si="225"/>
        <v>2600</v>
      </c>
      <c r="BZ78" s="239">
        <f t="shared" si="225"/>
        <v>2532</v>
      </c>
      <c r="CA78" s="558">
        <f t="shared" si="226"/>
        <v>97.384615384615387</v>
      </c>
    </row>
    <row r="79" spans="1:79" s="9" customFormat="1" x14ac:dyDescent="0.2">
      <c r="A79" s="55"/>
      <c r="B79" s="8" t="s">
        <v>572</v>
      </c>
      <c r="C79" s="159"/>
      <c r="D79" s="11"/>
      <c r="E79" s="11"/>
      <c r="F79" s="11"/>
      <c r="G79" s="11"/>
      <c r="H79" s="11"/>
      <c r="I79" s="11"/>
      <c r="J79" s="159"/>
      <c r="K79" s="159"/>
      <c r="L79" s="159"/>
      <c r="M79" s="159"/>
      <c r="N79" s="159"/>
      <c r="O79" s="159"/>
      <c r="P79" s="159"/>
      <c r="Q79" s="11"/>
      <c r="R79" s="11"/>
      <c r="S79" s="11"/>
      <c r="T79" s="11"/>
      <c r="U79" s="11"/>
      <c r="V79" s="11"/>
      <c r="W79" s="159">
        <v>1056</v>
      </c>
      <c r="X79" s="11">
        <v>1200</v>
      </c>
      <c r="Y79" s="11">
        <v>1200</v>
      </c>
      <c r="Z79" s="11">
        <v>1200</v>
      </c>
      <c r="AA79" s="11">
        <v>1200</v>
      </c>
      <c r="AB79" s="11">
        <f>1200+126</f>
        <v>1326</v>
      </c>
      <c r="AC79" s="11">
        <v>1326</v>
      </c>
      <c r="AD79" s="159"/>
      <c r="AE79" s="11"/>
      <c r="AF79" s="11"/>
      <c r="AG79" s="11"/>
      <c r="AH79" s="11"/>
      <c r="AI79" s="11"/>
      <c r="AJ79" s="11"/>
      <c r="AK79" s="159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59"/>
      <c r="BG79" s="11"/>
      <c r="BH79" s="11"/>
      <c r="BI79" s="11"/>
      <c r="BJ79" s="11"/>
      <c r="BK79" s="11"/>
      <c r="BL79" s="11"/>
      <c r="BM79" s="159"/>
      <c r="BN79" s="11"/>
      <c r="BO79" s="11"/>
      <c r="BP79" s="11"/>
      <c r="BQ79" s="11"/>
      <c r="BR79" s="11"/>
      <c r="BS79" s="11"/>
      <c r="BT79" s="516">
        <f t="shared" si="220"/>
        <v>1056</v>
      </c>
      <c r="BU79" s="239">
        <f t="shared" si="221"/>
        <v>1200</v>
      </c>
      <c r="BV79" s="239">
        <f t="shared" si="222"/>
        <v>1200</v>
      </c>
      <c r="BW79" s="239">
        <f t="shared" si="223"/>
        <v>1200</v>
      </c>
      <c r="BX79" s="239">
        <f t="shared" si="224"/>
        <v>1200</v>
      </c>
      <c r="BY79" s="239">
        <f t="shared" si="225"/>
        <v>1326</v>
      </c>
      <c r="BZ79" s="239">
        <f t="shared" si="225"/>
        <v>1326</v>
      </c>
      <c r="CA79" s="558">
        <f t="shared" si="226"/>
        <v>100</v>
      </c>
    </row>
    <row r="80" spans="1:79" s="9" customFormat="1" x14ac:dyDescent="0.2">
      <c r="A80" s="55"/>
      <c r="B80" s="8" t="s">
        <v>573</v>
      </c>
      <c r="C80" s="159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59"/>
      <c r="Q80" s="11"/>
      <c r="R80" s="11"/>
      <c r="S80" s="11"/>
      <c r="T80" s="11"/>
      <c r="U80" s="11"/>
      <c r="V80" s="11"/>
      <c r="W80" s="159"/>
      <c r="X80" s="11"/>
      <c r="Y80" s="11"/>
      <c r="Z80" s="11"/>
      <c r="AA80" s="11"/>
      <c r="AB80" s="11"/>
      <c r="AC80" s="11"/>
      <c r="AD80" s="159">
        <v>244</v>
      </c>
      <c r="AE80" s="11">
        <v>300</v>
      </c>
      <c r="AF80" s="11">
        <v>300</v>
      </c>
      <c r="AG80" s="11">
        <v>300</v>
      </c>
      <c r="AH80" s="11">
        <f>300+100</f>
        <v>400</v>
      </c>
      <c r="AI80" s="11">
        <f>300+100</f>
        <v>400</v>
      </c>
      <c r="AJ80" s="11">
        <v>271</v>
      </c>
      <c r="AK80" s="159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59">
        <v>67</v>
      </c>
      <c r="BG80" s="11">
        <v>150</v>
      </c>
      <c r="BH80" s="11">
        <v>150</v>
      </c>
      <c r="BI80" s="11">
        <v>150</v>
      </c>
      <c r="BJ80" s="11">
        <v>150</v>
      </c>
      <c r="BK80" s="11">
        <f>150-39</f>
        <v>111</v>
      </c>
      <c r="BL80" s="11">
        <v>0</v>
      </c>
      <c r="BM80" s="159"/>
      <c r="BN80" s="11"/>
      <c r="BO80" s="11"/>
      <c r="BP80" s="11"/>
      <c r="BQ80" s="11"/>
      <c r="BR80" s="11"/>
      <c r="BS80" s="11"/>
      <c r="BT80" s="516">
        <f t="shared" si="220"/>
        <v>311</v>
      </c>
      <c r="BU80" s="239">
        <f t="shared" si="221"/>
        <v>450</v>
      </c>
      <c r="BV80" s="239">
        <f t="shared" si="222"/>
        <v>450</v>
      </c>
      <c r="BW80" s="239">
        <f t="shared" si="223"/>
        <v>450</v>
      </c>
      <c r="BX80" s="239">
        <f t="shared" si="224"/>
        <v>550</v>
      </c>
      <c r="BY80" s="239">
        <f t="shared" si="225"/>
        <v>511</v>
      </c>
      <c r="BZ80" s="239">
        <f t="shared" si="225"/>
        <v>271</v>
      </c>
      <c r="CA80" s="558">
        <f t="shared" si="226"/>
        <v>53.033268101761252</v>
      </c>
    </row>
    <row r="81" spans="1:79" s="9" customFormat="1" x14ac:dyDescent="0.2">
      <c r="A81" s="55"/>
      <c r="B81" s="8" t="s">
        <v>543</v>
      </c>
      <c r="C81" s="159"/>
      <c r="D81" s="11"/>
      <c r="E81" s="11"/>
      <c r="F81" s="11"/>
      <c r="G81" s="11"/>
      <c r="H81" s="11"/>
      <c r="I81" s="11"/>
      <c r="J81" s="159"/>
      <c r="K81" s="159"/>
      <c r="L81" s="159"/>
      <c r="M81" s="159"/>
      <c r="N81" s="159"/>
      <c r="O81" s="159"/>
      <c r="P81" s="159"/>
      <c r="Q81" s="11"/>
      <c r="R81" s="11"/>
      <c r="S81" s="11"/>
      <c r="T81" s="11"/>
      <c r="U81" s="11"/>
      <c r="V81" s="11"/>
      <c r="W81" s="159">
        <v>203</v>
      </c>
      <c r="X81" s="11">
        <v>500</v>
      </c>
      <c r="Y81" s="11">
        <v>500</v>
      </c>
      <c r="Z81" s="11">
        <v>500</v>
      </c>
      <c r="AA81" s="11">
        <v>500</v>
      </c>
      <c r="AB81" s="11">
        <f>500-126</f>
        <v>374</v>
      </c>
      <c r="AC81" s="11">
        <v>185</v>
      </c>
      <c r="AD81" s="159">
        <v>0</v>
      </c>
      <c r="AE81" s="11">
        <v>150</v>
      </c>
      <c r="AF81" s="11">
        <v>150</v>
      </c>
      <c r="AG81" s="11">
        <v>150</v>
      </c>
      <c r="AH81" s="11">
        <v>150</v>
      </c>
      <c r="AI81" s="11">
        <v>150</v>
      </c>
      <c r="AJ81" s="11">
        <v>36</v>
      </c>
      <c r="AK81" s="159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59">
        <v>28</v>
      </c>
      <c r="BG81" s="11">
        <v>100</v>
      </c>
      <c r="BH81" s="11">
        <v>100</v>
      </c>
      <c r="BI81" s="11">
        <v>100</v>
      </c>
      <c r="BJ81" s="11">
        <v>100</v>
      </c>
      <c r="BK81" s="11">
        <v>100</v>
      </c>
      <c r="BL81" s="11">
        <v>62</v>
      </c>
      <c r="BM81" s="159"/>
      <c r="BN81" s="11"/>
      <c r="BO81" s="11"/>
      <c r="BP81" s="11"/>
      <c r="BQ81" s="11"/>
      <c r="BR81" s="11"/>
      <c r="BS81" s="11"/>
      <c r="BT81" s="516">
        <f t="shared" si="220"/>
        <v>231</v>
      </c>
      <c r="BU81" s="239">
        <f t="shared" si="221"/>
        <v>750</v>
      </c>
      <c r="BV81" s="239">
        <f t="shared" si="222"/>
        <v>750</v>
      </c>
      <c r="BW81" s="239">
        <f t="shared" si="223"/>
        <v>750</v>
      </c>
      <c r="BX81" s="239">
        <f t="shared" si="224"/>
        <v>750</v>
      </c>
      <c r="BY81" s="239">
        <f t="shared" si="225"/>
        <v>624</v>
      </c>
      <c r="BZ81" s="239">
        <f t="shared" si="225"/>
        <v>283</v>
      </c>
      <c r="CA81" s="558">
        <f t="shared" si="226"/>
        <v>45.352564102564102</v>
      </c>
    </row>
    <row r="82" spans="1:79" s="382" customFormat="1" ht="28.5" customHeight="1" x14ac:dyDescent="0.2">
      <c r="A82" s="381"/>
      <c r="B82" s="374" t="s">
        <v>805</v>
      </c>
      <c r="C82" s="104">
        <v>480</v>
      </c>
      <c r="D82" s="75">
        <f>900</f>
        <v>900</v>
      </c>
      <c r="E82" s="75">
        <f>900+2830</f>
        <v>3730</v>
      </c>
      <c r="F82" s="75">
        <f>900+2830</f>
        <v>3730</v>
      </c>
      <c r="G82" s="75">
        <f>900+2830</f>
        <v>3730</v>
      </c>
      <c r="H82" s="75">
        <f>900+2830-240</f>
        <v>3490</v>
      </c>
      <c r="I82" s="75">
        <v>3080</v>
      </c>
      <c r="J82" s="104"/>
      <c r="K82" s="104"/>
      <c r="L82" s="104"/>
      <c r="M82" s="104"/>
      <c r="N82" s="104"/>
      <c r="O82" s="104"/>
      <c r="P82" s="104">
        <v>2731</v>
      </c>
      <c r="Q82" s="75">
        <v>2900</v>
      </c>
      <c r="R82" s="75">
        <v>2900</v>
      </c>
      <c r="S82" s="75">
        <v>2900</v>
      </c>
      <c r="T82" s="75">
        <v>2900</v>
      </c>
      <c r="U82" s="75">
        <f>2900+240</f>
        <v>3140</v>
      </c>
      <c r="V82" s="75">
        <v>3099</v>
      </c>
      <c r="W82" s="104">
        <v>35</v>
      </c>
      <c r="X82" s="75">
        <v>600</v>
      </c>
      <c r="Y82" s="75">
        <v>600</v>
      </c>
      <c r="Z82" s="75">
        <v>600</v>
      </c>
      <c r="AA82" s="75">
        <v>600</v>
      </c>
      <c r="AB82" s="75">
        <v>600</v>
      </c>
      <c r="AC82" s="75">
        <v>198</v>
      </c>
      <c r="AD82" s="104">
        <v>17664</v>
      </c>
      <c r="AE82" s="75">
        <v>5800</v>
      </c>
      <c r="AF82" s="75">
        <v>5800</v>
      </c>
      <c r="AG82" s="75">
        <f>5800</f>
        <v>5800</v>
      </c>
      <c r="AH82" s="75">
        <f>5800+4000-100</f>
        <v>9700</v>
      </c>
      <c r="AI82" s="75">
        <f>5800+4000-100</f>
        <v>9700</v>
      </c>
      <c r="AJ82" s="75">
        <v>6195</v>
      </c>
      <c r="AK82" s="104">
        <v>522</v>
      </c>
      <c r="AL82" s="75">
        <v>0</v>
      </c>
      <c r="AM82" s="75">
        <v>150</v>
      </c>
      <c r="AN82" s="75">
        <f>150+546</f>
        <v>696</v>
      </c>
      <c r="AO82" s="75">
        <f>150+546</f>
        <v>696</v>
      </c>
      <c r="AP82" s="75">
        <f>150+546</f>
        <v>696</v>
      </c>
      <c r="AQ82" s="75">
        <v>696</v>
      </c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104">
        <v>14</v>
      </c>
      <c r="BG82" s="75">
        <v>50</v>
      </c>
      <c r="BH82" s="75">
        <v>50</v>
      </c>
      <c r="BI82" s="75">
        <f>50+400</f>
        <v>450</v>
      </c>
      <c r="BJ82" s="75">
        <f>50+400</f>
        <v>450</v>
      </c>
      <c r="BK82" s="75">
        <f>50+400+39</f>
        <v>489</v>
      </c>
      <c r="BL82" s="75">
        <v>489</v>
      </c>
      <c r="BM82" s="104">
        <v>6410</v>
      </c>
      <c r="BN82" s="75">
        <v>6000</v>
      </c>
      <c r="BO82" s="75">
        <f>6000+1506</f>
        <v>7506</v>
      </c>
      <c r="BP82" s="75">
        <f>6000+1506</f>
        <v>7506</v>
      </c>
      <c r="BQ82" s="75">
        <f>6000+1506</f>
        <v>7506</v>
      </c>
      <c r="BR82" s="75">
        <f>6000+1506</f>
        <v>7506</v>
      </c>
      <c r="BS82" s="75">
        <v>5914</v>
      </c>
      <c r="BT82" s="519">
        <f t="shared" si="220"/>
        <v>27856</v>
      </c>
      <c r="BU82" s="363">
        <f t="shared" si="221"/>
        <v>16250</v>
      </c>
      <c r="BV82" s="363">
        <f t="shared" si="222"/>
        <v>20736</v>
      </c>
      <c r="BW82" s="363">
        <f t="shared" si="223"/>
        <v>21682</v>
      </c>
      <c r="BX82" s="363">
        <f t="shared" si="224"/>
        <v>25582</v>
      </c>
      <c r="BY82" s="363">
        <f t="shared" si="225"/>
        <v>25621</v>
      </c>
      <c r="BZ82" s="363">
        <f t="shared" si="225"/>
        <v>19671</v>
      </c>
      <c r="CA82" s="558">
        <f t="shared" si="226"/>
        <v>76.776862729791972</v>
      </c>
    </row>
    <row r="83" spans="1:79" s="9" customFormat="1" x14ac:dyDescent="0.2">
      <c r="A83" s="55"/>
      <c r="B83" s="8" t="s">
        <v>384</v>
      </c>
      <c r="C83" s="159"/>
      <c r="D83" s="11"/>
      <c r="E83" s="11"/>
      <c r="F83" s="11"/>
      <c r="G83" s="11"/>
      <c r="H83" s="11"/>
      <c r="I83" s="11"/>
      <c r="J83" s="159"/>
      <c r="K83" s="159"/>
      <c r="L83" s="159"/>
      <c r="M83" s="159"/>
      <c r="N83" s="159"/>
      <c r="O83" s="159"/>
      <c r="P83" s="159"/>
      <c r="Q83" s="11"/>
      <c r="R83" s="11"/>
      <c r="S83" s="11"/>
      <c r="T83" s="11"/>
      <c r="U83" s="11"/>
      <c r="V83" s="11"/>
      <c r="W83" s="159">
        <v>1174</v>
      </c>
      <c r="X83" s="11">
        <v>1300</v>
      </c>
      <c r="Y83" s="11">
        <v>1300</v>
      </c>
      <c r="Z83" s="11">
        <v>1300</v>
      </c>
      <c r="AA83" s="11">
        <f>1300-125</f>
        <v>1175</v>
      </c>
      <c r="AB83" s="11">
        <f>1300-125</f>
        <v>1175</v>
      </c>
      <c r="AC83" s="11">
        <v>1174</v>
      </c>
      <c r="AD83" s="159"/>
      <c r="AE83" s="11"/>
      <c r="AF83" s="11"/>
      <c r="AG83" s="11"/>
      <c r="AH83" s="11"/>
      <c r="AI83" s="11"/>
      <c r="AJ83" s="11"/>
      <c r="AK83" s="159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59"/>
      <c r="BG83" s="11"/>
      <c r="BH83" s="11"/>
      <c r="BI83" s="11"/>
      <c r="BJ83" s="11"/>
      <c r="BK83" s="11"/>
      <c r="BL83" s="11"/>
      <c r="BM83" s="159"/>
      <c r="BN83" s="11"/>
      <c r="BO83" s="11"/>
      <c r="BP83" s="11"/>
      <c r="BQ83" s="11"/>
      <c r="BR83" s="11"/>
      <c r="BS83" s="11"/>
      <c r="BT83" s="516">
        <f t="shared" si="220"/>
        <v>1174</v>
      </c>
      <c r="BU83" s="239">
        <f t="shared" si="221"/>
        <v>1300</v>
      </c>
      <c r="BV83" s="239">
        <f t="shared" si="222"/>
        <v>1300</v>
      </c>
      <c r="BW83" s="239">
        <f t="shared" si="223"/>
        <v>1300</v>
      </c>
      <c r="BX83" s="239">
        <f t="shared" si="224"/>
        <v>1175</v>
      </c>
      <c r="BY83" s="239">
        <f t="shared" ref="BY83:BZ87" si="227">H83+N83+U83+AB83+AI83+AP83+AW83+BD83+BK83+BR83</f>
        <v>1175</v>
      </c>
      <c r="BZ83" s="239">
        <f t="shared" si="227"/>
        <v>1174</v>
      </c>
      <c r="CA83" s="558">
        <f t="shared" si="226"/>
        <v>99.914893617021278</v>
      </c>
    </row>
    <row r="84" spans="1:79" s="9" customFormat="1" x14ac:dyDescent="0.2">
      <c r="A84" s="55"/>
      <c r="B84" s="8" t="s">
        <v>673</v>
      </c>
      <c r="C84" s="159"/>
      <c r="D84" s="11"/>
      <c r="E84" s="11"/>
      <c r="F84" s="11"/>
      <c r="G84" s="11"/>
      <c r="H84" s="11"/>
      <c r="I84" s="11"/>
      <c r="J84" s="159"/>
      <c r="K84" s="159"/>
      <c r="L84" s="159"/>
      <c r="M84" s="159"/>
      <c r="N84" s="159"/>
      <c r="O84" s="159"/>
      <c r="P84" s="159"/>
      <c r="Q84" s="11"/>
      <c r="R84" s="11"/>
      <c r="S84" s="11"/>
      <c r="T84" s="11"/>
      <c r="U84" s="11"/>
      <c r="V84" s="11"/>
      <c r="W84" s="159"/>
      <c r="X84" s="11"/>
      <c r="Y84" s="11"/>
      <c r="Z84" s="11"/>
      <c r="AA84" s="11"/>
      <c r="AB84" s="11"/>
      <c r="AC84" s="11"/>
      <c r="AD84" s="159">
        <v>3000</v>
      </c>
      <c r="AE84" s="11">
        <v>12000</v>
      </c>
      <c r="AF84" s="11">
        <v>12000</v>
      </c>
      <c r="AG84" s="11">
        <v>12000</v>
      </c>
      <c r="AH84" s="11">
        <v>12000</v>
      </c>
      <c r="AI84" s="11">
        <v>12000</v>
      </c>
      <c r="AJ84" s="11">
        <v>12000</v>
      </c>
      <c r="AK84" s="159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59"/>
      <c r="BG84" s="11"/>
      <c r="BH84" s="11"/>
      <c r="BI84" s="11"/>
      <c r="BJ84" s="11"/>
      <c r="BK84" s="11"/>
      <c r="BL84" s="11"/>
      <c r="BM84" s="159"/>
      <c r="BN84" s="11"/>
      <c r="BO84" s="11"/>
      <c r="BP84" s="11"/>
      <c r="BQ84" s="11"/>
      <c r="BR84" s="11"/>
      <c r="BS84" s="11"/>
      <c r="BT84" s="516">
        <f t="shared" si="220"/>
        <v>3000</v>
      </c>
      <c r="BU84" s="239">
        <f t="shared" si="221"/>
        <v>12000</v>
      </c>
      <c r="BV84" s="239">
        <f t="shared" si="222"/>
        <v>12000</v>
      </c>
      <c r="BW84" s="239">
        <f t="shared" si="223"/>
        <v>12000</v>
      </c>
      <c r="BX84" s="239">
        <f t="shared" si="224"/>
        <v>12000</v>
      </c>
      <c r="BY84" s="239">
        <f t="shared" si="227"/>
        <v>12000</v>
      </c>
      <c r="BZ84" s="239">
        <f t="shared" si="227"/>
        <v>12000</v>
      </c>
      <c r="CA84" s="558">
        <f t="shared" si="226"/>
        <v>100</v>
      </c>
    </row>
    <row r="85" spans="1:79" s="382" customFormat="1" ht="25.5" x14ac:dyDescent="0.2">
      <c r="A85" s="381"/>
      <c r="B85" s="374" t="s">
        <v>750</v>
      </c>
      <c r="C85" s="104"/>
      <c r="D85" s="75"/>
      <c r="E85" s="75"/>
      <c r="F85" s="75"/>
      <c r="G85" s="75"/>
      <c r="H85" s="75"/>
      <c r="I85" s="75"/>
      <c r="J85" s="104"/>
      <c r="K85" s="104"/>
      <c r="L85" s="104"/>
      <c r="M85" s="104"/>
      <c r="N85" s="104"/>
      <c r="O85" s="104"/>
      <c r="P85" s="104"/>
      <c r="Q85" s="75"/>
      <c r="R85" s="75"/>
      <c r="S85" s="75"/>
      <c r="T85" s="75"/>
      <c r="U85" s="75"/>
      <c r="V85" s="75"/>
      <c r="W85" s="104"/>
      <c r="X85" s="75"/>
      <c r="Y85" s="75"/>
      <c r="Z85" s="75"/>
      <c r="AA85" s="75"/>
      <c r="AB85" s="75"/>
      <c r="AC85" s="75"/>
      <c r="AD85" s="104">
        <v>0</v>
      </c>
      <c r="AE85" s="75">
        <v>6000</v>
      </c>
      <c r="AF85" s="75">
        <v>6000</v>
      </c>
      <c r="AG85" s="75">
        <v>6000</v>
      </c>
      <c r="AH85" s="75">
        <v>6000</v>
      </c>
      <c r="AI85" s="75">
        <v>6000</v>
      </c>
      <c r="AJ85" s="75">
        <v>2917</v>
      </c>
      <c r="AK85" s="104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104"/>
      <c r="BG85" s="75"/>
      <c r="BH85" s="75"/>
      <c r="BI85" s="75"/>
      <c r="BJ85" s="75"/>
      <c r="BK85" s="75"/>
      <c r="BL85" s="75"/>
      <c r="BM85" s="104"/>
      <c r="BN85" s="75"/>
      <c r="BO85" s="75"/>
      <c r="BP85" s="75"/>
      <c r="BQ85" s="75"/>
      <c r="BR85" s="75"/>
      <c r="BS85" s="75"/>
      <c r="BT85" s="519">
        <f t="shared" si="220"/>
        <v>0</v>
      </c>
      <c r="BU85" s="363">
        <f t="shared" si="221"/>
        <v>6000</v>
      </c>
      <c r="BV85" s="363">
        <f t="shared" si="222"/>
        <v>6000</v>
      </c>
      <c r="BW85" s="363">
        <f t="shared" si="223"/>
        <v>6000</v>
      </c>
      <c r="BX85" s="363">
        <f t="shared" si="224"/>
        <v>6000</v>
      </c>
      <c r="BY85" s="363">
        <f t="shared" si="227"/>
        <v>6000</v>
      </c>
      <c r="BZ85" s="363">
        <f t="shared" si="227"/>
        <v>2917</v>
      </c>
      <c r="CA85" s="558">
        <f t="shared" si="226"/>
        <v>48.616666666666667</v>
      </c>
    </row>
    <row r="86" spans="1:79" s="9" customFormat="1" x14ac:dyDescent="0.2">
      <c r="A86" s="55"/>
      <c r="B86" s="8" t="s">
        <v>736</v>
      </c>
      <c r="C86" s="159"/>
      <c r="D86" s="11"/>
      <c r="E86" s="11"/>
      <c r="F86" s="11"/>
      <c r="G86" s="11"/>
      <c r="H86" s="11"/>
      <c r="I86" s="11"/>
      <c r="J86" s="159"/>
      <c r="K86" s="159"/>
      <c r="L86" s="159"/>
      <c r="M86" s="159"/>
      <c r="N86" s="159"/>
      <c r="O86" s="159"/>
      <c r="P86" s="159"/>
      <c r="Q86" s="11"/>
      <c r="R86" s="11"/>
      <c r="S86" s="11"/>
      <c r="T86" s="11"/>
      <c r="U86" s="11"/>
      <c r="V86" s="11"/>
      <c r="W86" s="159"/>
      <c r="X86" s="11"/>
      <c r="Y86" s="11"/>
      <c r="Z86" s="11"/>
      <c r="AA86" s="11"/>
      <c r="AB86" s="11"/>
      <c r="AC86" s="11"/>
      <c r="AD86" s="159"/>
      <c r="AE86" s="11"/>
      <c r="AF86" s="11"/>
      <c r="AG86" s="11"/>
      <c r="AH86" s="11"/>
      <c r="AI86" s="11"/>
      <c r="AJ86" s="11"/>
      <c r="AK86" s="159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59"/>
      <c r="BG86" s="11"/>
      <c r="BH86" s="11"/>
      <c r="BI86" s="11"/>
      <c r="BJ86" s="11"/>
      <c r="BK86" s="11"/>
      <c r="BL86" s="11"/>
      <c r="BM86" s="159">
        <v>0</v>
      </c>
      <c r="BN86" s="11">
        <v>15000</v>
      </c>
      <c r="BO86" s="11">
        <v>15000</v>
      </c>
      <c r="BP86" s="11">
        <v>15000</v>
      </c>
      <c r="BQ86" s="11">
        <v>15000</v>
      </c>
      <c r="BR86" s="11">
        <v>15000</v>
      </c>
      <c r="BS86" s="11">
        <v>10048</v>
      </c>
      <c r="BT86" s="516">
        <f t="shared" si="220"/>
        <v>0</v>
      </c>
      <c r="BU86" s="239">
        <f t="shared" si="221"/>
        <v>15000</v>
      </c>
      <c r="BV86" s="239">
        <f t="shared" si="222"/>
        <v>15000</v>
      </c>
      <c r="BW86" s="239">
        <f t="shared" si="223"/>
        <v>15000</v>
      </c>
      <c r="BX86" s="239">
        <f t="shared" si="224"/>
        <v>15000</v>
      </c>
      <c r="BY86" s="239">
        <f t="shared" si="227"/>
        <v>15000</v>
      </c>
      <c r="BZ86" s="239">
        <f t="shared" si="227"/>
        <v>10048</v>
      </c>
      <c r="CA86" s="558">
        <f t="shared" si="226"/>
        <v>66.986666666666679</v>
      </c>
    </row>
    <row r="87" spans="1:79" s="9" customFormat="1" x14ac:dyDescent="0.2">
      <c r="A87" s="55"/>
      <c r="B87" s="8" t="s">
        <v>804</v>
      </c>
      <c r="C87" s="159"/>
      <c r="D87" s="11"/>
      <c r="E87" s="11"/>
      <c r="F87" s="11"/>
      <c r="G87" s="11"/>
      <c r="H87" s="11"/>
      <c r="I87" s="11"/>
      <c r="J87" s="159"/>
      <c r="K87" s="159"/>
      <c r="L87" s="159"/>
      <c r="M87" s="159"/>
      <c r="N87" s="159"/>
      <c r="O87" s="159"/>
      <c r="P87" s="159"/>
      <c r="Q87" s="11"/>
      <c r="R87" s="11"/>
      <c r="S87" s="11"/>
      <c r="T87" s="11"/>
      <c r="U87" s="11"/>
      <c r="V87" s="11"/>
      <c r="W87" s="159"/>
      <c r="X87" s="11"/>
      <c r="Y87" s="11"/>
      <c r="Z87" s="11"/>
      <c r="AA87" s="11"/>
      <c r="AB87" s="11"/>
      <c r="AC87" s="11"/>
      <c r="AD87" s="159">
        <v>0</v>
      </c>
      <c r="AE87" s="11">
        <v>0</v>
      </c>
      <c r="AF87" s="11">
        <v>0</v>
      </c>
      <c r="AG87" s="11">
        <v>0</v>
      </c>
      <c r="AH87" s="11">
        <v>6500</v>
      </c>
      <c r="AI87" s="11">
        <v>6500</v>
      </c>
      <c r="AJ87" s="11">
        <v>0</v>
      </c>
      <c r="AK87" s="159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59"/>
      <c r="BG87" s="11"/>
      <c r="BH87" s="11"/>
      <c r="BI87" s="11"/>
      <c r="BJ87" s="11"/>
      <c r="BK87" s="11"/>
      <c r="BL87" s="11"/>
      <c r="BM87" s="159"/>
      <c r="BN87" s="11"/>
      <c r="BO87" s="11"/>
      <c r="BP87" s="11"/>
      <c r="BQ87" s="11"/>
      <c r="BR87" s="11"/>
      <c r="BS87" s="11"/>
      <c r="BT87" s="516">
        <f t="shared" si="220"/>
        <v>0</v>
      </c>
      <c r="BU87" s="239">
        <f t="shared" si="221"/>
        <v>0</v>
      </c>
      <c r="BV87" s="239">
        <f t="shared" si="222"/>
        <v>0</v>
      </c>
      <c r="BW87" s="239">
        <f t="shared" si="223"/>
        <v>0</v>
      </c>
      <c r="BX87" s="239">
        <f t="shared" si="224"/>
        <v>6500</v>
      </c>
      <c r="BY87" s="239">
        <f t="shared" si="227"/>
        <v>6500</v>
      </c>
      <c r="BZ87" s="239">
        <f t="shared" si="227"/>
        <v>0</v>
      </c>
      <c r="CA87" s="558">
        <f t="shared" si="226"/>
        <v>0</v>
      </c>
    </row>
    <row r="88" spans="1:79" s="9" customFormat="1" hidden="1" x14ac:dyDescent="0.2">
      <c r="A88" s="55"/>
      <c r="B88" s="8"/>
      <c r="C88" s="159"/>
      <c r="D88" s="11"/>
      <c r="E88" s="11"/>
      <c r="F88" s="11"/>
      <c r="G88" s="11"/>
      <c r="H88" s="11"/>
      <c r="I88" s="11"/>
      <c r="J88" s="159"/>
      <c r="K88" s="159"/>
      <c r="L88" s="159"/>
      <c r="M88" s="159"/>
      <c r="N88" s="159"/>
      <c r="O88" s="159"/>
      <c r="P88" s="159"/>
      <c r="Q88" s="11"/>
      <c r="R88" s="11"/>
      <c r="S88" s="11"/>
      <c r="T88" s="11"/>
      <c r="U88" s="11"/>
      <c r="V88" s="11"/>
      <c r="W88" s="159"/>
      <c r="X88" s="11"/>
      <c r="Y88" s="11"/>
      <c r="Z88" s="11"/>
      <c r="AA88" s="11"/>
      <c r="AB88" s="11"/>
      <c r="AC88" s="11"/>
      <c r="AD88" s="159">
        <v>0</v>
      </c>
      <c r="AE88" s="11">
        <v>0</v>
      </c>
      <c r="AF88" s="11">
        <v>0</v>
      </c>
      <c r="AG88" s="11">
        <v>0</v>
      </c>
      <c r="AH88" s="11"/>
      <c r="AI88" s="11"/>
      <c r="AJ88" s="11"/>
      <c r="AK88" s="159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59"/>
      <c r="BG88" s="11"/>
      <c r="BH88" s="11"/>
      <c r="BI88" s="11"/>
      <c r="BJ88" s="11"/>
      <c r="BK88" s="11"/>
      <c r="BL88" s="11"/>
      <c r="BM88" s="159"/>
      <c r="BN88" s="11"/>
      <c r="BO88" s="11"/>
      <c r="BP88" s="11"/>
      <c r="BQ88" s="11"/>
      <c r="BR88" s="11"/>
      <c r="BS88" s="11"/>
      <c r="BT88" s="516">
        <f t="shared" si="220"/>
        <v>0</v>
      </c>
      <c r="BU88" s="239">
        <f t="shared" si="221"/>
        <v>0</v>
      </c>
      <c r="BV88" s="239">
        <f t="shared" ref="BV88:BV96" si="228">E88+K88+R88+Y88+AF88+AM88+AT88+BA88+BH88+BO88</f>
        <v>0</v>
      </c>
      <c r="BW88" s="239">
        <f t="shared" ref="BW88:BW96" si="229">F88+L88+S88+Z88+AG88+AN88+AU88+BB88+BI88+BP88</f>
        <v>0</v>
      </c>
      <c r="BX88" s="239"/>
      <c r="BY88" s="239"/>
      <c r="BZ88" s="239"/>
      <c r="CA88" s="558" t="e">
        <f t="shared" si="226"/>
        <v>#DIV/0!</v>
      </c>
    </row>
    <row r="89" spans="1:79" s="9" customFormat="1" x14ac:dyDescent="0.2">
      <c r="A89" s="230" t="s">
        <v>570</v>
      </c>
      <c r="B89" s="14" t="s">
        <v>209</v>
      </c>
      <c r="C89" s="403">
        <f t="shared" ref="C89:E89" si="230">SUM(C90:C91)</f>
        <v>0</v>
      </c>
      <c r="D89" s="6">
        <f t="shared" ref="D89" si="231">SUM(D90:D91)</f>
        <v>0</v>
      </c>
      <c r="E89" s="6">
        <f t="shared" si="230"/>
        <v>0</v>
      </c>
      <c r="F89" s="6">
        <f t="shared" ref="F89:G89" si="232">SUM(F90:F91)</f>
        <v>0</v>
      </c>
      <c r="G89" s="6">
        <f t="shared" si="232"/>
        <v>0</v>
      </c>
      <c r="H89" s="6">
        <f t="shared" ref="H89:I89" si="233">SUM(H90:H91)</f>
        <v>0</v>
      </c>
      <c r="I89" s="6">
        <f t="shared" si="233"/>
        <v>0</v>
      </c>
      <c r="J89" s="6">
        <f t="shared" ref="J89" si="234">SUM(J90:J91)</f>
        <v>0</v>
      </c>
      <c r="K89" s="6">
        <f t="shared" ref="K89:O89" si="235">SUM(K90:K91)</f>
        <v>0</v>
      </c>
      <c r="L89" s="6">
        <f t="shared" si="235"/>
        <v>0</v>
      </c>
      <c r="M89" s="6">
        <f t="shared" si="235"/>
        <v>0</v>
      </c>
      <c r="N89" s="6"/>
      <c r="O89" s="6">
        <f t="shared" si="235"/>
        <v>0</v>
      </c>
      <c r="P89" s="403">
        <f t="shared" ref="P89:Q89" si="236">SUM(P90:P91)</f>
        <v>0</v>
      </c>
      <c r="Q89" s="6">
        <f t="shared" si="236"/>
        <v>0</v>
      </c>
      <c r="R89" s="6">
        <f t="shared" ref="R89:T89" si="237">SUM(R90:R91)</f>
        <v>0</v>
      </c>
      <c r="S89" s="6">
        <f t="shared" si="237"/>
        <v>0</v>
      </c>
      <c r="T89" s="6">
        <f t="shared" si="237"/>
        <v>0</v>
      </c>
      <c r="U89" s="6">
        <f t="shared" ref="U89:V89" si="238">SUM(U90:U91)</f>
        <v>0</v>
      </c>
      <c r="V89" s="6">
        <f t="shared" si="238"/>
        <v>0</v>
      </c>
      <c r="W89" s="403">
        <f t="shared" ref="W89:Y89" si="239">SUM(W90:W91)</f>
        <v>0</v>
      </c>
      <c r="X89" s="6">
        <f t="shared" ref="X89" si="240">SUM(X90:X91)</f>
        <v>0</v>
      </c>
      <c r="Y89" s="6">
        <f t="shared" si="239"/>
        <v>0</v>
      </c>
      <c r="Z89" s="6">
        <f t="shared" ref="Z89:AA89" si="241">SUM(Z90:Z91)</f>
        <v>0</v>
      </c>
      <c r="AA89" s="6">
        <f t="shared" si="241"/>
        <v>0</v>
      </c>
      <c r="AB89" s="6">
        <f t="shared" ref="AB89:AC89" si="242">SUM(AB90:AB91)</f>
        <v>0</v>
      </c>
      <c r="AC89" s="6">
        <f t="shared" si="242"/>
        <v>0</v>
      </c>
      <c r="AD89" s="403">
        <f t="shared" ref="AD89:AF89" si="243">SUM(AD90:AD91)</f>
        <v>1543</v>
      </c>
      <c r="AE89" s="6">
        <f t="shared" ref="AE89" si="244">SUM(AE90:AE91)</f>
        <v>2100</v>
      </c>
      <c r="AF89" s="6">
        <f t="shared" si="243"/>
        <v>2100</v>
      </c>
      <c r="AG89" s="6">
        <f t="shared" ref="AG89:AH89" si="245">SUM(AG90:AG91)</f>
        <v>2100</v>
      </c>
      <c r="AH89" s="6">
        <f t="shared" si="245"/>
        <v>2100</v>
      </c>
      <c r="AI89" s="6">
        <f t="shared" ref="AI89:AJ89" si="246">SUM(AI90:AI91)</f>
        <v>2100</v>
      </c>
      <c r="AJ89" s="6">
        <f t="shared" si="246"/>
        <v>508</v>
      </c>
      <c r="AK89" s="403">
        <f t="shared" ref="AK89:AM89" si="247">SUM(AK90:AK91)</f>
        <v>0</v>
      </c>
      <c r="AL89" s="6">
        <f t="shared" ref="AL89" si="248">SUM(AL90:AL91)</f>
        <v>0</v>
      </c>
      <c r="AM89" s="6">
        <f t="shared" si="247"/>
        <v>0</v>
      </c>
      <c r="AN89" s="6">
        <f t="shared" ref="AN89:AO89" si="249">SUM(AN90:AN91)</f>
        <v>0</v>
      </c>
      <c r="AO89" s="6">
        <f t="shared" si="249"/>
        <v>0</v>
      </c>
      <c r="AP89" s="6">
        <f t="shared" ref="AP89:AQ89" si="250">SUM(AP90:AP91)</f>
        <v>0</v>
      </c>
      <c r="AQ89" s="6">
        <f t="shared" si="250"/>
        <v>0</v>
      </c>
      <c r="AR89" s="6">
        <f t="shared" ref="AR89:BF89" si="251">SUM(AR90:AR91)</f>
        <v>0</v>
      </c>
      <c r="AS89" s="6"/>
      <c r="AT89" s="6">
        <f t="shared" si="251"/>
        <v>0</v>
      </c>
      <c r="AU89" s="6">
        <f>SUM(AU90:AU91)</f>
        <v>0</v>
      </c>
      <c r="AV89" s="6">
        <f t="shared" si="251"/>
        <v>0</v>
      </c>
      <c r="AW89" s="6"/>
      <c r="AX89" s="6">
        <f t="shared" si="251"/>
        <v>0</v>
      </c>
      <c r="AY89" s="6">
        <f t="shared" si="251"/>
        <v>0</v>
      </c>
      <c r="AZ89" s="6"/>
      <c r="BA89" s="6">
        <f>SUM(BA90:BA91)</f>
        <v>0</v>
      </c>
      <c r="BB89" s="6">
        <f>SUM(BB90:BB91)</f>
        <v>0</v>
      </c>
      <c r="BC89" s="6">
        <f>SUM(BC90:BC91)</f>
        <v>0</v>
      </c>
      <c r="BD89" s="6"/>
      <c r="BE89" s="6">
        <f t="shared" si="251"/>
        <v>0</v>
      </c>
      <c r="BF89" s="403">
        <f t="shared" si="251"/>
        <v>0</v>
      </c>
      <c r="BG89" s="6">
        <f t="shared" ref="BG89" si="252">SUM(BG90:BG91)</f>
        <v>0</v>
      </c>
      <c r="BH89" s="6">
        <f t="shared" ref="BH89" si="253">SUM(BH90:BH91)</f>
        <v>0</v>
      </c>
      <c r="BI89" s="6">
        <f t="shared" ref="BI89:BJ89" si="254">SUM(BI90:BI91)</f>
        <v>0</v>
      </c>
      <c r="BJ89" s="6">
        <f t="shared" si="254"/>
        <v>0</v>
      </c>
      <c r="BK89" s="6">
        <f t="shared" ref="BK89:BL89" si="255">SUM(BK90:BK91)</f>
        <v>0</v>
      </c>
      <c r="BL89" s="6">
        <f t="shared" si="255"/>
        <v>0</v>
      </c>
      <c r="BM89" s="403">
        <f t="shared" ref="BM89:BN89" si="256">SUM(BM90:BM91)</f>
        <v>1747</v>
      </c>
      <c r="BN89" s="6">
        <f t="shared" si="256"/>
        <v>2700</v>
      </c>
      <c r="BO89" s="6">
        <f t="shared" ref="BO89:BQ89" si="257">SUM(BO90:BO91)</f>
        <v>2700</v>
      </c>
      <c r="BP89" s="6">
        <f t="shared" si="257"/>
        <v>2700</v>
      </c>
      <c r="BQ89" s="6">
        <f t="shared" si="257"/>
        <v>2700</v>
      </c>
      <c r="BR89" s="6">
        <f t="shared" ref="BR89:BS89" si="258">SUM(BR90:BR91)</f>
        <v>2700</v>
      </c>
      <c r="BS89" s="6">
        <f t="shared" si="258"/>
        <v>794</v>
      </c>
      <c r="BT89" s="518">
        <f t="shared" si="220"/>
        <v>3290</v>
      </c>
      <c r="BU89" s="317">
        <f t="shared" si="221"/>
        <v>4800</v>
      </c>
      <c r="BV89" s="317">
        <f t="shared" si="228"/>
        <v>4800</v>
      </c>
      <c r="BW89" s="317">
        <f t="shared" si="229"/>
        <v>4800</v>
      </c>
      <c r="BX89" s="317">
        <f t="shared" ref="BX89:BX96" si="259">G89+M89+T89+AA89+AH89+AO89+AV89+BC89+BJ89+BQ89</f>
        <v>4800</v>
      </c>
      <c r="BY89" s="317">
        <f t="shared" ref="BY89:BZ96" si="260">H89+N89+U89+AB89+AI89+AP89+AW89+BD89+BK89+BR89</f>
        <v>4800</v>
      </c>
      <c r="BZ89" s="317">
        <f t="shared" si="260"/>
        <v>1302</v>
      </c>
      <c r="CA89" s="558">
        <f t="shared" si="226"/>
        <v>27.125</v>
      </c>
    </row>
    <row r="90" spans="1:79" s="9" customFormat="1" x14ac:dyDescent="0.2">
      <c r="A90" s="55" t="s">
        <v>442</v>
      </c>
      <c r="B90" s="8" t="s">
        <v>232</v>
      </c>
      <c r="C90" s="159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59"/>
      <c r="Q90" s="11"/>
      <c r="R90" s="11"/>
      <c r="S90" s="11"/>
      <c r="T90" s="11"/>
      <c r="U90" s="11"/>
      <c r="V90" s="11"/>
      <c r="W90" s="159"/>
      <c r="X90" s="11"/>
      <c r="Y90" s="11"/>
      <c r="Z90" s="11"/>
      <c r="AA90" s="11"/>
      <c r="AB90" s="11"/>
      <c r="AC90" s="11"/>
      <c r="AD90" s="159">
        <v>0</v>
      </c>
      <c r="AE90" s="11">
        <v>100</v>
      </c>
      <c r="AF90" s="11">
        <v>100</v>
      </c>
      <c r="AG90" s="11">
        <v>100</v>
      </c>
      <c r="AH90" s="11">
        <v>100</v>
      </c>
      <c r="AI90" s="11">
        <v>100</v>
      </c>
      <c r="AJ90" s="11">
        <v>0</v>
      </c>
      <c r="AK90" s="159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59"/>
      <c r="BG90" s="11"/>
      <c r="BH90" s="11"/>
      <c r="BI90" s="11"/>
      <c r="BJ90" s="11"/>
      <c r="BK90" s="11"/>
      <c r="BL90" s="11"/>
      <c r="BM90" s="159"/>
      <c r="BN90" s="11"/>
      <c r="BO90" s="11"/>
      <c r="BP90" s="11"/>
      <c r="BQ90" s="11"/>
      <c r="BR90" s="11"/>
      <c r="BS90" s="11"/>
      <c r="BT90" s="516">
        <f t="shared" si="220"/>
        <v>0</v>
      </c>
      <c r="BU90" s="239">
        <f t="shared" si="221"/>
        <v>100</v>
      </c>
      <c r="BV90" s="239">
        <f t="shared" si="228"/>
        <v>100</v>
      </c>
      <c r="BW90" s="239">
        <f t="shared" si="229"/>
        <v>100</v>
      </c>
      <c r="BX90" s="239">
        <f t="shared" si="259"/>
        <v>100</v>
      </c>
      <c r="BY90" s="239">
        <f t="shared" si="260"/>
        <v>100</v>
      </c>
      <c r="BZ90" s="239">
        <f t="shared" si="260"/>
        <v>0</v>
      </c>
      <c r="CA90" s="558">
        <f t="shared" si="226"/>
        <v>0</v>
      </c>
    </row>
    <row r="91" spans="1:79" s="9" customFormat="1" x14ac:dyDescent="0.2">
      <c r="A91" s="55" t="s">
        <v>538</v>
      </c>
      <c r="B91" s="8" t="s">
        <v>242</v>
      </c>
      <c r="C91" s="159"/>
      <c r="D91" s="11"/>
      <c r="E91" s="11"/>
      <c r="F91" s="11"/>
      <c r="G91" s="11"/>
      <c r="H91" s="11"/>
      <c r="I91" s="11"/>
      <c r="J91" s="159"/>
      <c r="K91" s="159"/>
      <c r="L91" s="159"/>
      <c r="M91" s="159"/>
      <c r="N91" s="159"/>
      <c r="O91" s="159"/>
      <c r="P91" s="159"/>
      <c r="Q91" s="11"/>
      <c r="R91" s="11"/>
      <c r="S91" s="11"/>
      <c r="T91" s="11"/>
      <c r="U91" s="11"/>
      <c r="V91" s="11"/>
      <c r="W91" s="159"/>
      <c r="X91" s="11"/>
      <c r="Y91" s="11"/>
      <c r="Z91" s="11"/>
      <c r="AA91" s="11"/>
      <c r="AB91" s="11"/>
      <c r="AC91" s="11"/>
      <c r="AD91" s="159">
        <v>1543</v>
      </c>
      <c r="AE91" s="11">
        <v>2000</v>
      </c>
      <c r="AF91" s="11">
        <v>2000</v>
      </c>
      <c r="AG91" s="11">
        <f>2000</f>
        <v>2000</v>
      </c>
      <c r="AH91" s="11">
        <f>2000</f>
        <v>2000</v>
      </c>
      <c r="AI91" s="11">
        <f>2000</f>
        <v>2000</v>
      </c>
      <c r="AJ91" s="11">
        <v>508</v>
      </c>
      <c r="AK91" s="159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59"/>
      <c r="BG91" s="11"/>
      <c r="BH91" s="11"/>
      <c r="BI91" s="11"/>
      <c r="BJ91" s="11"/>
      <c r="BK91" s="11"/>
      <c r="BL91" s="11"/>
      <c r="BM91" s="159">
        <v>1747</v>
      </c>
      <c r="BN91" s="11">
        <v>2700</v>
      </c>
      <c r="BO91" s="11">
        <v>2700</v>
      </c>
      <c r="BP91" s="11">
        <f>2700</f>
        <v>2700</v>
      </c>
      <c r="BQ91" s="11">
        <f>2700</f>
        <v>2700</v>
      </c>
      <c r="BR91" s="11">
        <f>2700</f>
        <v>2700</v>
      </c>
      <c r="BS91" s="11">
        <v>794</v>
      </c>
      <c r="BT91" s="516">
        <f t="shared" si="220"/>
        <v>3290</v>
      </c>
      <c r="BU91" s="239">
        <f t="shared" si="221"/>
        <v>4700</v>
      </c>
      <c r="BV91" s="239">
        <f t="shared" si="228"/>
        <v>4700</v>
      </c>
      <c r="BW91" s="239">
        <f t="shared" si="229"/>
        <v>4700</v>
      </c>
      <c r="BX91" s="239">
        <f t="shared" si="259"/>
        <v>4700</v>
      </c>
      <c r="BY91" s="239">
        <f t="shared" si="260"/>
        <v>4700</v>
      </c>
      <c r="BZ91" s="239">
        <f t="shared" si="260"/>
        <v>1302</v>
      </c>
      <c r="CA91" s="558">
        <f t="shared" si="226"/>
        <v>27.702127659574465</v>
      </c>
    </row>
    <row r="92" spans="1:79" x14ac:dyDescent="0.2">
      <c r="A92" s="230" t="s">
        <v>571</v>
      </c>
      <c r="B92" s="14" t="s">
        <v>210</v>
      </c>
      <c r="C92" s="403">
        <f t="shared" ref="C92:E92" si="261">SUM(C93:C100)</f>
        <v>33954</v>
      </c>
      <c r="D92" s="6">
        <f t="shared" ref="D92" si="262">SUM(D93:D100)</f>
        <v>50310</v>
      </c>
      <c r="E92" s="6">
        <f t="shared" si="261"/>
        <v>50445</v>
      </c>
      <c r="F92" s="6">
        <f t="shared" ref="F92:G92" si="263">SUM(F93:F100)</f>
        <v>50445</v>
      </c>
      <c r="G92" s="6">
        <f t="shared" si="263"/>
        <v>46345</v>
      </c>
      <c r="H92" s="6">
        <f t="shared" ref="H92:I92" si="264">SUM(H93:H100)</f>
        <v>46616</v>
      </c>
      <c r="I92" s="6">
        <f t="shared" si="264"/>
        <v>42761</v>
      </c>
      <c r="J92" s="6">
        <f t="shared" ref="J92:AT92" si="265">SUM(J93:J100)</f>
        <v>0</v>
      </c>
      <c r="K92" s="6">
        <f t="shared" ref="K92:O92" si="266">SUM(K93:K100)</f>
        <v>0</v>
      </c>
      <c r="L92" s="6">
        <f t="shared" si="266"/>
        <v>0</v>
      </c>
      <c r="M92" s="6">
        <f t="shared" si="266"/>
        <v>0</v>
      </c>
      <c r="N92" s="6"/>
      <c r="O92" s="6">
        <f t="shared" si="266"/>
        <v>0</v>
      </c>
      <c r="P92" s="403">
        <f t="shared" si="265"/>
        <v>17286</v>
      </c>
      <c r="Q92" s="6">
        <f t="shared" ref="Q92" si="267">SUM(Q93:Q100)</f>
        <v>14300</v>
      </c>
      <c r="R92" s="6">
        <f t="shared" ref="R92:T92" si="268">SUM(R93:R100)</f>
        <v>14300</v>
      </c>
      <c r="S92" s="6">
        <f t="shared" si="268"/>
        <v>14300</v>
      </c>
      <c r="T92" s="6">
        <f t="shared" si="268"/>
        <v>14300</v>
      </c>
      <c r="U92" s="6">
        <f t="shared" ref="U92:V92" si="269">SUM(U93:U100)</f>
        <v>14300</v>
      </c>
      <c r="V92" s="6">
        <f t="shared" si="269"/>
        <v>13077</v>
      </c>
      <c r="W92" s="403">
        <f t="shared" si="265"/>
        <v>1528</v>
      </c>
      <c r="X92" s="6">
        <f t="shared" ref="X92" si="270">SUM(X93:X100)</f>
        <v>2300</v>
      </c>
      <c r="Y92" s="6">
        <f t="shared" ref="Y92:AA92" si="271">SUM(Y93:Y100)</f>
        <v>2300</v>
      </c>
      <c r="Z92" s="6">
        <f t="shared" si="271"/>
        <v>2300</v>
      </c>
      <c r="AA92" s="6">
        <f t="shared" si="271"/>
        <v>2400</v>
      </c>
      <c r="AB92" s="6">
        <f t="shared" ref="AB92:AC92" si="272">SUM(AB93:AB100)</f>
        <v>2400</v>
      </c>
      <c r="AC92" s="6">
        <f t="shared" si="272"/>
        <v>1542</v>
      </c>
      <c r="AD92" s="403">
        <f t="shared" ref="AD92:AE92" si="273">SUM(AD93:AD100)</f>
        <v>68931</v>
      </c>
      <c r="AE92" s="6">
        <f t="shared" si="273"/>
        <v>252685</v>
      </c>
      <c r="AF92" s="6">
        <f t="shared" ref="AF92" si="274">SUM(AF93:AF100)</f>
        <v>251192</v>
      </c>
      <c r="AG92" s="6">
        <f t="shared" ref="AG92:AH92" si="275">SUM(AG93:AG100)</f>
        <v>251192</v>
      </c>
      <c r="AH92" s="6">
        <f t="shared" si="275"/>
        <v>70192</v>
      </c>
      <c r="AI92" s="6">
        <f t="shared" ref="AI92:AJ92" si="276">SUM(AI93:AI100)</f>
        <v>70192</v>
      </c>
      <c r="AJ92" s="6">
        <f t="shared" si="276"/>
        <v>18262</v>
      </c>
      <c r="AK92" s="403">
        <f t="shared" si="265"/>
        <v>7198</v>
      </c>
      <c r="AL92" s="6">
        <f t="shared" ref="AL92" si="277">SUM(AL93:AL100)</f>
        <v>7050</v>
      </c>
      <c r="AM92" s="6">
        <f t="shared" ref="AM92:AO92" si="278">SUM(AM93:AM100)</f>
        <v>7050</v>
      </c>
      <c r="AN92" s="6">
        <f t="shared" si="278"/>
        <v>7762</v>
      </c>
      <c r="AO92" s="6">
        <f t="shared" si="278"/>
        <v>7762</v>
      </c>
      <c r="AP92" s="6">
        <f t="shared" ref="AP92:AQ92" si="279">SUM(AP93:AP100)</f>
        <v>7762</v>
      </c>
      <c r="AQ92" s="6">
        <f t="shared" si="279"/>
        <v>7707</v>
      </c>
      <c r="AR92" s="6">
        <f t="shared" si="265"/>
        <v>0</v>
      </c>
      <c r="AS92" s="6"/>
      <c r="AT92" s="6">
        <f t="shared" si="265"/>
        <v>0</v>
      </c>
      <c r="AU92" s="6">
        <f t="shared" ref="AU92:BM92" si="280">SUM(AU93:AU100)</f>
        <v>0</v>
      </c>
      <c r="AV92" s="6">
        <f t="shared" si="280"/>
        <v>0</v>
      </c>
      <c r="AW92" s="6"/>
      <c r="AX92" s="6">
        <f t="shared" si="280"/>
        <v>0</v>
      </c>
      <c r="AY92" s="6">
        <f t="shared" si="280"/>
        <v>0</v>
      </c>
      <c r="AZ92" s="6"/>
      <c r="BA92" s="6">
        <f t="shared" si="280"/>
        <v>0</v>
      </c>
      <c r="BB92" s="6">
        <f t="shared" si="280"/>
        <v>0</v>
      </c>
      <c r="BC92" s="6">
        <f t="shared" si="280"/>
        <v>0</v>
      </c>
      <c r="BD92" s="6"/>
      <c r="BE92" s="6">
        <f t="shared" si="280"/>
        <v>0</v>
      </c>
      <c r="BF92" s="403">
        <f t="shared" si="280"/>
        <v>2236</v>
      </c>
      <c r="BG92" s="6">
        <f t="shared" ref="BG92" si="281">SUM(BG93:BG100)</f>
        <v>2900</v>
      </c>
      <c r="BH92" s="6">
        <f t="shared" ref="BH92" si="282">SUM(BH93:BH100)</f>
        <v>2900</v>
      </c>
      <c r="BI92" s="6">
        <f t="shared" ref="BI92:BJ92" si="283">SUM(BI93:BI100)</f>
        <v>2900</v>
      </c>
      <c r="BJ92" s="6">
        <f t="shared" si="283"/>
        <v>2900</v>
      </c>
      <c r="BK92" s="6">
        <f t="shared" ref="BK92:BL92" si="284">SUM(BK93:BK100)</f>
        <v>2900</v>
      </c>
      <c r="BL92" s="6">
        <f t="shared" si="284"/>
        <v>2261</v>
      </c>
      <c r="BM92" s="403">
        <f t="shared" si="280"/>
        <v>2644</v>
      </c>
      <c r="BN92" s="6">
        <f t="shared" ref="BN92" si="285">SUM(BN93:BN100)</f>
        <v>6200</v>
      </c>
      <c r="BO92" s="6">
        <f t="shared" ref="BO92:BQ92" si="286">SUM(BO93:BO100)</f>
        <v>6270</v>
      </c>
      <c r="BP92" s="6">
        <f t="shared" si="286"/>
        <v>6270</v>
      </c>
      <c r="BQ92" s="6">
        <f t="shared" si="286"/>
        <v>6270</v>
      </c>
      <c r="BR92" s="6">
        <f t="shared" ref="BR92:BS92" si="287">SUM(BR93:BR100)</f>
        <v>5999</v>
      </c>
      <c r="BS92" s="6">
        <f t="shared" si="287"/>
        <v>4009</v>
      </c>
      <c r="BT92" s="518">
        <f t="shared" si="220"/>
        <v>133777</v>
      </c>
      <c r="BU92" s="317">
        <f t="shared" si="221"/>
        <v>335745</v>
      </c>
      <c r="BV92" s="317">
        <f t="shared" si="228"/>
        <v>334457</v>
      </c>
      <c r="BW92" s="317">
        <f t="shared" si="229"/>
        <v>335169</v>
      </c>
      <c r="BX92" s="317">
        <f t="shared" si="259"/>
        <v>150169</v>
      </c>
      <c r="BY92" s="317">
        <f t="shared" si="260"/>
        <v>150169</v>
      </c>
      <c r="BZ92" s="317">
        <f t="shared" si="260"/>
        <v>89619</v>
      </c>
      <c r="CA92" s="558">
        <f t="shared" si="226"/>
        <v>59.67876192822753</v>
      </c>
    </row>
    <row r="93" spans="1:79" x14ac:dyDescent="0.2">
      <c r="A93" s="55" t="s">
        <v>395</v>
      </c>
      <c r="B93" s="8" t="s">
        <v>222</v>
      </c>
      <c r="C93" s="159">
        <v>4221</v>
      </c>
      <c r="D93" s="11">
        <f>6650+765</f>
        <v>7415</v>
      </c>
      <c r="E93" s="11">
        <f>6650+765+135</f>
        <v>7550</v>
      </c>
      <c r="F93" s="11">
        <f>6650+765+135</f>
        <v>7550</v>
      </c>
      <c r="G93" s="11">
        <f>6650+765+135</f>
        <v>7550</v>
      </c>
      <c r="H93" s="11">
        <f>6650+765+135</f>
        <v>7550</v>
      </c>
      <c r="I93" s="11">
        <v>4918</v>
      </c>
      <c r="J93" s="11"/>
      <c r="K93" s="11"/>
      <c r="L93" s="11"/>
      <c r="M93" s="11"/>
      <c r="N93" s="11"/>
      <c r="O93" s="11"/>
      <c r="P93" s="159">
        <v>17286</v>
      </c>
      <c r="Q93" s="11">
        <v>14300</v>
      </c>
      <c r="R93" s="11">
        <v>14300</v>
      </c>
      <c r="S93" s="11">
        <v>14300</v>
      </c>
      <c r="T93" s="11">
        <v>14300</v>
      </c>
      <c r="U93" s="11">
        <v>14300</v>
      </c>
      <c r="V93" s="11">
        <v>13077</v>
      </c>
      <c r="W93" s="159">
        <v>1407</v>
      </c>
      <c r="X93" s="11">
        <v>2100</v>
      </c>
      <c r="Y93" s="11">
        <v>2100</v>
      </c>
      <c r="Z93" s="11">
        <v>2100</v>
      </c>
      <c r="AA93" s="11">
        <v>2100</v>
      </c>
      <c r="AB93" s="11">
        <v>2100</v>
      </c>
      <c r="AC93" s="11">
        <v>1361</v>
      </c>
      <c r="AD93" s="159">
        <v>39359</v>
      </c>
      <c r="AE93" s="11">
        <v>30000</v>
      </c>
      <c r="AF93" s="11">
        <f>30000+588-189</f>
        <v>30399</v>
      </c>
      <c r="AG93" s="11">
        <f>30000+588-189</f>
        <v>30399</v>
      </c>
      <c r="AH93" s="11">
        <f>30000+588-189</f>
        <v>30399</v>
      </c>
      <c r="AI93" s="11">
        <f>30000+588-189</f>
        <v>30399</v>
      </c>
      <c r="AJ93" s="11">
        <v>16746</v>
      </c>
      <c r="AK93" s="159">
        <v>7198</v>
      </c>
      <c r="AL93" s="11">
        <v>7050</v>
      </c>
      <c r="AM93" s="11">
        <v>7050</v>
      </c>
      <c r="AN93" s="11">
        <f>7050+712</f>
        <v>7762</v>
      </c>
      <c r="AO93" s="11">
        <f>7050+712</f>
        <v>7762</v>
      </c>
      <c r="AP93" s="11">
        <f>7050+712</f>
        <v>7762</v>
      </c>
      <c r="AQ93" s="11">
        <v>7707</v>
      </c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59">
        <v>2236</v>
      </c>
      <c r="BG93" s="11">
        <v>2900</v>
      </c>
      <c r="BH93" s="11">
        <v>2900</v>
      </c>
      <c r="BI93" s="11">
        <v>2900</v>
      </c>
      <c r="BJ93" s="11">
        <v>2900</v>
      </c>
      <c r="BK93" s="11">
        <v>2900</v>
      </c>
      <c r="BL93" s="11">
        <v>2261</v>
      </c>
      <c r="BM93" s="159">
        <v>1846</v>
      </c>
      <c r="BN93" s="11">
        <v>5000</v>
      </c>
      <c r="BO93" s="11">
        <f>5000+70</f>
        <v>5070</v>
      </c>
      <c r="BP93" s="11">
        <f>5000+70</f>
        <v>5070</v>
      </c>
      <c r="BQ93" s="11">
        <f>5000+70</f>
        <v>5070</v>
      </c>
      <c r="BR93" s="11">
        <f>5000+70</f>
        <v>5070</v>
      </c>
      <c r="BS93" s="11">
        <v>3639</v>
      </c>
      <c r="BT93" s="516">
        <f t="shared" si="220"/>
        <v>73553</v>
      </c>
      <c r="BU93" s="239">
        <f t="shared" si="221"/>
        <v>68765</v>
      </c>
      <c r="BV93" s="239">
        <f t="shared" si="228"/>
        <v>69369</v>
      </c>
      <c r="BW93" s="239">
        <f t="shared" si="229"/>
        <v>70081</v>
      </c>
      <c r="BX93" s="239">
        <f t="shared" si="259"/>
        <v>70081</v>
      </c>
      <c r="BY93" s="239">
        <f t="shared" si="260"/>
        <v>70081</v>
      </c>
      <c r="BZ93" s="239">
        <f t="shared" si="260"/>
        <v>49709</v>
      </c>
      <c r="CA93" s="558">
        <f t="shared" si="226"/>
        <v>70.93078009731596</v>
      </c>
    </row>
    <row r="94" spans="1:79" x14ac:dyDescent="0.2">
      <c r="A94" s="55" t="s">
        <v>399</v>
      </c>
      <c r="B94" s="14" t="s">
        <v>422</v>
      </c>
      <c r="C94" s="159"/>
      <c r="D94" s="11"/>
      <c r="E94" s="11"/>
      <c r="F94" s="11"/>
      <c r="G94" s="11"/>
      <c r="H94" s="11"/>
      <c r="I94" s="11"/>
      <c r="J94" s="159"/>
      <c r="K94" s="159"/>
      <c r="L94" s="159"/>
      <c r="M94" s="159"/>
      <c r="N94" s="159"/>
      <c r="O94" s="159"/>
      <c r="P94" s="159"/>
      <c r="Q94" s="11"/>
      <c r="R94" s="11"/>
      <c r="S94" s="11"/>
      <c r="T94" s="11"/>
      <c r="U94" s="11"/>
      <c r="V94" s="11"/>
      <c r="W94" s="159"/>
      <c r="X94" s="11"/>
      <c r="Y94" s="11"/>
      <c r="Z94" s="11"/>
      <c r="AA94" s="11"/>
      <c r="AB94" s="11"/>
      <c r="AC94" s="11"/>
      <c r="AD94" s="159">
        <v>24534</v>
      </c>
      <c r="AE94" s="11">
        <v>219485</v>
      </c>
      <c r="AF94" s="11">
        <v>219485</v>
      </c>
      <c r="AG94" s="11">
        <v>219485</v>
      </c>
      <c r="AH94" s="11">
        <v>38485</v>
      </c>
      <c r="AI94" s="11">
        <v>38485</v>
      </c>
      <c r="AJ94" s="11">
        <f>AP124</f>
        <v>583</v>
      </c>
      <c r="AK94" s="159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59"/>
      <c r="BG94" s="11"/>
      <c r="BH94" s="11"/>
      <c r="BI94" s="11"/>
      <c r="BJ94" s="11"/>
      <c r="BK94" s="11"/>
      <c r="BL94" s="11"/>
      <c r="BM94" s="159"/>
      <c r="BN94" s="11"/>
      <c r="BO94" s="11"/>
      <c r="BP94" s="11"/>
      <c r="BQ94" s="11"/>
      <c r="BR94" s="11"/>
      <c r="BS94" s="11"/>
      <c r="BT94" s="516">
        <f t="shared" si="220"/>
        <v>24534</v>
      </c>
      <c r="BU94" s="239">
        <f t="shared" si="221"/>
        <v>219485</v>
      </c>
      <c r="BV94" s="239">
        <f t="shared" si="228"/>
        <v>219485</v>
      </c>
      <c r="BW94" s="239">
        <f t="shared" si="229"/>
        <v>219485</v>
      </c>
      <c r="BX94" s="239">
        <f t="shared" si="259"/>
        <v>38485</v>
      </c>
      <c r="BY94" s="239">
        <f t="shared" si="260"/>
        <v>38485</v>
      </c>
      <c r="BZ94" s="239">
        <f t="shared" si="260"/>
        <v>583</v>
      </c>
      <c r="CA94" s="558">
        <f t="shared" si="226"/>
        <v>1.5148759256853319</v>
      </c>
    </row>
    <row r="95" spans="1:79" x14ac:dyDescent="0.2">
      <c r="A95" s="55" t="s">
        <v>541</v>
      </c>
      <c r="B95" s="8" t="s">
        <v>420</v>
      </c>
      <c r="C95" s="159">
        <v>27718</v>
      </c>
      <c r="D95" s="11">
        <f t="shared" ref="D95:F95" si="288">38000+2500</f>
        <v>40500</v>
      </c>
      <c r="E95" s="11">
        <f t="shared" si="288"/>
        <v>40500</v>
      </c>
      <c r="F95" s="11">
        <f t="shared" si="288"/>
        <v>40500</v>
      </c>
      <c r="G95" s="11">
        <f>38000+2500-4000</f>
        <v>36500</v>
      </c>
      <c r="H95" s="11">
        <f>38000+2500-4000</f>
        <v>36500</v>
      </c>
      <c r="I95" s="11">
        <v>35277</v>
      </c>
      <c r="J95" s="159"/>
      <c r="K95" s="159"/>
      <c r="L95" s="159"/>
      <c r="M95" s="159"/>
      <c r="N95" s="159"/>
      <c r="O95" s="159"/>
      <c r="P95" s="159"/>
      <c r="Q95" s="11"/>
      <c r="R95" s="11"/>
      <c r="S95" s="11"/>
      <c r="T95" s="11"/>
      <c r="U95" s="11"/>
      <c r="V95" s="11"/>
      <c r="W95" s="159"/>
      <c r="X95" s="11"/>
      <c r="Y95" s="11"/>
      <c r="Z95" s="11"/>
      <c r="AA95" s="11"/>
      <c r="AB95" s="11"/>
      <c r="AC95" s="11"/>
      <c r="AD95" s="159"/>
      <c r="AE95" s="11"/>
      <c r="AF95" s="11"/>
      <c r="AG95" s="11"/>
      <c r="AH95" s="11"/>
      <c r="AI95" s="11"/>
      <c r="AJ95" s="11"/>
      <c r="AK95" s="159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59"/>
      <c r="BG95" s="11"/>
      <c r="BH95" s="11"/>
      <c r="BI95" s="11"/>
      <c r="BJ95" s="11"/>
      <c r="BK95" s="11"/>
      <c r="BL95" s="11"/>
      <c r="BM95" s="159"/>
      <c r="BN95" s="11"/>
      <c r="BO95" s="11"/>
      <c r="BP95" s="11"/>
      <c r="BQ95" s="11"/>
      <c r="BR95" s="11"/>
      <c r="BS95" s="11"/>
      <c r="BT95" s="516">
        <f t="shared" si="220"/>
        <v>27718</v>
      </c>
      <c r="BU95" s="239">
        <f t="shared" si="221"/>
        <v>40500</v>
      </c>
      <c r="BV95" s="239">
        <f t="shared" si="228"/>
        <v>40500</v>
      </c>
      <c r="BW95" s="239">
        <f t="shared" si="229"/>
        <v>40500</v>
      </c>
      <c r="BX95" s="239">
        <f t="shared" si="259"/>
        <v>36500</v>
      </c>
      <c r="BY95" s="239">
        <f t="shared" si="260"/>
        <v>36500</v>
      </c>
      <c r="BZ95" s="239">
        <f t="shared" si="260"/>
        <v>35277</v>
      </c>
      <c r="CA95" s="558">
        <f t="shared" si="226"/>
        <v>96.649315068493152</v>
      </c>
    </row>
    <row r="96" spans="1:79" x14ac:dyDescent="0.2">
      <c r="A96" s="55" t="s">
        <v>396</v>
      </c>
      <c r="B96" s="8" t="s">
        <v>51</v>
      </c>
      <c r="C96" s="159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59"/>
      <c r="Q96" s="11"/>
      <c r="R96" s="11"/>
      <c r="S96" s="11"/>
      <c r="T96" s="11"/>
      <c r="U96" s="11"/>
      <c r="V96" s="11"/>
      <c r="W96" s="159"/>
      <c r="X96" s="11"/>
      <c r="Y96" s="11"/>
      <c r="Z96" s="11"/>
      <c r="AA96" s="11"/>
      <c r="AB96" s="11"/>
      <c r="AC96" s="11"/>
      <c r="AD96" s="159"/>
      <c r="AE96" s="11"/>
      <c r="AF96" s="11"/>
      <c r="AG96" s="11"/>
      <c r="AH96" s="11"/>
      <c r="AI96" s="11"/>
      <c r="AJ96" s="11"/>
      <c r="AK96" s="159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59"/>
      <c r="BG96" s="11"/>
      <c r="BH96" s="11"/>
      <c r="BI96" s="11"/>
      <c r="BJ96" s="11"/>
      <c r="BK96" s="11"/>
      <c r="BL96" s="11"/>
      <c r="BM96" s="159"/>
      <c r="BN96" s="11"/>
      <c r="BO96" s="11"/>
      <c r="BP96" s="11"/>
      <c r="BQ96" s="11"/>
      <c r="BR96" s="11"/>
      <c r="BS96" s="11"/>
      <c r="BT96" s="516">
        <f t="shared" si="220"/>
        <v>0</v>
      </c>
      <c r="BU96" s="239">
        <f t="shared" si="221"/>
        <v>0</v>
      </c>
      <c r="BV96" s="239">
        <f t="shared" si="228"/>
        <v>0</v>
      </c>
      <c r="BW96" s="239">
        <f t="shared" si="229"/>
        <v>0</v>
      </c>
      <c r="BX96" s="239">
        <f t="shared" si="259"/>
        <v>0</v>
      </c>
      <c r="BY96" s="239">
        <f t="shared" si="260"/>
        <v>0</v>
      </c>
      <c r="BZ96" s="239">
        <f t="shared" si="260"/>
        <v>0</v>
      </c>
      <c r="CA96" s="558"/>
    </row>
    <row r="97" spans="1:79" ht="12.75" hidden="1" customHeight="1" x14ac:dyDescent="0.2">
      <c r="A97" s="55"/>
      <c r="B97" s="8"/>
      <c r="C97" s="159"/>
      <c r="D97" s="11"/>
      <c r="E97" s="11"/>
      <c r="F97" s="11"/>
      <c r="G97" s="11"/>
      <c r="H97" s="11"/>
      <c r="I97" s="11"/>
      <c r="J97" s="159"/>
      <c r="K97" s="159"/>
      <c r="L97" s="159"/>
      <c r="M97" s="159"/>
      <c r="N97" s="159"/>
      <c r="O97" s="159"/>
      <c r="P97" s="159"/>
      <c r="Q97" s="11"/>
      <c r="R97" s="11"/>
      <c r="S97" s="11"/>
      <c r="T97" s="11"/>
      <c r="U97" s="11"/>
      <c r="V97" s="11"/>
      <c r="W97" s="159"/>
      <c r="X97" s="11"/>
      <c r="Y97" s="11"/>
      <c r="Z97" s="11"/>
      <c r="AA97" s="11"/>
      <c r="AB97" s="11"/>
      <c r="AC97" s="11"/>
      <c r="AD97" s="159"/>
      <c r="AE97" s="11"/>
      <c r="AF97" s="11"/>
      <c r="AG97" s="11"/>
      <c r="AH97" s="11"/>
      <c r="AI97" s="11"/>
      <c r="AJ97" s="11"/>
      <c r="AK97" s="159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59"/>
      <c r="BG97" s="11"/>
      <c r="BH97" s="11"/>
      <c r="BI97" s="11"/>
      <c r="BJ97" s="11"/>
      <c r="BK97" s="11"/>
      <c r="BL97" s="11"/>
      <c r="BM97" s="159"/>
      <c r="BN97" s="11"/>
      <c r="BO97" s="11"/>
      <c r="BP97" s="11"/>
      <c r="BQ97" s="11"/>
      <c r="BR97" s="11"/>
      <c r="BS97" s="11"/>
      <c r="BT97" s="516"/>
      <c r="BU97" s="239"/>
      <c r="BV97" s="239"/>
      <c r="BW97" s="239"/>
      <c r="BX97" s="239"/>
      <c r="BY97" s="239"/>
      <c r="BZ97" s="239"/>
      <c r="CA97" s="558" t="e">
        <f t="shared" si="226"/>
        <v>#DIV/0!</v>
      </c>
    </row>
    <row r="98" spans="1:79" ht="12.75" hidden="1" customHeight="1" x14ac:dyDescent="0.2">
      <c r="A98" s="55"/>
      <c r="B98" s="8"/>
      <c r="C98" s="159"/>
      <c r="D98" s="11"/>
      <c r="E98" s="11"/>
      <c r="F98" s="11"/>
      <c r="G98" s="11"/>
      <c r="H98" s="11"/>
      <c r="I98" s="11"/>
      <c r="J98" s="159"/>
      <c r="K98" s="159"/>
      <c r="L98" s="159"/>
      <c r="M98" s="159"/>
      <c r="N98" s="159"/>
      <c r="O98" s="159"/>
      <c r="P98" s="159"/>
      <c r="Q98" s="11"/>
      <c r="R98" s="11"/>
      <c r="S98" s="11"/>
      <c r="T98" s="11"/>
      <c r="U98" s="11"/>
      <c r="V98" s="11"/>
      <c r="W98" s="159"/>
      <c r="X98" s="11"/>
      <c r="Y98" s="11"/>
      <c r="Z98" s="11"/>
      <c r="AA98" s="11"/>
      <c r="AB98" s="11"/>
      <c r="AC98" s="11"/>
      <c r="AD98" s="159"/>
      <c r="AE98" s="11"/>
      <c r="AF98" s="11"/>
      <c r="AG98" s="11"/>
      <c r="AH98" s="11"/>
      <c r="AI98" s="11"/>
      <c r="AJ98" s="11"/>
      <c r="AK98" s="159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59"/>
      <c r="BG98" s="11"/>
      <c r="BH98" s="11"/>
      <c r="BI98" s="11"/>
      <c r="BJ98" s="11"/>
      <c r="BK98" s="11"/>
      <c r="BL98" s="11"/>
      <c r="BM98" s="159"/>
      <c r="BN98" s="11"/>
      <c r="BO98" s="11"/>
      <c r="BP98" s="11"/>
      <c r="BQ98" s="11"/>
      <c r="BR98" s="11"/>
      <c r="BS98" s="11"/>
      <c r="BT98" s="516">
        <f t="shared" ref="BT98:BT108" si="289">C98+J98+P98+W98+AD98+AK98+AR98+AY98+BF98+BM98</f>
        <v>0</v>
      </c>
      <c r="BU98" s="239">
        <f t="shared" ref="BU98:BU108" si="290">D98+K98+Q98+X98+AE98+AL98+AS98+AZ98+BG98+BN98</f>
        <v>0</v>
      </c>
      <c r="BV98" s="239">
        <f t="shared" ref="BV98:BV108" si="291">E98+K98+R98+Y98+AF98+AM98+AT98+BA98+BH98+BO98</f>
        <v>0</v>
      </c>
      <c r="BW98" s="239">
        <f t="shared" ref="BW98:BW108" si="292">F98+L98+S98+Z98+AG98+AN98+AU98+BB98+BI98+BP98</f>
        <v>0</v>
      </c>
      <c r="BX98" s="239">
        <f t="shared" ref="BX98:BX108" si="293">G98+M98+T98+AA98+AH98+AO98+AV98+BC98+BJ98+BQ98</f>
        <v>0</v>
      </c>
      <c r="BY98" s="239">
        <f t="shared" ref="BY98:BZ107" si="294">H98+N98+U98+AB98+AI98+AP98+AW98+BD98+BK98+BR98</f>
        <v>0</v>
      </c>
      <c r="BZ98" s="239">
        <f t="shared" si="294"/>
        <v>0</v>
      </c>
      <c r="CA98" s="558" t="e">
        <f t="shared" si="226"/>
        <v>#DIV/0!</v>
      </c>
    </row>
    <row r="99" spans="1:79" x14ac:dyDescent="0.2">
      <c r="A99" s="55"/>
      <c r="B99" s="8" t="s">
        <v>423</v>
      </c>
      <c r="C99" s="159">
        <v>2015</v>
      </c>
      <c r="D99" s="11">
        <f t="shared" ref="D99:F99" si="295">2000+395</f>
        <v>2395</v>
      </c>
      <c r="E99" s="11">
        <f t="shared" si="295"/>
        <v>2395</v>
      </c>
      <c r="F99" s="11">
        <f t="shared" si="295"/>
        <v>2395</v>
      </c>
      <c r="G99" s="11">
        <f>2000+395-100</f>
        <v>2295</v>
      </c>
      <c r="H99" s="11">
        <f>2000+395-100+271</f>
        <v>2566</v>
      </c>
      <c r="I99" s="11">
        <v>2566</v>
      </c>
      <c r="J99" s="11"/>
      <c r="K99" s="11"/>
      <c r="L99" s="11"/>
      <c r="M99" s="11"/>
      <c r="N99" s="11"/>
      <c r="O99" s="11"/>
      <c r="P99" s="159"/>
      <c r="Q99" s="11"/>
      <c r="R99" s="11"/>
      <c r="S99" s="11"/>
      <c r="T99" s="11"/>
      <c r="U99" s="11"/>
      <c r="V99" s="11"/>
      <c r="W99" s="159">
        <v>121</v>
      </c>
      <c r="X99" s="11">
        <v>200</v>
      </c>
      <c r="Y99" s="11">
        <v>200</v>
      </c>
      <c r="Z99" s="11">
        <v>200</v>
      </c>
      <c r="AA99" s="11">
        <f>200+100</f>
        <v>300</v>
      </c>
      <c r="AB99" s="11">
        <f>200+100</f>
        <v>300</v>
      </c>
      <c r="AC99" s="11">
        <v>181</v>
      </c>
      <c r="AD99" s="159">
        <v>5038</v>
      </c>
      <c r="AE99" s="11">
        <v>3200</v>
      </c>
      <c r="AF99" s="11">
        <f>3200-1892</f>
        <v>1308</v>
      </c>
      <c r="AG99" s="11">
        <f>3200-1892</f>
        <v>1308</v>
      </c>
      <c r="AH99" s="11">
        <f>3200-1892</f>
        <v>1308</v>
      </c>
      <c r="AI99" s="11">
        <f>3200-1892</f>
        <v>1308</v>
      </c>
      <c r="AJ99" s="11">
        <v>933</v>
      </c>
      <c r="AK99" s="159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59"/>
      <c r="BG99" s="11"/>
      <c r="BH99" s="11"/>
      <c r="BI99" s="11"/>
      <c r="BJ99" s="11"/>
      <c r="BK99" s="11"/>
      <c r="BL99" s="11"/>
      <c r="BM99" s="159">
        <v>798</v>
      </c>
      <c r="BN99" s="11">
        <v>1200</v>
      </c>
      <c r="BO99" s="11">
        <v>1200</v>
      </c>
      <c r="BP99" s="11">
        <f>1200</f>
        <v>1200</v>
      </c>
      <c r="BQ99" s="11">
        <f>1200</f>
        <v>1200</v>
      </c>
      <c r="BR99" s="11">
        <f>1200-271</f>
        <v>929</v>
      </c>
      <c r="BS99" s="11">
        <v>370</v>
      </c>
      <c r="BT99" s="516">
        <f t="shared" si="289"/>
        <v>7972</v>
      </c>
      <c r="BU99" s="239">
        <f t="shared" si="290"/>
        <v>6995</v>
      </c>
      <c r="BV99" s="239">
        <f t="shared" si="291"/>
        <v>5103</v>
      </c>
      <c r="BW99" s="239">
        <f t="shared" si="292"/>
        <v>5103</v>
      </c>
      <c r="BX99" s="239">
        <f t="shared" si="293"/>
        <v>5103</v>
      </c>
      <c r="BY99" s="239">
        <f t="shared" si="294"/>
        <v>5103</v>
      </c>
      <c r="BZ99" s="239">
        <f t="shared" si="294"/>
        <v>4050</v>
      </c>
      <c r="CA99" s="558">
        <f t="shared" si="226"/>
        <v>79.365079365079367</v>
      </c>
    </row>
    <row r="100" spans="1:79" ht="12.75" hidden="1" customHeight="1" x14ac:dyDescent="0.2">
      <c r="A100" s="55"/>
      <c r="B100" s="8" t="s">
        <v>355</v>
      </c>
      <c r="C100" s="159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59"/>
      <c r="Q100" s="11"/>
      <c r="R100" s="11"/>
      <c r="S100" s="11"/>
      <c r="T100" s="11"/>
      <c r="U100" s="11"/>
      <c r="V100" s="11"/>
      <c r="W100" s="159"/>
      <c r="X100" s="11"/>
      <c r="Y100" s="11"/>
      <c r="Z100" s="11"/>
      <c r="AA100" s="11"/>
      <c r="AB100" s="11"/>
      <c r="AC100" s="11"/>
      <c r="AD100" s="159"/>
      <c r="AE100" s="11"/>
      <c r="AF100" s="11"/>
      <c r="AG100" s="11"/>
      <c r="AH100" s="11"/>
      <c r="AI100" s="11"/>
      <c r="AJ100" s="11"/>
      <c r="AK100" s="159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59"/>
      <c r="BG100" s="11"/>
      <c r="BH100" s="11"/>
      <c r="BI100" s="11"/>
      <c r="BJ100" s="11"/>
      <c r="BK100" s="11"/>
      <c r="BL100" s="11"/>
      <c r="BM100" s="159"/>
      <c r="BN100" s="11"/>
      <c r="BO100" s="11"/>
      <c r="BP100" s="11"/>
      <c r="BQ100" s="11"/>
      <c r="BR100" s="11"/>
      <c r="BS100" s="11"/>
      <c r="BT100" s="516">
        <f t="shared" si="289"/>
        <v>0</v>
      </c>
      <c r="BU100" s="239">
        <f t="shared" si="290"/>
        <v>0</v>
      </c>
      <c r="BV100" s="239">
        <f t="shared" si="291"/>
        <v>0</v>
      </c>
      <c r="BW100" s="239">
        <f t="shared" si="292"/>
        <v>0</v>
      </c>
      <c r="BX100" s="239">
        <f t="shared" si="293"/>
        <v>0</v>
      </c>
      <c r="BY100" s="239">
        <f t="shared" si="294"/>
        <v>0</v>
      </c>
      <c r="BZ100" s="239">
        <f t="shared" si="294"/>
        <v>0</v>
      </c>
      <c r="CA100" s="558" t="e">
        <f t="shared" si="226"/>
        <v>#DIV/0!</v>
      </c>
    </row>
    <row r="101" spans="1:79" x14ac:dyDescent="0.2">
      <c r="A101" s="230" t="s">
        <v>227</v>
      </c>
      <c r="B101" s="91" t="s">
        <v>26</v>
      </c>
      <c r="C101" s="509">
        <f t="shared" ref="C101:AT101" si="296">SUM(C37+C46+C49+C89+C92)</f>
        <v>56983</v>
      </c>
      <c r="D101" s="117">
        <f t="shared" ref="D101" si="297">SUM(D37+D46+D49+D89+D92)</f>
        <v>86585</v>
      </c>
      <c r="E101" s="117">
        <f t="shared" ref="E101:G101" si="298">SUM(E37+E46+E49+E89+E92)</f>
        <v>86428</v>
      </c>
      <c r="F101" s="117">
        <f t="shared" si="298"/>
        <v>87575</v>
      </c>
      <c r="G101" s="117">
        <f t="shared" si="298"/>
        <v>84005</v>
      </c>
      <c r="H101" s="117">
        <f t="shared" ref="H101:I101" si="299">SUM(H37+H46+H49+H89+H92)</f>
        <v>83999</v>
      </c>
      <c r="I101" s="117">
        <f t="shared" si="299"/>
        <v>75506</v>
      </c>
      <c r="J101" s="117">
        <f t="shared" si="296"/>
        <v>0</v>
      </c>
      <c r="K101" s="117">
        <f t="shared" si="296"/>
        <v>0</v>
      </c>
      <c r="L101" s="117">
        <f t="shared" si="296"/>
        <v>0</v>
      </c>
      <c r="M101" s="117">
        <f t="shared" si="296"/>
        <v>0</v>
      </c>
      <c r="N101" s="117"/>
      <c r="O101" s="117">
        <f t="shared" si="296"/>
        <v>0</v>
      </c>
      <c r="P101" s="509">
        <f t="shared" si="296"/>
        <v>82800</v>
      </c>
      <c r="Q101" s="117">
        <f t="shared" ref="Q101" si="300">SUM(Q37+Q46+Q49+Q89+Q92)</f>
        <v>67200</v>
      </c>
      <c r="R101" s="117">
        <f t="shared" ref="R101:T101" si="301">SUM(R37+R46+R49+R89+R92)</f>
        <v>67200</v>
      </c>
      <c r="S101" s="117">
        <f t="shared" si="301"/>
        <v>67200</v>
      </c>
      <c r="T101" s="117">
        <f t="shared" si="301"/>
        <v>64200</v>
      </c>
      <c r="U101" s="117">
        <f t="shared" ref="U101:V101" si="302">SUM(U37+U46+U49+U89+U92)</f>
        <v>66090</v>
      </c>
      <c r="V101" s="117">
        <f t="shared" si="302"/>
        <v>62947</v>
      </c>
      <c r="W101" s="509">
        <f t="shared" si="296"/>
        <v>8135</v>
      </c>
      <c r="X101" s="117">
        <f t="shared" ref="X101" si="303">SUM(X37+X46+X49+X89+X92)</f>
        <v>11200</v>
      </c>
      <c r="Y101" s="117">
        <f t="shared" ref="Y101:AA101" si="304">SUM(Y37+Y46+Y49+Y89+Y92)</f>
        <v>11135</v>
      </c>
      <c r="Z101" s="117">
        <f t="shared" si="304"/>
        <v>11135</v>
      </c>
      <c r="AA101" s="117">
        <f t="shared" si="304"/>
        <v>11020</v>
      </c>
      <c r="AB101" s="117">
        <f t="shared" ref="AB101:AC101" si="305">SUM(AB37+AB46+AB49+AB89+AB92)</f>
        <v>11057</v>
      </c>
      <c r="AC101" s="117">
        <f t="shared" si="305"/>
        <v>8463</v>
      </c>
      <c r="AD101" s="509">
        <f t="shared" si="296"/>
        <v>227202</v>
      </c>
      <c r="AE101" s="117">
        <f t="shared" ref="AE101" si="306">SUM(AE37+AE46+AE49+AE89+AE92)</f>
        <v>369363</v>
      </c>
      <c r="AF101" s="117">
        <f t="shared" ref="AF101:AH101" si="307">SUM(AF37+AF46+AF49+AF89+AF92)</f>
        <v>369509</v>
      </c>
      <c r="AG101" s="117">
        <f t="shared" si="307"/>
        <v>366598</v>
      </c>
      <c r="AH101" s="117">
        <f t="shared" si="307"/>
        <v>193488</v>
      </c>
      <c r="AI101" s="117">
        <f t="shared" ref="AI101:AJ101" si="308">SUM(AI37+AI46+AI49+AI89+AI92)</f>
        <v>193488</v>
      </c>
      <c r="AJ101" s="117">
        <f t="shared" si="308"/>
        <v>89010</v>
      </c>
      <c r="AK101" s="509">
        <f t="shared" si="296"/>
        <v>34429</v>
      </c>
      <c r="AL101" s="117">
        <f t="shared" ref="AL101" si="309">SUM(AL37+AL46+AL49+AL89+AL92)</f>
        <v>33156</v>
      </c>
      <c r="AM101" s="117">
        <f t="shared" ref="AM101:AO101" si="310">SUM(AM37+AM46+AM49+AM89+AM92)</f>
        <v>33306</v>
      </c>
      <c r="AN101" s="117">
        <f t="shared" si="310"/>
        <v>36657</v>
      </c>
      <c r="AO101" s="117">
        <f t="shared" si="310"/>
        <v>36657</v>
      </c>
      <c r="AP101" s="117">
        <f t="shared" ref="AP101:AQ101" si="311">SUM(AP37+AP46+AP49+AP89+AP92)</f>
        <v>36657</v>
      </c>
      <c r="AQ101" s="117">
        <f t="shared" si="311"/>
        <v>36251</v>
      </c>
      <c r="AR101" s="117">
        <f t="shared" si="296"/>
        <v>0</v>
      </c>
      <c r="AS101" s="117"/>
      <c r="AT101" s="117">
        <f t="shared" si="296"/>
        <v>0</v>
      </c>
      <c r="AU101" s="117">
        <f t="shared" ref="AU101:BM101" si="312">SUM(AU37+AU46+AU49+AU89+AU92)</f>
        <v>0</v>
      </c>
      <c r="AV101" s="117">
        <f t="shared" si="312"/>
        <v>0</v>
      </c>
      <c r="AW101" s="117"/>
      <c r="AX101" s="117">
        <f t="shared" si="312"/>
        <v>0</v>
      </c>
      <c r="AY101" s="117">
        <f t="shared" si="312"/>
        <v>0</v>
      </c>
      <c r="AZ101" s="117"/>
      <c r="BA101" s="117">
        <f t="shared" si="312"/>
        <v>0</v>
      </c>
      <c r="BB101" s="117">
        <f t="shared" si="312"/>
        <v>0</v>
      </c>
      <c r="BC101" s="117">
        <f t="shared" si="312"/>
        <v>0</v>
      </c>
      <c r="BD101" s="117"/>
      <c r="BE101" s="117">
        <f t="shared" si="312"/>
        <v>0</v>
      </c>
      <c r="BF101" s="509">
        <f t="shared" si="312"/>
        <v>25305</v>
      </c>
      <c r="BG101" s="117">
        <f t="shared" ref="BG101" si="313">SUM(BG37+BG46+BG49+BG89+BG92)</f>
        <v>29540</v>
      </c>
      <c r="BH101" s="117">
        <f t="shared" ref="BH101:BJ101" si="314">SUM(BH37+BH46+BH49+BH89+BH92)</f>
        <v>30407</v>
      </c>
      <c r="BI101" s="117">
        <f t="shared" si="314"/>
        <v>31511</v>
      </c>
      <c r="BJ101" s="117">
        <f t="shared" si="314"/>
        <v>30557</v>
      </c>
      <c r="BK101" s="117">
        <f t="shared" ref="BK101:BL101" si="315">SUM(BK37+BK46+BK49+BK89+BK92)</f>
        <v>30557</v>
      </c>
      <c r="BL101" s="117">
        <f t="shared" si="315"/>
        <v>26069</v>
      </c>
      <c r="BM101" s="509">
        <f t="shared" si="312"/>
        <v>16444</v>
      </c>
      <c r="BN101" s="117">
        <f t="shared" ref="BN101" si="316">SUM(BN37+BN46+BN49+BN89+BN92)</f>
        <v>37660</v>
      </c>
      <c r="BO101" s="117">
        <f t="shared" ref="BO101:BQ101" si="317">SUM(BO37+BO46+BO49+BO89+BO92)</f>
        <v>39351</v>
      </c>
      <c r="BP101" s="117">
        <f t="shared" si="317"/>
        <v>39351</v>
      </c>
      <c r="BQ101" s="117">
        <f t="shared" si="317"/>
        <v>39351</v>
      </c>
      <c r="BR101" s="117">
        <f t="shared" ref="BR101:BS101" si="318">SUM(BR37+BR46+BR49+BR89+BR92)</f>
        <v>39080</v>
      </c>
      <c r="BS101" s="117">
        <f t="shared" si="318"/>
        <v>26641</v>
      </c>
      <c r="BT101" s="509">
        <f t="shared" si="289"/>
        <v>451298</v>
      </c>
      <c r="BU101" s="117">
        <f t="shared" si="290"/>
        <v>634704</v>
      </c>
      <c r="BV101" s="117">
        <f t="shared" si="291"/>
        <v>637336</v>
      </c>
      <c r="BW101" s="117">
        <f t="shared" si="292"/>
        <v>640027</v>
      </c>
      <c r="BX101" s="117">
        <f t="shared" si="293"/>
        <v>459278</v>
      </c>
      <c r="BY101" s="117">
        <f t="shared" si="294"/>
        <v>460928</v>
      </c>
      <c r="BZ101" s="117">
        <f t="shared" si="294"/>
        <v>324887</v>
      </c>
      <c r="CA101" s="558">
        <f t="shared" si="226"/>
        <v>70.485412038322693</v>
      </c>
    </row>
    <row r="102" spans="1:79" x14ac:dyDescent="0.2">
      <c r="A102" s="232" t="s">
        <v>226</v>
      </c>
      <c r="B102" s="91" t="s">
        <v>378</v>
      </c>
      <c r="C102" s="509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509"/>
      <c r="Q102" s="117"/>
      <c r="R102" s="117"/>
      <c r="S102" s="117"/>
      <c r="T102" s="117"/>
      <c r="U102" s="117"/>
      <c r="V102" s="117"/>
      <c r="W102" s="509"/>
      <c r="X102" s="117"/>
      <c r="Y102" s="117"/>
      <c r="Z102" s="117"/>
      <c r="AA102" s="117"/>
      <c r="AB102" s="117"/>
      <c r="AC102" s="117"/>
      <c r="AD102" s="509"/>
      <c r="AE102" s="117"/>
      <c r="AF102" s="117"/>
      <c r="AG102" s="117"/>
      <c r="AH102" s="117"/>
      <c r="AI102" s="117"/>
      <c r="AJ102" s="117"/>
      <c r="AK102" s="509">
        <v>17943</v>
      </c>
      <c r="AL102" s="117">
        <v>18000</v>
      </c>
      <c r="AM102" s="117">
        <v>18000</v>
      </c>
      <c r="AN102" s="117">
        <v>18000</v>
      </c>
      <c r="AO102" s="117">
        <f>18000-10000</f>
        <v>8000</v>
      </c>
      <c r="AP102" s="117">
        <f>18000-10000</f>
        <v>8000</v>
      </c>
      <c r="AQ102" s="117">
        <v>6187</v>
      </c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509"/>
      <c r="BG102" s="117"/>
      <c r="BH102" s="117"/>
      <c r="BI102" s="117"/>
      <c r="BJ102" s="117"/>
      <c r="BK102" s="117"/>
      <c r="BL102" s="117"/>
      <c r="BM102" s="509"/>
      <c r="BN102" s="117"/>
      <c r="BO102" s="117"/>
      <c r="BP102" s="117"/>
      <c r="BQ102" s="117"/>
      <c r="BR102" s="117"/>
      <c r="BS102" s="117"/>
      <c r="BT102" s="509">
        <f t="shared" si="289"/>
        <v>17943</v>
      </c>
      <c r="BU102" s="117">
        <f t="shared" si="290"/>
        <v>18000</v>
      </c>
      <c r="BV102" s="117">
        <f t="shared" si="291"/>
        <v>18000</v>
      </c>
      <c r="BW102" s="117">
        <f t="shared" si="292"/>
        <v>18000</v>
      </c>
      <c r="BX102" s="117">
        <f t="shared" si="293"/>
        <v>8000</v>
      </c>
      <c r="BY102" s="117">
        <f t="shared" si="294"/>
        <v>8000</v>
      </c>
      <c r="BZ102" s="117">
        <f t="shared" si="294"/>
        <v>6187</v>
      </c>
      <c r="CA102" s="558">
        <f t="shared" si="226"/>
        <v>77.337500000000006</v>
      </c>
    </row>
    <row r="103" spans="1:79" s="270" customFormat="1" ht="13.5" hidden="1" x14ac:dyDescent="0.25">
      <c r="A103" s="351"/>
      <c r="B103" s="352" t="s">
        <v>627</v>
      </c>
      <c r="C103" s="510"/>
      <c r="D103" s="353"/>
      <c r="E103" s="353"/>
      <c r="F103" s="353"/>
      <c r="G103" s="353"/>
      <c r="H103" s="353"/>
      <c r="I103" s="353"/>
      <c r="J103" s="354"/>
      <c r="K103" s="354"/>
      <c r="L103" s="354"/>
      <c r="M103" s="354"/>
      <c r="N103" s="354"/>
      <c r="O103" s="354"/>
      <c r="P103" s="510"/>
      <c r="Q103" s="354"/>
      <c r="R103" s="354"/>
      <c r="S103" s="354"/>
      <c r="T103" s="354"/>
      <c r="U103" s="354"/>
      <c r="V103" s="354"/>
      <c r="W103" s="510"/>
      <c r="X103" s="354"/>
      <c r="Y103" s="354"/>
      <c r="Z103" s="354"/>
      <c r="AA103" s="354"/>
      <c r="AB103" s="354"/>
      <c r="AC103" s="354"/>
      <c r="AD103" s="510"/>
      <c r="AE103" s="354"/>
      <c r="AF103" s="354"/>
      <c r="AG103" s="354"/>
      <c r="AH103" s="354"/>
      <c r="AI103" s="354"/>
      <c r="AJ103" s="354"/>
      <c r="AK103" s="510">
        <v>0</v>
      </c>
      <c r="AL103" s="354">
        <v>0</v>
      </c>
      <c r="AM103" s="354">
        <v>0</v>
      </c>
      <c r="AN103" s="354">
        <v>0</v>
      </c>
      <c r="AO103" s="354">
        <v>0</v>
      </c>
      <c r="AP103" s="354">
        <v>0</v>
      </c>
      <c r="AQ103" s="354">
        <v>0</v>
      </c>
      <c r="AR103" s="354"/>
      <c r="AS103" s="354"/>
      <c r="AT103" s="354"/>
      <c r="AU103" s="354"/>
      <c r="AV103" s="354"/>
      <c r="AW103" s="354"/>
      <c r="AX103" s="354"/>
      <c r="AY103" s="354"/>
      <c r="AZ103" s="354"/>
      <c r="BA103" s="354"/>
      <c r="BB103" s="354"/>
      <c r="BC103" s="354"/>
      <c r="BD103" s="354"/>
      <c r="BE103" s="354"/>
      <c r="BF103" s="510"/>
      <c r="BG103" s="354"/>
      <c r="BH103" s="354"/>
      <c r="BI103" s="354"/>
      <c r="BJ103" s="354"/>
      <c r="BK103" s="354"/>
      <c r="BL103" s="354"/>
      <c r="BM103" s="510"/>
      <c r="BN103" s="354"/>
      <c r="BO103" s="354"/>
      <c r="BP103" s="354"/>
      <c r="BQ103" s="354"/>
      <c r="BR103" s="354"/>
      <c r="BS103" s="354"/>
      <c r="BT103" s="510">
        <f t="shared" si="289"/>
        <v>0</v>
      </c>
      <c r="BU103" s="353">
        <f t="shared" si="290"/>
        <v>0</v>
      </c>
      <c r="BV103" s="353">
        <f t="shared" si="291"/>
        <v>0</v>
      </c>
      <c r="BW103" s="353">
        <f t="shared" si="292"/>
        <v>0</v>
      </c>
      <c r="BX103" s="353">
        <f t="shared" si="293"/>
        <v>0</v>
      </c>
      <c r="BY103" s="353">
        <f t="shared" si="294"/>
        <v>0</v>
      </c>
      <c r="BZ103" s="353">
        <f t="shared" si="294"/>
        <v>0</v>
      </c>
      <c r="CA103" s="558" t="e">
        <f t="shared" si="226"/>
        <v>#DIV/0!</v>
      </c>
    </row>
    <row r="104" spans="1:79" ht="13.5" thickBot="1" x14ac:dyDescent="0.25">
      <c r="A104" s="232" t="s">
        <v>248</v>
      </c>
      <c r="B104" s="119" t="s">
        <v>324</v>
      </c>
      <c r="C104" s="509">
        <f>SUM('4. Átadott p.eszk.'!B66)</f>
        <v>614008</v>
      </c>
      <c r="D104" s="117">
        <f>SUM('4. Átadott p.eszk.'!C66)</f>
        <v>680844</v>
      </c>
      <c r="E104" s="117">
        <f>SUM('4. Átadott p.eszk.'!D66)</f>
        <v>678344</v>
      </c>
      <c r="F104" s="117">
        <f>SUM('4. Átadott p.eszk.'!F66)</f>
        <v>682841</v>
      </c>
      <c r="G104" s="117">
        <f>SUM('4. Átadott p.eszk.'!I66)</f>
        <v>0</v>
      </c>
      <c r="H104" s="117">
        <f>SUM('4. Átadott p.eszk.'!J66)</f>
        <v>689932</v>
      </c>
      <c r="I104" s="117">
        <f>SUM('4. Átadott p.eszk.'!K66)</f>
        <v>689433</v>
      </c>
      <c r="J104" s="92"/>
      <c r="K104" s="92"/>
      <c r="L104" s="92"/>
      <c r="M104" s="92"/>
      <c r="N104" s="92"/>
      <c r="O104" s="92"/>
      <c r="P104" s="509"/>
      <c r="Q104" s="92"/>
      <c r="R104" s="92"/>
      <c r="S104" s="92"/>
      <c r="T104" s="92"/>
      <c r="U104" s="92"/>
      <c r="V104" s="92"/>
      <c r="W104" s="509"/>
      <c r="X104" s="92"/>
      <c r="Y104" s="92"/>
      <c r="Z104" s="92"/>
      <c r="AA104" s="92"/>
      <c r="AB104" s="92"/>
      <c r="AC104" s="92"/>
      <c r="AD104" s="509"/>
      <c r="AE104" s="92"/>
      <c r="AF104" s="92"/>
      <c r="AG104" s="92"/>
      <c r="AH104" s="92"/>
      <c r="AI104" s="92"/>
      <c r="AJ104" s="92"/>
      <c r="AK104" s="509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509"/>
      <c r="BG104" s="92"/>
      <c r="BH104" s="92"/>
      <c r="BI104" s="92"/>
      <c r="BJ104" s="92"/>
      <c r="BK104" s="92"/>
      <c r="BL104" s="92"/>
      <c r="BM104" s="509"/>
      <c r="BN104" s="92"/>
      <c r="BO104" s="92"/>
      <c r="BP104" s="92"/>
      <c r="BQ104" s="92"/>
      <c r="BR104" s="92"/>
      <c r="BS104" s="92"/>
      <c r="BT104" s="509">
        <f t="shared" si="289"/>
        <v>614008</v>
      </c>
      <c r="BU104" s="117">
        <f t="shared" si="290"/>
        <v>680844</v>
      </c>
      <c r="BV104" s="117">
        <f t="shared" si="291"/>
        <v>678344</v>
      </c>
      <c r="BW104" s="117">
        <f t="shared" si="292"/>
        <v>682841</v>
      </c>
      <c r="BX104" s="117">
        <f t="shared" si="293"/>
        <v>0</v>
      </c>
      <c r="BY104" s="117">
        <f t="shared" si="294"/>
        <v>689932</v>
      </c>
      <c r="BZ104" s="117">
        <f t="shared" si="294"/>
        <v>689433</v>
      </c>
      <c r="CA104" s="558">
        <f t="shared" si="226"/>
        <v>99.927674031643704</v>
      </c>
    </row>
    <row r="105" spans="1:79" ht="15.75" customHeight="1" thickBot="1" x14ac:dyDescent="0.3">
      <c r="A105" s="232"/>
      <c r="B105" s="174" t="s">
        <v>8</v>
      </c>
      <c r="C105" s="504">
        <f t="shared" ref="C105:AT105" si="319">SUM(C32+C36+C101+C102+C104)</f>
        <v>704881</v>
      </c>
      <c r="D105" s="122">
        <f t="shared" ref="D105" si="320">SUM(D32+D36+D101+D102+D104)</f>
        <v>817575</v>
      </c>
      <c r="E105" s="122">
        <f t="shared" ref="E105:G105" si="321">SUM(E32+E36+E101+E102+E104)</f>
        <v>821764</v>
      </c>
      <c r="F105" s="122">
        <f t="shared" si="321"/>
        <v>827408</v>
      </c>
      <c r="G105" s="122">
        <f t="shared" si="321"/>
        <v>140884</v>
      </c>
      <c r="H105" s="122">
        <f t="shared" ref="H105:I105" si="322">SUM(H32+H36+H101+H102+H104)</f>
        <v>830810</v>
      </c>
      <c r="I105" s="122">
        <f t="shared" si="322"/>
        <v>820618</v>
      </c>
      <c r="J105" s="122">
        <f t="shared" si="319"/>
        <v>0</v>
      </c>
      <c r="K105" s="122">
        <f t="shared" si="319"/>
        <v>0</v>
      </c>
      <c r="L105" s="122">
        <f t="shared" si="319"/>
        <v>0</v>
      </c>
      <c r="M105" s="122">
        <f t="shared" si="319"/>
        <v>0</v>
      </c>
      <c r="N105" s="122"/>
      <c r="O105" s="122">
        <f t="shared" si="319"/>
        <v>0</v>
      </c>
      <c r="P105" s="504">
        <f t="shared" si="319"/>
        <v>82800</v>
      </c>
      <c r="Q105" s="122">
        <f t="shared" ref="Q105" si="323">SUM(Q32+Q36+Q101+Q102+Q104)</f>
        <v>67200</v>
      </c>
      <c r="R105" s="122">
        <f t="shared" ref="R105:T105" si="324">SUM(R32+R36+R101+R102+R104)</f>
        <v>67200</v>
      </c>
      <c r="S105" s="122">
        <f t="shared" si="324"/>
        <v>67200</v>
      </c>
      <c r="T105" s="122">
        <f t="shared" si="324"/>
        <v>64200</v>
      </c>
      <c r="U105" s="122">
        <f t="shared" ref="U105:V105" si="325">SUM(U32+U36+U101+U102+U104)</f>
        <v>66090</v>
      </c>
      <c r="V105" s="122">
        <f t="shared" si="325"/>
        <v>62947</v>
      </c>
      <c r="W105" s="504">
        <f>SUM(W32+W36+W101+W102+W104)</f>
        <v>9455</v>
      </c>
      <c r="X105" s="122">
        <f t="shared" ref="X105" si="326">SUM(X32+X36+X101+X102+X104)</f>
        <v>12810</v>
      </c>
      <c r="Y105" s="122">
        <f t="shared" ref="Y105:AA105" si="327">SUM(Y32+Y36+Y101+Y102+Y104)</f>
        <v>12734</v>
      </c>
      <c r="Z105" s="122">
        <f t="shared" si="327"/>
        <v>12734</v>
      </c>
      <c r="AA105" s="122">
        <f t="shared" si="327"/>
        <v>12619</v>
      </c>
      <c r="AB105" s="122">
        <f t="shared" ref="AB105:AC105" si="328">SUM(AB32+AB36+AB101+AB102+AB104)</f>
        <v>12656</v>
      </c>
      <c r="AC105" s="122">
        <f t="shared" si="328"/>
        <v>10025</v>
      </c>
      <c r="AD105" s="504">
        <f t="shared" si="319"/>
        <v>241111</v>
      </c>
      <c r="AE105" s="122">
        <f t="shared" ref="AE105" si="329">SUM(AE32+AE36+AE101+AE102+AE104)</f>
        <v>381065</v>
      </c>
      <c r="AF105" s="122">
        <f t="shared" ref="AF105:AH105" si="330">SUM(AF32+AF36+AF101+AF102+AF104)</f>
        <v>381247</v>
      </c>
      <c r="AG105" s="122">
        <f t="shared" si="330"/>
        <v>378336</v>
      </c>
      <c r="AH105" s="122">
        <f t="shared" si="330"/>
        <v>205242</v>
      </c>
      <c r="AI105" s="122">
        <f t="shared" ref="AI105:AJ105" si="331">SUM(AI32+AI36+AI101+AI102+AI104)</f>
        <v>205242</v>
      </c>
      <c r="AJ105" s="122">
        <f t="shared" si="331"/>
        <v>100281</v>
      </c>
      <c r="AK105" s="504">
        <f t="shared" si="319"/>
        <v>55272</v>
      </c>
      <c r="AL105" s="122">
        <f t="shared" ref="AL105" si="332">SUM(AL32+AL36+AL101+AL102+AL104)</f>
        <v>54596</v>
      </c>
      <c r="AM105" s="122">
        <f t="shared" ref="AM105:AO105" si="333">SUM(AM32+AM36+AM101+AM102+AM104)</f>
        <v>54721</v>
      </c>
      <c r="AN105" s="122">
        <f t="shared" si="333"/>
        <v>58072</v>
      </c>
      <c r="AO105" s="122">
        <f t="shared" si="333"/>
        <v>47989</v>
      </c>
      <c r="AP105" s="122">
        <f t="shared" ref="AP105:AQ105" si="334">SUM(AP32+AP36+AP101+AP102+AP104)</f>
        <v>47989</v>
      </c>
      <c r="AQ105" s="122">
        <f t="shared" si="334"/>
        <v>45656</v>
      </c>
      <c r="AR105" s="122">
        <f t="shared" si="319"/>
        <v>0</v>
      </c>
      <c r="AS105" s="122"/>
      <c r="AT105" s="122">
        <f t="shared" si="319"/>
        <v>0</v>
      </c>
      <c r="AU105" s="122">
        <f t="shared" ref="AU105:BM105" si="335">SUM(AU32+AU36+AU101+AU102+AU104)</f>
        <v>0</v>
      </c>
      <c r="AV105" s="122">
        <f t="shared" si="335"/>
        <v>0</v>
      </c>
      <c r="AW105" s="122"/>
      <c r="AX105" s="122">
        <f t="shared" si="335"/>
        <v>0</v>
      </c>
      <c r="AY105" s="122">
        <f t="shared" si="335"/>
        <v>0</v>
      </c>
      <c r="AZ105" s="122"/>
      <c r="BA105" s="122">
        <f t="shared" si="335"/>
        <v>0</v>
      </c>
      <c r="BB105" s="122">
        <f t="shared" si="335"/>
        <v>0</v>
      </c>
      <c r="BC105" s="122">
        <f t="shared" si="335"/>
        <v>0</v>
      </c>
      <c r="BD105" s="122"/>
      <c r="BE105" s="122">
        <f t="shared" si="335"/>
        <v>0</v>
      </c>
      <c r="BF105" s="504">
        <f t="shared" si="335"/>
        <v>30352</v>
      </c>
      <c r="BG105" s="122">
        <f t="shared" ref="BG105" si="336">SUM(BG32+BG36+BG101+BG102+BG104)</f>
        <v>35155</v>
      </c>
      <c r="BH105" s="122">
        <f t="shared" ref="BH105:BJ105" si="337">SUM(BH32+BH36+BH101+BH102+BH104)</f>
        <v>35892</v>
      </c>
      <c r="BI105" s="122">
        <f t="shared" si="337"/>
        <v>36996</v>
      </c>
      <c r="BJ105" s="122">
        <f t="shared" si="337"/>
        <v>36051</v>
      </c>
      <c r="BK105" s="122">
        <f t="shared" ref="BK105:BL105" si="338">SUM(BK32+BK36+BK101+BK102+BK104)</f>
        <v>36051</v>
      </c>
      <c r="BL105" s="122">
        <f t="shared" si="338"/>
        <v>31321</v>
      </c>
      <c r="BM105" s="504">
        <f t="shared" si="335"/>
        <v>22634</v>
      </c>
      <c r="BN105" s="122">
        <f t="shared" ref="BN105" si="339">SUM(BN32+BN36+BN101+BN102+BN104)</f>
        <v>46152</v>
      </c>
      <c r="BO105" s="122">
        <f t="shared" ref="BO105:BQ105" si="340">SUM(BO32+BO36+BO101+BO102+BO104)</f>
        <v>48419</v>
      </c>
      <c r="BP105" s="122">
        <f t="shared" si="340"/>
        <v>48419</v>
      </c>
      <c r="BQ105" s="122">
        <f t="shared" si="340"/>
        <v>48927</v>
      </c>
      <c r="BR105" s="122">
        <f t="shared" ref="BR105:BS105" si="341">SUM(BR32+BR36+BR101+BR102+BR104)</f>
        <v>48656</v>
      </c>
      <c r="BS105" s="122">
        <f t="shared" si="341"/>
        <v>35861</v>
      </c>
      <c r="BT105" s="504">
        <f t="shared" si="289"/>
        <v>1146505</v>
      </c>
      <c r="BU105" s="122">
        <f t="shared" si="290"/>
        <v>1414553</v>
      </c>
      <c r="BV105" s="122">
        <f t="shared" si="291"/>
        <v>1421977</v>
      </c>
      <c r="BW105" s="122">
        <f t="shared" si="292"/>
        <v>1429165</v>
      </c>
      <c r="BX105" s="122">
        <f t="shared" si="293"/>
        <v>555912</v>
      </c>
      <c r="BY105" s="122">
        <f t="shared" si="294"/>
        <v>1247494</v>
      </c>
      <c r="BZ105" s="122">
        <f t="shared" si="294"/>
        <v>1106709</v>
      </c>
      <c r="CA105" s="558">
        <f t="shared" si="226"/>
        <v>88.714574979919746</v>
      </c>
    </row>
    <row r="106" spans="1:79" ht="15.75" thickBot="1" x14ac:dyDescent="0.3">
      <c r="A106" s="232" t="s">
        <v>249</v>
      </c>
      <c r="B106" s="172" t="s">
        <v>323</v>
      </c>
      <c r="C106" s="511">
        <f>SUM('3.felh'!C48+'3.felh'!C73+'3.felh'!C94)</f>
        <v>1578191</v>
      </c>
      <c r="D106" s="173">
        <f>SUM('3.felh'!D48+'3.felh'!D73+'3.felh'!D94)</f>
        <v>1095490</v>
      </c>
      <c r="E106" s="173">
        <f>SUM('3.felh'!E48+'3.felh'!E73+'3.felh'!E94)</f>
        <v>1167345</v>
      </c>
      <c r="F106" s="173">
        <f>SUM('3.felh'!G48+'3.felh'!G73+'3.felh'!G94)</f>
        <v>1167345</v>
      </c>
      <c r="G106" s="173">
        <f>SUM('3.felh'!J48+'3.felh'!J73+'3.felh'!J94)</f>
        <v>0</v>
      </c>
      <c r="H106" s="173">
        <f>SUM('3.felh'!K48+'3.felh'!K73+'3.felh'!K94)</f>
        <v>1200942</v>
      </c>
      <c r="I106" s="173">
        <f>SUM('3.felh'!L48+'3.felh'!L73+'3.felh'!L94)</f>
        <v>360793</v>
      </c>
      <c r="J106" s="173"/>
      <c r="K106" s="173"/>
      <c r="L106" s="173"/>
      <c r="M106" s="173"/>
      <c r="N106" s="173"/>
      <c r="O106" s="173"/>
      <c r="P106" s="511"/>
      <c r="Q106" s="173"/>
      <c r="R106" s="173"/>
      <c r="S106" s="173"/>
      <c r="T106" s="173"/>
      <c r="U106" s="173"/>
      <c r="V106" s="173"/>
      <c r="W106" s="511"/>
      <c r="X106" s="173"/>
      <c r="Y106" s="173"/>
      <c r="Z106" s="173"/>
      <c r="AA106" s="173"/>
      <c r="AB106" s="173"/>
      <c r="AC106" s="173"/>
      <c r="AD106" s="511"/>
      <c r="AE106" s="173"/>
      <c r="AF106" s="173"/>
      <c r="AG106" s="173"/>
      <c r="AH106" s="173"/>
      <c r="AI106" s="173"/>
      <c r="AJ106" s="173"/>
      <c r="AK106" s="511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511"/>
      <c r="BG106" s="173"/>
      <c r="BH106" s="173"/>
      <c r="BI106" s="173"/>
      <c r="BJ106" s="173"/>
      <c r="BK106" s="173"/>
      <c r="BL106" s="173"/>
      <c r="BM106" s="511"/>
      <c r="BN106" s="173"/>
      <c r="BO106" s="173"/>
      <c r="BP106" s="173"/>
      <c r="BQ106" s="173"/>
      <c r="BR106" s="173"/>
      <c r="BS106" s="173"/>
      <c r="BT106" s="511">
        <f t="shared" si="289"/>
        <v>1578191</v>
      </c>
      <c r="BU106" s="173">
        <f t="shared" si="290"/>
        <v>1095490</v>
      </c>
      <c r="BV106" s="173">
        <f t="shared" si="291"/>
        <v>1167345</v>
      </c>
      <c r="BW106" s="173">
        <f t="shared" si="292"/>
        <v>1167345</v>
      </c>
      <c r="BX106" s="173">
        <f t="shared" si="293"/>
        <v>0</v>
      </c>
      <c r="BY106" s="173">
        <f t="shared" si="294"/>
        <v>1200942</v>
      </c>
      <c r="BZ106" s="173">
        <f t="shared" si="294"/>
        <v>360793</v>
      </c>
      <c r="CA106" s="558">
        <f t="shared" si="226"/>
        <v>30.042499970856213</v>
      </c>
    </row>
    <row r="107" spans="1:79" ht="19.5" x14ac:dyDescent="0.35">
      <c r="A107" s="231"/>
      <c r="B107" s="164" t="s">
        <v>7</v>
      </c>
      <c r="C107" s="512">
        <f t="shared" ref="C107:AK107" si="342">SUM(C105+C106)</f>
        <v>2283072</v>
      </c>
      <c r="D107" s="165">
        <f t="shared" ref="D107" si="343">SUM(D105+D106)</f>
        <v>1913065</v>
      </c>
      <c r="E107" s="165">
        <f t="shared" ref="E107:G107" si="344">SUM(E105+E106)</f>
        <v>1989109</v>
      </c>
      <c r="F107" s="165">
        <f t="shared" si="344"/>
        <v>1994753</v>
      </c>
      <c r="G107" s="165">
        <f t="shared" si="344"/>
        <v>140884</v>
      </c>
      <c r="H107" s="165">
        <f t="shared" ref="H107" si="345">SUM(H105+H106)</f>
        <v>2031752</v>
      </c>
      <c r="I107" s="165">
        <f>SUM(I105+I106)</f>
        <v>1181411</v>
      </c>
      <c r="J107" s="165">
        <f>SUM(J105+J106)</f>
        <v>0</v>
      </c>
      <c r="K107" s="165">
        <f>SUM(K105+K106)</f>
        <v>0</v>
      </c>
      <c r="L107" s="165">
        <f>SUM(L105+L106)</f>
        <v>0</v>
      </c>
      <c r="M107" s="165">
        <f>SUM(M105+M106)</f>
        <v>0</v>
      </c>
      <c r="N107" s="165"/>
      <c r="O107" s="165">
        <f>SUM(O105+O106)</f>
        <v>0</v>
      </c>
      <c r="P107" s="512">
        <f t="shared" si="342"/>
        <v>82800</v>
      </c>
      <c r="Q107" s="165">
        <f t="shared" ref="Q107" si="346">SUM(Q105+Q106)</f>
        <v>67200</v>
      </c>
      <c r="R107" s="165">
        <f t="shared" ref="R107:T107" si="347">SUM(R105+R106)</f>
        <v>67200</v>
      </c>
      <c r="S107" s="165">
        <f t="shared" si="347"/>
        <v>67200</v>
      </c>
      <c r="T107" s="165">
        <f t="shared" si="347"/>
        <v>64200</v>
      </c>
      <c r="U107" s="165">
        <f t="shared" ref="U107:V107" si="348">SUM(U105+U106)</f>
        <v>66090</v>
      </c>
      <c r="V107" s="165">
        <f t="shared" si="348"/>
        <v>62947</v>
      </c>
      <c r="W107" s="512">
        <f t="shared" si="342"/>
        <v>9455</v>
      </c>
      <c r="X107" s="165">
        <f t="shared" ref="X107" si="349">SUM(X105+X106)</f>
        <v>12810</v>
      </c>
      <c r="Y107" s="165">
        <f t="shared" ref="Y107:AA107" si="350">SUM(Y105+Y106)</f>
        <v>12734</v>
      </c>
      <c r="Z107" s="165">
        <f t="shared" si="350"/>
        <v>12734</v>
      </c>
      <c r="AA107" s="165">
        <f t="shared" si="350"/>
        <v>12619</v>
      </c>
      <c r="AB107" s="165">
        <f t="shared" ref="AB107:AC107" si="351">SUM(AB105+AB106)</f>
        <v>12656</v>
      </c>
      <c r="AC107" s="165">
        <f t="shared" si="351"/>
        <v>10025</v>
      </c>
      <c r="AD107" s="512">
        <f t="shared" si="342"/>
        <v>241111</v>
      </c>
      <c r="AE107" s="165">
        <f t="shared" ref="AE107" si="352">SUM(AE105+AE106)</f>
        <v>381065</v>
      </c>
      <c r="AF107" s="165">
        <f t="shared" ref="AF107:AH107" si="353">SUM(AF105+AF106)</f>
        <v>381247</v>
      </c>
      <c r="AG107" s="165">
        <f t="shared" si="353"/>
        <v>378336</v>
      </c>
      <c r="AH107" s="165">
        <f t="shared" si="353"/>
        <v>205242</v>
      </c>
      <c r="AI107" s="165">
        <f t="shared" ref="AI107:AJ107" si="354">SUM(AI105+AI106)</f>
        <v>205242</v>
      </c>
      <c r="AJ107" s="165">
        <f t="shared" si="354"/>
        <v>100281</v>
      </c>
      <c r="AK107" s="512">
        <f t="shared" si="342"/>
        <v>55272</v>
      </c>
      <c r="AL107" s="165">
        <f t="shared" ref="AL107" si="355">SUM(AL105+AL106)</f>
        <v>54596</v>
      </c>
      <c r="AM107" s="165">
        <f t="shared" ref="AM107:AO107" si="356">SUM(AM105+AM106)</f>
        <v>54721</v>
      </c>
      <c r="AN107" s="165">
        <f t="shared" si="356"/>
        <v>58072</v>
      </c>
      <c r="AO107" s="165">
        <f t="shared" si="356"/>
        <v>47989</v>
      </c>
      <c r="AP107" s="165">
        <f t="shared" ref="AP107:AQ107" si="357">SUM(AP105+AP106)</f>
        <v>47989</v>
      </c>
      <c r="AQ107" s="165">
        <f t="shared" si="357"/>
        <v>45656</v>
      </c>
      <c r="AR107" s="165">
        <f t="shared" ref="AR107:BE107" si="358">SUM(AR105+AR106)</f>
        <v>0</v>
      </c>
      <c r="AS107" s="165"/>
      <c r="AT107" s="165">
        <f t="shared" si="358"/>
        <v>0</v>
      </c>
      <c r="AU107" s="165">
        <f>SUM(AU105+AU106)</f>
        <v>0</v>
      </c>
      <c r="AV107" s="165">
        <f t="shared" si="358"/>
        <v>0</v>
      </c>
      <c r="AW107" s="165"/>
      <c r="AX107" s="165">
        <f t="shared" si="358"/>
        <v>0</v>
      </c>
      <c r="AY107" s="165">
        <f t="shared" si="358"/>
        <v>0</v>
      </c>
      <c r="AZ107" s="165"/>
      <c r="BA107" s="165">
        <f>SUM(BA105+BA106)</f>
        <v>0</v>
      </c>
      <c r="BB107" s="165">
        <f>SUM(BB105+BB106)</f>
        <v>0</v>
      </c>
      <c r="BC107" s="165">
        <f>SUM(BC105+BC106)</f>
        <v>0</v>
      </c>
      <c r="BD107" s="165"/>
      <c r="BE107" s="165">
        <f t="shared" si="358"/>
        <v>0</v>
      </c>
      <c r="BF107" s="512">
        <f t="shared" ref="BF107:BM107" si="359">SUM(BF105+BF106)</f>
        <v>30352</v>
      </c>
      <c r="BG107" s="165">
        <f t="shared" ref="BG107" si="360">SUM(BG105+BG106)</f>
        <v>35155</v>
      </c>
      <c r="BH107" s="165">
        <f t="shared" ref="BH107:BJ107" si="361">SUM(BH105+BH106)</f>
        <v>35892</v>
      </c>
      <c r="BI107" s="165">
        <f t="shared" si="361"/>
        <v>36996</v>
      </c>
      <c r="BJ107" s="165">
        <f t="shared" si="361"/>
        <v>36051</v>
      </c>
      <c r="BK107" s="165">
        <f t="shared" ref="BK107:BL107" si="362">SUM(BK105+BK106)</f>
        <v>36051</v>
      </c>
      <c r="BL107" s="165">
        <f t="shared" si="362"/>
        <v>31321</v>
      </c>
      <c r="BM107" s="512">
        <f t="shared" si="359"/>
        <v>22634</v>
      </c>
      <c r="BN107" s="165">
        <f t="shared" ref="BN107" si="363">SUM(BN105+BN106)</f>
        <v>46152</v>
      </c>
      <c r="BO107" s="165">
        <f t="shared" ref="BO107:BQ107" si="364">SUM(BO105+BO106)</f>
        <v>48419</v>
      </c>
      <c r="BP107" s="165">
        <f t="shared" si="364"/>
        <v>48419</v>
      </c>
      <c r="BQ107" s="165">
        <f t="shared" si="364"/>
        <v>48927</v>
      </c>
      <c r="BR107" s="165">
        <f t="shared" ref="BR107:BS107" si="365">SUM(BR105+BR106)</f>
        <v>48656</v>
      </c>
      <c r="BS107" s="165">
        <f t="shared" si="365"/>
        <v>35861</v>
      </c>
      <c r="BT107" s="512">
        <f t="shared" si="289"/>
        <v>2724696</v>
      </c>
      <c r="BU107" s="165">
        <f t="shared" si="290"/>
        <v>2510043</v>
      </c>
      <c r="BV107" s="165">
        <f t="shared" si="291"/>
        <v>2589322</v>
      </c>
      <c r="BW107" s="165">
        <f t="shared" si="292"/>
        <v>2596510</v>
      </c>
      <c r="BX107" s="165">
        <f t="shared" si="293"/>
        <v>555912</v>
      </c>
      <c r="BY107" s="165">
        <f t="shared" si="294"/>
        <v>2448436</v>
      </c>
      <c r="BZ107" s="165">
        <f t="shared" si="294"/>
        <v>1467502</v>
      </c>
      <c r="CA107" s="558">
        <f t="shared" si="226"/>
        <v>59.936302194543778</v>
      </c>
    </row>
    <row r="108" spans="1:79" ht="13.5" hidden="1" thickBot="1" x14ac:dyDescent="0.25">
      <c r="A108" s="238"/>
      <c r="B108" s="162" t="s">
        <v>52</v>
      </c>
      <c r="C108" s="513">
        <v>1</v>
      </c>
      <c r="D108" s="191">
        <v>1</v>
      </c>
      <c r="E108" s="191">
        <v>1</v>
      </c>
      <c r="F108" s="191">
        <v>1</v>
      </c>
      <c r="G108" s="191">
        <v>1</v>
      </c>
      <c r="H108" s="191"/>
      <c r="I108" s="191">
        <v>1</v>
      </c>
      <c r="J108" s="191"/>
      <c r="K108" s="191"/>
      <c r="L108" s="191"/>
      <c r="M108" s="191"/>
      <c r="N108" s="191"/>
      <c r="O108" s="191"/>
      <c r="P108" s="513"/>
      <c r="Q108" s="191"/>
      <c r="R108" s="191"/>
      <c r="S108" s="191"/>
      <c r="T108" s="191"/>
      <c r="U108" s="191"/>
      <c r="V108" s="191"/>
      <c r="W108" s="513"/>
      <c r="X108" s="191"/>
      <c r="Y108" s="191"/>
      <c r="Z108" s="191"/>
      <c r="AA108" s="191"/>
      <c r="AB108" s="191"/>
      <c r="AC108" s="191"/>
      <c r="AD108" s="513">
        <v>3</v>
      </c>
      <c r="AE108" s="191">
        <v>2</v>
      </c>
      <c r="AF108" s="191">
        <v>2</v>
      </c>
      <c r="AG108" s="191">
        <v>2</v>
      </c>
      <c r="AH108" s="191">
        <v>2</v>
      </c>
      <c r="AI108" s="191"/>
      <c r="AJ108" s="191">
        <v>2</v>
      </c>
      <c r="AK108" s="513">
        <v>1</v>
      </c>
      <c r="AL108" s="191">
        <v>1</v>
      </c>
      <c r="AM108" s="191">
        <v>1</v>
      </c>
      <c r="AN108" s="191">
        <v>1</v>
      </c>
      <c r="AO108" s="191">
        <v>1</v>
      </c>
      <c r="AP108" s="191"/>
      <c r="AQ108" s="191">
        <v>1</v>
      </c>
      <c r="AR108" s="191"/>
      <c r="AS108" s="191"/>
      <c r="AT108" s="191"/>
      <c r="AU108" s="191"/>
      <c r="AV108" s="191"/>
      <c r="AW108" s="191"/>
      <c r="AX108" s="191"/>
      <c r="AY108" s="191"/>
      <c r="AZ108" s="191"/>
      <c r="BA108" s="191"/>
      <c r="BB108" s="191"/>
      <c r="BC108" s="191"/>
      <c r="BD108" s="191"/>
      <c r="BE108" s="191"/>
      <c r="BF108" s="513">
        <v>1</v>
      </c>
      <c r="BG108" s="191">
        <v>1</v>
      </c>
      <c r="BH108" s="191">
        <v>1</v>
      </c>
      <c r="BI108" s="191">
        <v>1</v>
      </c>
      <c r="BJ108" s="191">
        <v>1</v>
      </c>
      <c r="BK108" s="191"/>
      <c r="BL108" s="191">
        <v>1</v>
      </c>
      <c r="BM108" s="513">
        <v>1</v>
      </c>
      <c r="BN108" s="191">
        <v>1</v>
      </c>
      <c r="BO108" s="191">
        <v>1</v>
      </c>
      <c r="BP108" s="191">
        <v>1</v>
      </c>
      <c r="BQ108" s="191">
        <v>1</v>
      </c>
      <c r="BR108" s="191"/>
      <c r="BS108" s="191">
        <v>1</v>
      </c>
      <c r="BT108" s="513">
        <f t="shared" si="289"/>
        <v>7</v>
      </c>
      <c r="BU108" s="191">
        <f t="shared" si="290"/>
        <v>6</v>
      </c>
      <c r="BV108" s="191">
        <f t="shared" si="291"/>
        <v>6</v>
      </c>
      <c r="BW108" s="191">
        <f t="shared" si="292"/>
        <v>6</v>
      </c>
      <c r="BX108" s="191">
        <f t="shared" si="293"/>
        <v>6</v>
      </c>
      <c r="BY108" s="191"/>
      <c r="BZ108" s="191">
        <f>I108+O108+V108+AC108+AJ108+AQ108+AX108+BE108+BL108+BS108</f>
        <v>6</v>
      </c>
      <c r="CA108" s="558" t="e">
        <f t="shared" si="226"/>
        <v>#DIV/0!</v>
      </c>
    </row>
    <row r="109" spans="1:79" s="9" customFormat="1" ht="6" customHeight="1" x14ac:dyDescent="0.2">
      <c r="A109" s="135"/>
      <c r="B109" s="163"/>
      <c r="C109"/>
      <c r="D109"/>
      <c r="E109"/>
      <c r="F109"/>
      <c r="G109"/>
      <c r="H109"/>
      <c r="I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 s="33"/>
    </row>
    <row r="110" spans="1:79" s="9" customFormat="1" hidden="1" x14ac:dyDescent="0.2">
      <c r="A110" s="135"/>
      <c r="B110"/>
      <c r="C110"/>
      <c r="D110"/>
      <c r="E110"/>
      <c r="F110"/>
      <c r="G110"/>
      <c r="H110"/>
      <c r="I110"/>
      <c r="O110"/>
      <c r="P110"/>
      <c r="Q110"/>
      <c r="R110"/>
      <c r="S110"/>
      <c r="T110" s="158"/>
      <c r="U110" s="158"/>
      <c r="V110" s="158"/>
      <c r="W110" s="158"/>
      <c r="X110" s="158"/>
      <c r="Y110" s="158"/>
      <c r="Z110" s="158"/>
      <c r="AA110" s="158"/>
      <c r="AB110" s="158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</row>
    <row r="111" spans="1:79" s="9" customFormat="1" hidden="1" x14ac:dyDescent="0.2">
      <c r="A111" s="135"/>
      <c r="B111"/>
      <c r="C111" s="70"/>
      <c r="D111" s="70"/>
      <c r="E111" s="70"/>
      <c r="F111" s="70"/>
      <c r="G111" s="70"/>
      <c r="H111" s="70"/>
      <c r="I111" s="70"/>
      <c r="J111" s="33"/>
      <c r="K111" s="33"/>
      <c r="L111" s="33"/>
      <c r="M111" s="33"/>
      <c r="N111" s="33"/>
      <c r="O111" s="70"/>
      <c r="P111" s="70"/>
      <c r="Q111" s="70"/>
      <c r="R111" s="70"/>
      <c r="S111" s="70"/>
      <c r="T111"/>
      <c r="U111"/>
      <c r="V111"/>
      <c r="W111"/>
      <c r="X111"/>
      <c r="Y111"/>
      <c r="Z111"/>
      <c r="AA111"/>
      <c r="AB111"/>
      <c r="AC111" s="166" t="s">
        <v>316</v>
      </c>
      <c r="AD111" s="166"/>
      <c r="AE111" s="166"/>
      <c r="AF111" s="166"/>
      <c r="AG111" s="166"/>
      <c r="AH111" s="166">
        <v>300</v>
      </c>
      <c r="AI111" s="166"/>
      <c r="AJ111" s="166"/>
      <c r="AK111" s="166"/>
      <c r="AL111" s="166"/>
      <c r="AM111" s="166"/>
      <c r="AN111" s="166"/>
      <c r="AO111" s="166">
        <v>236</v>
      </c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6"/>
      <c r="AZ111" s="166"/>
      <c r="BA111" s="166"/>
      <c r="BB111" s="166"/>
      <c r="BC111" s="166"/>
      <c r="BD111" s="166"/>
      <c r="BE111" s="166"/>
      <c r="BF111" s="166"/>
      <c r="BG111" s="166"/>
      <c r="BH111" s="166"/>
      <c r="BI111" s="166"/>
      <c r="BJ111" s="166"/>
      <c r="BK111" s="166"/>
      <c r="BL111" s="166"/>
      <c r="BM111" s="166"/>
      <c r="BN111" s="166"/>
      <c r="BO111" s="166"/>
      <c r="BP111" s="166"/>
      <c r="BQ111" s="166"/>
      <c r="BR111" s="166"/>
      <c r="BS111" s="166"/>
      <c r="BT111"/>
      <c r="BU111"/>
      <c r="BV111"/>
      <c r="BW111"/>
      <c r="BX111"/>
      <c r="BY111"/>
      <c r="BZ111"/>
    </row>
    <row r="112" spans="1:79" s="9" customFormat="1" hidden="1" x14ac:dyDescent="0.2">
      <c r="A112" s="135"/>
      <c r="B112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/>
      <c r="U112"/>
      <c r="V112"/>
      <c r="W112"/>
      <c r="X112"/>
      <c r="Y112"/>
      <c r="Z112"/>
      <c r="AA112"/>
      <c r="AB112"/>
      <c r="AC112" s="166" t="s">
        <v>317</v>
      </c>
      <c r="AD112" s="166"/>
      <c r="AE112" s="166"/>
      <c r="AF112" s="166"/>
      <c r="AG112" s="166"/>
      <c r="AH112" s="166">
        <v>700</v>
      </c>
      <c r="AI112" s="166"/>
      <c r="AJ112" s="166"/>
      <c r="AK112" s="166"/>
      <c r="AL112" s="166"/>
      <c r="AM112" s="166"/>
      <c r="AN112" s="166"/>
      <c r="AO112" s="166">
        <v>551</v>
      </c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6"/>
      <c r="AZ112" s="166"/>
      <c r="BA112" s="166"/>
      <c r="BB112" s="166"/>
      <c r="BC112" s="166"/>
      <c r="BD112" s="166"/>
      <c r="BE112" s="166"/>
      <c r="BF112" s="166"/>
      <c r="BG112" s="166"/>
      <c r="BH112" s="166"/>
      <c r="BI112" s="166"/>
      <c r="BJ112" s="166"/>
      <c r="BK112" s="166"/>
      <c r="BL112" s="166"/>
      <c r="BM112" s="166"/>
      <c r="BN112" s="166"/>
      <c r="BO112" s="166"/>
      <c r="BP112" s="166"/>
      <c r="BQ112" s="166"/>
      <c r="BR112" s="166"/>
      <c r="BS112" s="166"/>
      <c r="BT112"/>
      <c r="BU112"/>
      <c r="BV112"/>
      <c r="BW112"/>
      <c r="BX112"/>
      <c r="BY112"/>
      <c r="BZ112"/>
    </row>
    <row r="113" spans="1:78" s="9" customFormat="1" hidden="1" x14ac:dyDescent="0.2">
      <c r="A113" s="135"/>
      <c r="B113"/>
      <c r="C113" s="160"/>
      <c r="D113" s="160"/>
      <c r="E113" s="160"/>
      <c r="F113" s="160"/>
      <c r="G113" s="160"/>
      <c r="H113" s="160"/>
      <c r="I113" s="160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/>
      <c r="U113"/>
      <c r="V113"/>
      <c r="W113"/>
      <c r="X113"/>
      <c r="Y113"/>
      <c r="Z113"/>
      <c r="AA113"/>
      <c r="AB113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7"/>
      <c r="BQ113" s="167"/>
      <c r="BR113" s="167"/>
      <c r="BS113" s="167"/>
      <c r="BT113"/>
      <c r="BU113"/>
      <c r="BV113"/>
      <c r="BW113"/>
      <c r="BX113"/>
      <c r="BY113"/>
      <c r="BZ113"/>
    </row>
    <row r="114" spans="1:78" s="9" customFormat="1" x14ac:dyDescent="0.2">
      <c r="A114" s="135"/>
      <c r="B114" s="241" t="s">
        <v>374</v>
      </c>
      <c r="C114" s="264"/>
      <c r="D114" s="264"/>
      <c r="F114" s="265"/>
      <c r="G114" s="265"/>
      <c r="H114" s="265"/>
      <c r="I114" s="265"/>
      <c r="V114"/>
      <c r="W114"/>
      <c r="X114"/>
      <c r="Y114"/>
      <c r="Z114"/>
      <c r="AA114"/>
      <c r="AB114"/>
      <c r="AC114" s="241"/>
      <c r="AD114" s="350"/>
      <c r="AE114" s="350"/>
      <c r="AF114" s="167"/>
      <c r="AG114" s="167"/>
      <c r="AH114" s="167"/>
      <c r="AI114" s="167"/>
      <c r="AO114" s="264"/>
      <c r="AP114" s="264"/>
      <c r="AQ114" s="265"/>
      <c r="AY114"/>
      <c r="AZ114"/>
      <c r="BA114"/>
      <c r="BB114"/>
      <c r="BC114"/>
      <c r="BD114"/>
      <c r="BE114"/>
      <c r="BF114"/>
      <c r="BG114"/>
      <c r="BH114"/>
      <c r="BI114"/>
      <c r="BJ114" s="167"/>
      <c r="BK114" s="167"/>
      <c r="BL114" s="167"/>
    </row>
    <row r="115" spans="1:78" s="9" customFormat="1" x14ac:dyDescent="0.2">
      <c r="A115" s="135"/>
      <c r="B115" s="241" t="s">
        <v>477</v>
      </c>
      <c r="C115" s="134"/>
      <c r="D115" s="134" t="s">
        <v>315</v>
      </c>
      <c r="G115" s="134"/>
      <c r="H115" s="134"/>
      <c r="I115" s="134"/>
      <c r="P115" s="134"/>
      <c r="Q115" s="134" t="s">
        <v>244</v>
      </c>
      <c r="V115"/>
      <c r="X115" s="134" t="s">
        <v>405</v>
      </c>
      <c r="Y115"/>
      <c r="Z115"/>
      <c r="AC115" s="241"/>
      <c r="AF115"/>
      <c r="AG115"/>
      <c r="AH115"/>
      <c r="AI115"/>
      <c r="AO115" s="134"/>
      <c r="AP115" s="134"/>
      <c r="AQ115" s="134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T115" s="33"/>
      <c r="BU115" s="33"/>
      <c r="BV115" s="33"/>
      <c r="BW115" s="33"/>
      <c r="BX115" s="33"/>
      <c r="BY115" s="33"/>
    </row>
    <row r="116" spans="1:78" s="9" customFormat="1" x14ac:dyDescent="0.2">
      <c r="A116" s="135"/>
      <c r="B116"/>
      <c r="C116" s="134"/>
      <c r="D116" s="134"/>
      <c r="G116" s="134"/>
      <c r="H116" s="134"/>
      <c r="I116" s="160"/>
      <c r="K116" s="33"/>
      <c r="L116" s="33"/>
      <c r="M116" s="33"/>
      <c r="N116" s="33"/>
      <c r="O116" s="70"/>
      <c r="P116" s="33"/>
      <c r="Q116" s="33"/>
      <c r="R116" s="33"/>
      <c r="S116" s="33"/>
      <c r="T116" s="33"/>
      <c r="U116" s="33"/>
      <c r="V116" s="70"/>
      <c r="X116" s="33"/>
      <c r="Y116" s="70"/>
      <c r="Z116" s="70"/>
      <c r="AA116" s="33"/>
      <c r="AB116" s="33"/>
      <c r="AC116" s="33"/>
      <c r="AF116" s="70"/>
      <c r="AG116" s="70"/>
      <c r="AH116" s="70"/>
      <c r="AI116" s="70"/>
      <c r="AJ116" s="33"/>
      <c r="AL116" s="241" t="s">
        <v>476</v>
      </c>
      <c r="AM116" s="33"/>
      <c r="AN116" s="33"/>
      <c r="AO116" s="33"/>
      <c r="AP116" s="33"/>
      <c r="AQ116" s="33"/>
      <c r="AR116" s="33"/>
      <c r="AS116" s="33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T116"/>
      <c r="BU116"/>
      <c r="BV116"/>
      <c r="BW116"/>
      <c r="BX116"/>
      <c r="BY116"/>
      <c r="BZ116"/>
    </row>
    <row r="117" spans="1:78" s="9" customFormat="1" x14ac:dyDescent="0.2">
      <c r="A117" s="135"/>
      <c r="B117" t="s">
        <v>719</v>
      </c>
      <c r="C117" s="134"/>
      <c r="D117" s="134">
        <v>1225</v>
      </c>
      <c r="G117" s="134"/>
      <c r="H117" s="134"/>
      <c r="I117" s="160"/>
      <c r="K117" s="33"/>
      <c r="L117" s="33"/>
      <c r="M117" s="33"/>
      <c r="N117" s="33"/>
      <c r="O117" s="70"/>
      <c r="P117" s="33"/>
      <c r="Q117" s="33">
        <v>331</v>
      </c>
      <c r="R117" s="33"/>
      <c r="S117" s="33"/>
      <c r="T117" s="33"/>
      <c r="U117" s="33"/>
      <c r="V117" s="70"/>
      <c r="X117" s="33">
        <f>SUM(D117+Q117)</f>
        <v>1556</v>
      </c>
      <c r="Y117" s="70"/>
      <c r="Z117" s="70"/>
      <c r="AA117" s="33"/>
      <c r="AB117" s="33"/>
      <c r="AC117" s="33"/>
      <c r="AF117" s="70"/>
      <c r="AG117" s="70"/>
      <c r="AH117" s="70"/>
      <c r="AI117" s="70"/>
      <c r="AJ117" s="33"/>
      <c r="AL117" s="70"/>
      <c r="AM117" s="33"/>
      <c r="AN117" s="33"/>
      <c r="AO117" s="33"/>
      <c r="AP117" s="33"/>
      <c r="AQ117" s="33"/>
      <c r="AR117" s="33"/>
      <c r="AS117" s="33"/>
      <c r="AY117"/>
      <c r="AZ117"/>
      <c r="BA117"/>
      <c r="BB117"/>
      <c r="BC117"/>
      <c r="BD117"/>
      <c r="BE117"/>
      <c r="BF117"/>
      <c r="BG117"/>
      <c r="BH117"/>
      <c r="BI117" s="70"/>
      <c r="BJ117"/>
      <c r="BK117"/>
      <c r="BL117"/>
      <c r="BT117"/>
      <c r="BU117"/>
      <c r="BV117"/>
      <c r="BW117"/>
      <c r="BX117"/>
      <c r="BY117"/>
      <c r="BZ117"/>
    </row>
    <row r="118" spans="1:78" s="9" customFormat="1" x14ac:dyDescent="0.2">
      <c r="A118" s="135"/>
      <c r="B118" t="s">
        <v>581</v>
      </c>
      <c r="C118" s="134"/>
      <c r="D118" s="134">
        <v>939</v>
      </c>
      <c r="G118" s="134"/>
      <c r="H118" s="134"/>
      <c r="I118" s="160"/>
      <c r="K118" s="33"/>
      <c r="L118" s="33"/>
      <c r="M118" s="33"/>
      <c r="N118" s="33"/>
      <c r="O118" s="70"/>
      <c r="P118" s="33"/>
      <c r="Q118" s="33">
        <v>254</v>
      </c>
      <c r="R118" s="70"/>
      <c r="S118" s="70"/>
      <c r="T118" s="70"/>
      <c r="U118" s="70"/>
      <c r="V118" s="70"/>
      <c r="X118" s="33">
        <f>SUM(D118+Q118)</f>
        <v>1193</v>
      </c>
      <c r="Y118" s="70"/>
      <c r="Z118" s="70"/>
      <c r="AA118" s="33"/>
      <c r="AB118" s="33"/>
      <c r="AC118" s="33"/>
      <c r="AF118" s="70"/>
      <c r="AG118" s="70"/>
      <c r="AH118" s="70"/>
      <c r="AI118" s="70"/>
      <c r="AJ118" s="33"/>
      <c r="AL118" s="70" t="s">
        <v>383</v>
      </c>
      <c r="AM118" s="33"/>
      <c r="AP118" s="70">
        <v>0</v>
      </c>
      <c r="AQ118" s="33"/>
      <c r="AR118" s="33"/>
      <c r="AS118" s="33"/>
      <c r="AY118"/>
      <c r="AZ118"/>
      <c r="BA118"/>
      <c r="BB118"/>
      <c r="BC118"/>
      <c r="BD118"/>
      <c r="BE118"/>
      <c r="BG118" s="70"/>
      <c r="BH118"/>
      <c r="BJ118" s="70"/>
      <c r="BK118" s="70"/>
      <c r="BL118" s="70"/>
      <c r="BM118" s="33"/>
      <c r="BN118" s="33"/>
      <c r="BT118"/>
      <c r="BU118"/>
      <c r="BV118"/>
      <c r="BW118"/>
      <c r="BX118"/>
      <c r="BY118"/>
      <c r="BZ118"/>
    </row>
    <row r="119" spans="1:78" s="9" customFormat="1" x14ac:dyDescent="0.2">
      <c r="A119" s="135"/>
      <c r="B119" t="s">
        <v>582</v>
      </c>
      <c r="C119" s="134"/>
      <c r="D119" s="134">
        <v>0</v>
      </c>
      <c r="G119" s="134"/>
      <c r="H119" s="134"/>
      <c r="I119" s="160"/>
      <c r="K119" s="33"/>
      <c r="L119" s="33"/>
      <c r="M119" s="33"/>
      <c r="N119" s="33"/>
      <c r="O119" s="70"/>
      <c r="P119" s="33"/>
      <c r="Q119" s="33">
        <v>0</v>
      </c>
      <c r="R119" s="70"/>
      <c r="S119" s="70"/>
      <c r="T119" s="70"/>
      <c r="U119" s="70"/>
      <c r="V119" s="70"/>
      <c r="X119" s="33">
        <f>SUM(D119+Q119)</f>
        <v>0</v>
      </c>
      <c r="Y119" s="70"/>
      <c r="Z119" s="70"/>
      <c r="AA119" s="33"/>
      <c r="AB119" s="33"/>
      <c r="AC119" s="33"/>
      <c r="AF119" s="70"/>
      <c r="AG119" s="70"/>
      <c r="AH119" s="70"/>
      <c r="AI119" s="70"/>
      <c r="AJ119" s="33"/>
      <c r="AL119" s="70" t="s">
        <v>699</v>
      </c>
      <c r="AP119" s="70">
        <f>17000-17000</f>
        <v>0</v>
      </c>
      <c r="BG119" s="70"/>
      <c r="BJ119" s="70"/>
      <c r="BK119" s="70"/>
      <c r="BL119" s="70"/>
      <c r="BM119" s="33"/>
      <c r="BN119" s="33"/>
      <c r="BT119"/>
      <c r="BU119"/>
      <c r="BV119"/>
      <c r="BW119"/>
      <c r="BX119"/>
      <c r="BY119"/>
      <c r="BZ119"/>
    </row>
    <row r="120" spans="1:78" s="9" customFormat="1" x14ac:dyDescent="0.2">
      <c r="A120" s="135"/>
      <c r="B120" t="s">
        <v>583</v>
      </c>
      <c r="C120" s="134"/>
      <c r="D120" s="134">
        <v>0</v>
      </c>
      <c r="G120" s="134"/>
      <c r="H120" s="134"/>
      <c r="I120" s="160"/>
      <c r="K120" s="33"/>
      <c r="L120" s="33"/>
      <c r="M120" s="33"/>
      <c r="N120" s="33"/>
      <c r="O120" s="70"/>
      <c r="P120" s="33"/>
      <c r="Q120" s="33">
        <v>0</v>
      </c>
      <c r="R120" s="70"/>
      <c r="S120" s="70"/>
      <c r="T120" s="70"/>
      <c r="U120" s="70"/>
      <c r="V120" s="70"/>
      <c r="X120" s="33">
        <f>SUM(D120+Q120)</f>
        <v>0</v>
      </c>
      <c r="Y120" s="70"/>
      <c r="Z120" s="70"/>
      <c r="AA120" s="33"/>
      <c r="AB120" s="33"/>
      <c r="AC120" s="33"/>
      <c r="AF120" s="70"/>
      <c r="AG120" s="70"/>
      <c r="AH120" s="70"/>
      <c r="AI120" s="70"/>
      <c r="AJ120" s="33"/>
      <c r="AL120" s="70" t="s">
        <v>579</v>
      </c>
      <c r="AP120" s="70">
        <v>0</v>
      </c>
      <c r="BG120" s="70"/>
      <c r="BH120"/>
      <c r="BJ120" s="70"/>
      <c r="BK120" s="70"/>
      <c r="BL120" s="70"/>
      <c r="BM120" s="33"/>
      <c r="BN120" s="33"/>
      <c r="BT120"/>
      <c r="BU120"/>
      <c r="BV120"/>
      <c r="BW120"/>
      <c r="BX120"/>
      <c r="BY120"/>
      <c r="BZ120"/>
    </row>
    <row r="121" spans="1:78" s="9" customFormat="1" x14ac:dyDescent="0.2">
      <c r="A121" s="135"/>
      <c r="X121" s="33"/>
      <c r="Y121" s="70"/>
      <c r="Z121" s="70"/>
      <c r="AA121" s="33"/>
      <c r="AB121" s="33"/>
      <c r="AC121" s="33"/>
      <c r="AF121" s="70"/>
      <c r="AG121" s="70"/>
      <c r="AH121" s="70"/>
      <c r="AI121" s="70"/>
      <c r="AJ121" s="33"/>
      <c r="AL121" s="70" t="s">
        <v>716</v>
      </c>
      <c r="AP121" s="70">
        <v>267</v>
      </c>
      <c r="BG121" s="70"/>
      <c r="BJ121" s="70"/>
      <c r="BK121" s="70"/>
      <c r="BL121" s="70"/>
      <c r="BM121" s="33"/>
      <c r="BN121" s="33"/>
      <c r="BT121"/>
      <c r="BU121"/>
      <c r="BV121"/>
      <c r="BW121"/>
      <c r="BX121"/>
      <c r="BY121"/>
      <c r="BZ121"/>
    </row>
    <row r="122" spans="1:78" s="9" customFormat="1" x14ac:dyDescent="0.2">
      <c r="A122" s="135"/>
      <c r="B122" t="s">
        <v>613</v>
      </c>
      <c r="C122" s="134"/>
      <c r="D122" s="134">
        <v>0</v>
      </c>
      <c r="G122" s="134"/>
      <c r="H122" s="134"/>
      <c r="I122" s="160"/>
      <c r="K122" s="33"/>
      <c r="L122" s="33"/>
      <c r="M122" s="33"/>
      <c r="N122" s="33"/>
      <c r="O122" s="70"/>
      <c r="P122" s="33"/>
      <c r="Q122" s="33">
        <v>0</v>
      </c>
      <c r="R122" s="70"/>
      <c r="S122" s="70"/>
      <c r="T122" s="70"/>
      <c r="U122" s="70"/>
      <c r="V122" s="70"/>
      <c r="X122" s="33">
        <f>SUM(D122+Q122)</f>
        <v>0</v>
      </c>
      <c r="Y122" s="70"/>
      <c r="Z122" s="70"/>
      <c r="AA122" s="33"/>
      <c r="AB122" s="33"/>
      <c r="AC122" s="33"/>
      <c r="AF122" s="70"/>
      <c r="AG122" s="70"/>
      <c r="AH122" s="70"/>
      <c r="AI122" s="70"/>
      <c r="AJ122" s="33"/>
      <c r="AL122" s="70" t="s">
        <v>424</v>
      </c>
      <c r="AM122" s="33"/>
      <c r="AP122" s="70">
        <v>316</v>
      </c>
      <c r="AQ122" s="33"/>
      <c r="AR122" s="33"/>
      <c r="AS122" s="33"/>
      <c r="AY122"/>
      <c r="AZ122"/>
      <c r="BA122"/>
      <c r="BB122"/>
      <c r="BC122"/>
      <c r="BD122"/>
      <c r="BE122"/>
      <c r="BG122" s="70"/>
      <c r="BJ122" s="70"/>
      <c r="BK122" s="70"/>
      <c r="BL122" s="70"/>
      <c r="BM122" s="33"/>
      <c r="BN122" s="33"/>
      <c r="BT122"/>
      <c r="BU122"/>
      <c r="BV122"/>
      <c r="BW122"/>
      <c r="BX122"/>
      <c r="BY122"/>
      <c r="BZ122"/>
    </row>
    <row r="123" spans="1:78" s="9" customFormat="1" x14ac:dyDescent="0.2">
      <c r="A123" s="135"/>
      <c r="B123" t="s">
        <v>624</v>
      </c>
      <c r="C123" s="134"/>
      <c r="D123" s="134">
        <v>5100</v>
      </c>
      <c r="G123" s="134"/>
      <c r="H123" s="134"/>
      <c r="I123" s="160"/>
      <c r="K123" s="33"/>
      <c r="L123" s="33"/>
      <c r="M123" s="33"/>
      <c r="N123" s="33"/>
      <c r="O123" s="70"/>
      <c r="P123" s="33"/>
      <c r="Q123" s="33">
        <v>1377</v>
      </c>
      <c r="R123" s="70"/>
      <c r="S123" s="70"/>
      <c r="T123" s="70"/>
      <c r="U123" s="70"/>
      <c r="V123" s="70"/>
      <c r="X123" s="33">
        <f>SUM(D123+Q123)</f>
        <v>6477</v>
      </c>
      <c r="Y123" s="70"/>
      <c r="Z123" s="70"/>
      <c r="AA123" s="33"/>
      <c r="AB123" s="33"/>
      <c r="AC123" s="33"/>
      <c r="AF123" s="70"/>
      <c r="AG123" s="70"/>
      <c r="AH123" s="70"/>
      <c r="AI123" s="70"/>
      <c r="AJ123" s="33"/>
      <c r="BH123"/>
      <c r="BJ123" s="70"/>
      <c r="BK123" s="70"/>
      <c r="BL123" s="70"/>
      <c r="BM123" s="33"/>
      <c r="BN123" s="33"/>
      <c r="BT123"/>
      <c r="BU123"/>
      <c r="BV123"/>
      <c r="BW123"/>
      <c r="BX123"/>
      <c r="BY123"/>
      <c r="BZ123"/>
    </row>
    <row r="124" spans="1:78" s="9" customFormat="1" x14ac:dyDescent="0.2">
      <c r="A124" s="135"/>
      <c r="B124" t="s">
        <v>625</v>
      </c>
      <c r="C124" s="134"/>
      <c r="D124" s="134">
        <v>0</v>
      </c>
      <c r="G124"/>
      <c r="H124"/>
      <c r="I124"/>
      <c r="K124" s="33"/>
      <c r="L124" s="33"/>
      <c r="O124"/>
      <c r="P124" s="33"/>
      <c r="Q124" s="33">
        <v>0</v>
      </c>
      <c r="R124" s="70"/>
      <c r="S124" s="70"/>
      <c r="T124" s="70"/>
      <c r="U124" s="70"/>
      <c r="V124" s="70"/>
      <c r="X124" s="33">
        <f>SUM(D124+Q124)</f>
        <v>0</v>
      </c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L124" s="282" t="s">
        <v>41</v>
      </c>
      <c r="AM124" s="33"/>
      <c r="AP124" s="282">
        <f>SUM(AP117:AP122)</f>
        <v>583</v>
      </c>
      <c r="AQ124" s="33"/>
      <c r="AR124" s="33"/>
      <c r="AS124" s="33"/>
      <c r="AY124"/>
      <c r="AZ124"/>
      <c r="BA124"/>
      <c r="BB124"/>
      <c r="BC124"/>
      <c r="BD124"/>
      <c r="BE124"/>
      <c r="BG124" s="282"/>
      <c r="BJ124" s="70"/>
      <c r="BK124" s="70"/>
      <c r="BL124" s="70"/>
      <c r="BM124" s="70"/>
      <c r="BN124" s="70"/>
      <c r="BO124"/>
      <c r="BP124"/>
      <c r="BQ124"/>
      <c r="BR124"/>
      <c r="BS124"/>
      <c r="BT124"/>
      <c r="BU124"/>
      <c r="BV124"/>
      <c r="BW124"/>
      <c r="BX124"/>
      <c r="BY124"/>
      <c r="BZ124"/>
    </row>
    <row r="125" spans="1:78" s="9" customFormat="1" x14ac:dyDescent="0.2">
      <c r="A125" s="135"/>
      <c r="X125" s="33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/>
      <c r="AS125"/>
      <c r="AT125" s="134"/>
      <c r="AU125" s="134"/>
      <c r="AX125" s="134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  <c r="BJ125" s="33"/>
      <c r="BK125" s="33"/>
      <c r="BL125" s="33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</row>
    <row r="126" spans="1:78" s="9" customFormat="1" x14ac:dyDescent="0.2">
      <c r="A126" s="135"/>
      <c r="B126" s="189" t="s">
        <v>681</v>
      </c>
      <c r="C126" s="134"/>
      <c r="D126" s="134">
        <v>950</v>
      </c>
      <c r="E126" s="134"/>
      <c r="G126"/>
      <c r="H126"/>
      <c r="I126"/>
      <c r="K126" s="33"/>
      <c r="L126" s="33"/>
      <c r="O126"/>
      <c r="P126" s="33"/>
      <c r="Q126" s="33">
        <v>257</v>
      </c>
      <c r="R126"/>
      <c r="S126"/>
      <c r="T126"/>
      <c r="U126"/>
      <c r="V126"/>
      <c r="X126" s="33">
        <f>SUM(D126+Q126)</f>
        <v>1207</v>
      </c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/>
      <c r="AS126"/>
      <c r="AT126" s="134"/>
      <c r="AU126" s="134"/>
      <c r="AX126" s="134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  <c r="BI126" s="70"/>
      <c r="BJ126" s="33"/>
      <c r="BK126" s="33"/>
      <c r="BL126" s="33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</row>
    <row r="127" spans="1:78" s="9" customFormat="1" x14ac:dyDescent="0.2">
      <c r="A127" s="135"/>
      <c r="B127"/>
      <c r="C127" s="134"/>
      <c r="D127" s="134"/>
      <c r="G127" s="134"/>
      <c r="H127" s="134"/>
      <c r="I127" s="160"/>
      <c r="K127" s="33"/>
      <c r="L127" s="33"/>
      <c r="M127" s="33"/>
      <c r="N127" s="33"/>
      <c r="O127" s="70"/>
      <c r="P127" s="33"/>
      <c r="Q127" s="33"/>
      <c r="R127" s="70"/>
      <c r="S127" s="70"/>
      <c r="T127" s="70"/>
      <c r="U127" s="70"/>
      <c r="V127" s="70"/>
      <c r="X127" s="33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/>
      <c r="AS127"/>
      <c r="AT127" s="134"/>
      <c r="AU127" s="134"/>
      <c r="AX127" s="134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  <c r="BI127" s="70"/>
      <c r="BJ127" s="33"/>
      <c r="BK127" s="33"/>
      <c r="BL127" s="33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</row>
    <row r="128" spans="1:78" s="9" customFormat="1" x14ac:dyDescent="0.2">
      <c r="A128" s="135"/>
      <c r="B128" s="189" t="s">
        <v>682</v>
      </c>
      <c r="C128" s="134"/>
      <c r="D128" s="134">
        <v>300</v>
      </c>
      <c r="G128"/>
      <c r="H128"/>
      <c r="I128"/>
      <c r="K128" s="33"/>
      <c r="L128" s="33"/>
      <c r="O128"/>
      <c r="P128" s="33"/>
      <c r="Q128" s="33">
        <v>81</v>
      </c>
      <c r="R128"/>
      <c r="S128"/>
      <c r="T128"/>
      <c r="U128"/>
      <c r="V128"/>
      <c r="X128" s="33">
        <f>SUM(D128+Q128)</f>
        <v>381</v>
      </c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/>
      <c r="AS128"/>
      <c r="AT128" s="134"/>
      <c r="AU128" s="134"/>
      <c r="AX128" s="134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  <c r="BI128" s="70"/>
      <c r="BJ128" s="33"/>
      <c r="BK128" s="33"/>
      <c r="BL128" s="33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</row>
    <row r="129" spans="1:79" s="9" customFormat="1" x14ac:dyDescent="0.2">
      <c r="A129" s="135"/>
      <c r="C129" s="134"/>
      <c r="D129" s="134"/>
      <c r="X129" s="33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/>
      <c r="AS129"/>
      <c r="AT129" s="134"/>
      <c r="AU129" s="134"/>
      <c r="AX129" s="134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  <c r="BI129" s="70"/>
      <c r="BJ129" s="33"/>
      <c r="BK129" s="33"/>
      <c r="BL129" s="33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</row>
    <row r="130" spans="1:79" s="9" customFormat="1" x14ac:dyDescent="0.2">
      <c r="A130" s="135"/>
      <c r="B130" s="189" t="s">
        <v>710</v>
      </c>
      <c r="C130" s="134"/>
      <c r="D130" s="134">
        <v>650</v>
      </c>
      <c r="G130"/>
      <c r="H130"/>
      <c r="I130"/>
      <c r="K130" s="33"/>
      <c r="L130" s="33"/>
      <c r="O130"/>
      <c r="P130" s="33"/>
      <c r="Q130" s="33">
        <v>176</v>
      </c>
      <c r="R130"/>
      <c r="S130"/>
      <c r="T130"/>
      <c r="U130"/>
      <c r="V130"/>
      <c r="X130" s="33">
        <f>SUM(D130+Q130)</f>
        <v>826</v>
      </c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/>
      <c r="AS130"/>
      <c r="AT130" s="134"/>
      <c r="AU130" s="134"/>
      <c r="AX130" s="134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33"/>
      <c r="BK130" s="33"/>
      <c r="BL130" s="33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</row>
    <row r="131" spans="1:79" s="9" customFormat="1" x14ac:dyDescent="0.2">
      <c r="A131" s="135"/>
      <c r="B131" s="189" t="s">
        <v>711</v>
      </c>
      <c r="C131" s="134"/>
      <c r="D131" s="134">
        <v>2300</v>
      </c>
      <c r="G131"/>
      <c r="H131"/>
      <c r="I131"/>
      <c r="K131" s="33"/>
      <c r="L131" s="33"/>
      <c r="O131"/>
      <c r="P131" s="33"/>
      <c r="Q131" s="33">
        <v>621</v>
      </c>
      <c r="R131"/>
      <c r="S131"/>
      <c r="T131"/>
      <c r="U131"/>
      <c r="V131"/>
      <c r="X131" s="33">
        <f>SUM(D131+Q131)</f>
        <v>2921</v>
      </c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/>
      <c r="AS131"/>
      <c r="AT131" s="134"/>
      <c r="AU131" s="134"/>
      <c r="AX131" s="134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  <c r="BI131" s="70"/>
      <c r="BJ131" s="33"/>
      <c r="BK131" s="33"/>
      <c r="BL131" s="33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</row>
    <row r="132" spans="1:79" s="371" customFormat="1" x14ac:dyDescent="0.2">
      <c r="A132" s="369"/>
      <c r="B132" s="189" t="s">
        <v>712</v>
      </c>
      <c r="C132" s="134"/>
      <c r="D132" s="134">
        <v>0</v>
      </c>
      <c r="E132" s="9"/>
      <c r="F132" s="9"/>
      <c r="G132"/>
      <c r="H132"/>
      <c r="I132"/>
      <c r="J132" s="9"/>
      <c r="K132" s="33"/>
      <c r="L132" s="33"/>
      <c r="M132" s="9"/>
      <c r="N132" s="9"/>
      <c r="O132"/>
      <c r="P132" s="33"/>
      <c r="Q132" s="33">
        <v>0</v>
      </c>
      <c r="R132"/>
      <c r="S132"/>
      <c r="T132"/>
      <c r="U132"/>
      <c r="V132"/>
      <c r="X132" s="33">
        <f>SUM(D132+Q132)</f>
        <v>0</v>
      </c>
      <c r="Y132" s="373"/>
      <c r="Z132" s="373"/>
      <c r="AA132" s="373"/>
      <c r="AB132" s="373"/>
      <c r="AC132" s="373"/>
      <c r="AD132" s="373"/>
      <c r="AE132" s="373"/>
      <c r="AF132" s="373"/>
      <c r="AG132" s="373"/>
      <c r="AH132" s="373"/>
      <c r="AI132" s="373"/>
      <c r="AJ132" s="373"/>
      <c r="AK132" s="373"/>
      <c r="AL132" s="373"/>
      <c r="AM132" s="373"/>
      <c r="AN132" s="373"/>
      <c r="AO132" s="373"/>
      <c r="AP132" s="373"/>
      <c r="AQ132" s="373"/>
      <c r="AR132" s="189"/>
      <c r="AS132" s="189"/>
      <c r="AT132" s="370"/>
      <c r="AU132" s="370"/>
      <c r="AX132" s="370"/>
      <c r="AY132" s="373"/>
      <c r="AZ132" s="373"/>
      <c r="BA132" s="373"/>
      <c r="BB132" s="373"/>
      <c r="BC132" s="373"/>
      <c r="BD132" s="373"/>
      <c r="BE132" s="373"/>
      <c r="BF132" s="373"/>
      <c r="BG132" s="373"/>
      <c r="BH132" s="373"/>
      <c r="BI132" s="373"/>
      <c r="BJ132" s="372"/>
      <c r="BK132" s="372"/>
      <c r="BL132" s="372"/>
      <c r="BM132" s="189"/>
      <c r="BN132" s="189"/>
      <c r="BO132" s="189"/>
      <c r="BP132" s="189"/>
      <c r="BQ132" s="189"/>
      <c r="BR132" s="189"/>
      <c r="BS132" s="189"/>
      <c r="BT132" s="189"/>
      <c r="BU132" s="189"/>
      <c r="BV132" s="189"/>
      <c r="BW132" s="189"/>
      <c r="BX132" s="189"/>
      <c r="BY132" s="189"/>
      <c r="BZ132" s="189"/>
      <c r="CA132" s="9"/>
    </row>
    <row r="133" spans="1:79" s="371" customFormat="1" x14ac:dyDescent="0.2">
      <c r="A133" s="369"/>
      <c r="B133" s="189" t="s">
        <v>806</v>
      </c>
      <c r="C133" s="134"/>
      <c r="D133" s="134">
        <v>775</v>
      </c>
      <c r="E133" s="9"/>
      <c r="F133" s="9"/>
      <c r="G133"/>
      <c r="H133"/>
      <c r="I133"/>
      <c r="J133" s="9"/>
      <c r="K133" s="33"/>
      <c r="L133" s="33"/>
      <c r="M133" s="9"/>
      <c r="N133" s="9"/>
      <c r="O133"/>
      <c r="P133" s="33"/>
      <c r="Q133" s="33">
        <v>209</v>
      </c>
      <c r="R133"/>
      <c r="S133"/>
      <c r="T133"/>
      <c r="U133"/>
      <c r="V133"/>
      <c r="X133" s="33">
        <f>SUM(D133+Q133)</f>
        <v>984</v>
      </c>
      <c r="Y133" s="373"/>
      <c r="Z133" s="373"/>
      <c r="AA133" s="373"/>
      <c r="AB133" s="373"/>
      <c r="AC133" s="373"/>
      <c r="AD133" s="373"/>
      <c r="AE133" s="373"/>
      <c r="AF133" s="373"/>
      <c r="AG133" s="373"/>
      <c r="AH133" s="373"/>
      <c r="AI133" s="373"/>
      <c r="AJ133" s="373"/>
      <c r="AK133" s="373"/>
      <c r="AL133" s="373"/>
      <c r="AM133" s="373"/>
      <c r="AN133" s="373"/>
      <c r="AO133" s="373"/>
      <c r="AP133" s="373"/>
      <c r="AQ133" s="373"/>
      <c r="AR133" s="189"/>
      <c r="AS133" s="189"/>
      <c r="AT133" s="370"/>
      <c r="AU133" s="370"/>
      <c r="AX133" s="370"/>
      <c r="AY133" s="373"/>
      <c r="AZ133" s="373"/>
      <c r="BA133" s="373"/>
      <c r="BB133" s="373"/>
      <c r="BC133" s="373"/>
      <c r="BD133" s="373"/>
      <c r="BE133" s="373"/>
      <c r="BF133" s="373"/>
      <c r="BG133" s="373"/>
      <c r="BH133" s="373"/>
      <c r="BI133" s="373"/>
      <c r="BJ133" s="372"/>
      <c r="BK133" s="372"/>
      <c r="BL133" s="372"/>
      <c r="BM133" s="189"/>
      <c r="BN133" s="189"/>
      <c r="BO133" s="189"/>
      <c r="BP133" s="189"/>
      <c r="BQ133" s="189"/>
      <c r="BR133" s="189"/>
      <c r="BS133" s="189"/>
      <c r="BT133" s="189"/>
      <c r="BU133" s="189"/>
      <c r="BV133" s="189"/>
      <c r="BW133" s="189"/>
      <c r="BX133" s="189"/>
      <c r="BY133" s="189"/>
      <c r="BZ133" s="189"/>
      <c r="CA133" s="9"/>
    </row>
    <row r="134" spans="1:79" s="9" customFormat="1" x14ac:dyDescent="0.2">
      <c r="A134" s="135"/>
      <c r="B134" s="189"/>
      <c r="C134" s="189"/>
      <c r="D134" s="189"/>
      <c r="G134"/>
      <c r="H134"/>
      <c r="I134"/>
      <c r="K134" s="33"/>
      <c r="L134" s="33"/>
      <c r="O134"/>
      <c r="P134" s="33"/>
      <c r="Q134" s="33"/>
      <c r="R134"/>
      <c r="S134"/>
      <c r="T134"/>
      <c r="U134"/>
      <c r="V134"/>
      <c r="X134" s="33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/>
      <c r="AS134"/>
      <c r="AT134" s="134"/>
      <c r="AU134" s="134"/>
      <c r="AX134" s="134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  <c r="BI134" s="70"/>
      <c r="BJ134" s="33"/>
      <c r="BK134" s="33"/>
      <c r="BL134" s="33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</row>
    <row r="135" spans="1:79" s="9" customFormat="1" x14ac:dyDescent="0.2">
      <c r="A135" s="135"/>
      <c r="B135" t="s">
        <v>703</v>
      </c>
      <c r="C135" s="134"/>
      <c r="D135" s="134">
        <v>900</v>
      </c>
      <c r="E135" s="134"/>
      <c r="G135"/>
      <c r="H135"/>
      <c r="I135"/>
      <c r="K135" s="33"/>
      <c r="L135" s="33"/>
      <c r="O135"/>
      <c r="P135" s="33"/>
      <c r="Q135" s="33">
        <v>243</v>
      </c>
      <c r="R135"/>
      <c r="S135"/>
      <c r="T135"/>
      <c r="U135"/>
      <c r="V135"/>
      <c r="X135" s="33">
        <f>SUM(D135+Q135)</f>
        <v>1143</v>
      </c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/>
      <c r="AS135"/>
      <c r="AT135" s="134"/>
      <c r="AU135" s="134"/>
      <c r="AX135" s="134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33"/>
      <c r="BK135" s="33"/>
      <c r="BL135" s="33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</row>
    <row r="136" spans="1:79" s="9" customFormat="1" x14ac:dyDescent="0.2">
      <c r="A136" s="135"/>
      <c r="B136" s="189"/>
      <c r="C136" s="189"/>
      <c r="D136" s="189"/>
      <c r="E136" s="134"/>
      <c r="G136"/>
      <c r="H136"/>
      <c r="I136"/>
      <c r="K136" s="33"/>
      <c r="L136" s="33"/>
      <c r="O136"/>
      <c r="P136" s="33"/>
      <c r="Q136" s="33"/>
      <c r="R136"/>
      <c r="S136"/>
      <c r="T136"/>
      <c r="U136"/>
      <c r="V136"/>
      <c r="X136" s="33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/>
      <c r="AS136"/>
      <c r="AT136" s="134"/>
      <c r="AU136" s="134"/>
      <c r="AX136" s="134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33"/>
      <c r="BK136" s="33"/>
      <c r="BL136" s="33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</row>
    <row r="137" spans="1:79" s="9" customFormat="1" x14ac:dyDescent="0.2">
      <c r="A137" s="135"/>
      <c r="B137" s="189" t="s">
        <v>709</v>
      </c>
      <c r="C137" s="134"/>
      <c r="D137" s="134">
        <v>3134</v>
      </c>
      <c r="E137" s="134"/>
      <c r="G137"/>
      <c r="H137"/>
      <c r="I137"/>
      <c r="K137" s="33"/>
      <c r="L137" s="33"/>
      <c r="O137"/>
      <c r="P137" s="33"/>
      <c r="Q137" s="33">
        <v>0</v>
      </c>
      <c r="R137"/>
      <c r="S137"/>
      <c r="T137"/>
      <c r="U137"/>
      <c r="V137"/>
      <c r="X137" s="33">
        <f>SUM(D137+Q137)</f>
        <v>3134</v>
      </c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/>
      <c r="AS137"/>
      <c r="AT137" s="134"/>
      <c r="AU137" s="134"/>
      <c r="AX137" s="134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33"/>
      <c r="BK137" s="33"/>
      <c r="BL137" s="33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</row>
    <row r="138" spans="1:79" s="9" customFormat="1" x14ac:dyDescent="0.2">
      <c r="A138" s="135"/>
      <c r="B138" s="189"/>
      <c r="C138" s="134"/>
      <c r="D138" s="134"/>
      <c r="G138"/>
      <c r="H138"/>
      <c r="I138"/>
      <c r="K138" s="33"/>
      <c r="L138" s="33"/>
      <c r="O138"/>
      <c r="P138" s="33"/>
      <c r="Q138" s="33"/>
      <c r="R138"/>
      <c r="S138"/>
      <c r="T138"/>
      <c r="U138"/>
      <c r="V138"/>
      <c r="X138" s="33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</row>
    <row r="139" spans="1:79" s="9" customFormat="1" hidden="1" x14ac:dyDescent="0.2">
      <c r="A139" s="135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</row>
    <row r="140" spans="1:79" s="9" customFormat="1" hidden="1" x14ac:dyDescent="0.2">
      <c r="A140" s="135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</row>
    <row r="141" spans="1:79" s="9" customFormat="1" hidden="1" x14ac:dyDescent="0.2">
      <c r="A141" s="135"/>
      <c r="B141" s="189"/>
      <c r="C141" s="378"/>
      <c r="D141" s="378"/>
      <c r="G141"/>
      <c r="H141"/>
      <c r="I141"/>
      <c r="K141" s="33"/>
      <c r="L141" s="33"/>
      <c r="O141"/>
      <c r="P141" s="33"/>
      <c r="Q141" s="33"/>
      <c r="R141"/>
      <c r="S141"/>
      <c r="T141"/>
      <c r="U141"/>
      <c r="V141"/>
      <c r="X141" s="33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</row>
    <row r="142" spans="1:79" s="9" customFormat="1" hidden="1" x14ac:dyDescent="0.2">
      <c r="A142" s="135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</row>
    <row r="143" spans="1:79" s="9" customFormat="1" hidden="1" x14ac:dyDescent="0.2">
      <c r="A143" s="135"/>
      <c r="B143" s="189"/>
      <c r="C143" s="378"/>
      <c r="D143" s="378"/>
      <c r="G143"/>
      <c r="H143"/>
      <c r="I143"/>
      <c r="K143" s="33"/>
      <c r="L143" s="33"/>
      <c r="O143"/>
      <c r="P143" s="33"/>
      <c r="Q143" s="33"/>
      <c r="R143"/>
      <c r="S143"/>
      <c r="T143"/>
      <c r="U143"/>
      <c r="V143"/>
      <c r="X143" s="33"/>
      <c r="Y143"/>
      <c r="Z143"/>
      <c r="AA143"/>
      <c r="AB143"/>
      <c r="AC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</row>
    <row r="144" spans="1:79" s="9" customFormat="1" hidden="1" x14ac:dyDescent="0.2">
      <c r="A144" s="135"/>
      <c r="Y144"/>
      <c r="Z144"/>
      <c r="AA144"/>
      <c r="AB144"/>
      <c r="AC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</row>
    <row r="145" spans="1:79" s="9" customFormat="1" hidden="1" x14ac:dyDescent="0.2">
      <c r="A145" s="135"/>
      <c r="Y145"/>
      <c r="Z145"/>
      <c r="AA145"/>
      <c r="AB145"/>
      <c r="AC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</row>
    <row r="146" spans="1:79" s="9" customFormat="1" hidden="1" x14ac:dyDescent="0.2">
      <c r="A146" s="135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</row>
    <row r="147" spans="1:79" s="9" customFormat="1" hidden="1" x14ac:dyDescent="0.2">
      <c r="A147" s="135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</row>
    <row r="148" spans="1:79" s="9" customFormat="1" hidden="1" x14ac:dyDescent="0.2">
      <c r="A148" s="135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</row>
    <row r="149" spans="1:79" s="9" customFormat="1" hidden="1" x14ac:dyDescent="0.2">
      <c r="A149" s="135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</row>
    <row r="150" spans="1:79" s="9" customFormat="1" hidden="1" x14ac:dyDescent="0.2">
      <c r="A150" s="135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</row>
    <row r="151" spans="1:79" s="9" customFormat="1" hidden="1" x14ac:dyDescent="0.2">
      <c r="A151" s="135"/>
      <c r="B151" s="189"/>
      <c r="C151" s="378"/>
      <c r="D151" s="378"/>
      <c r="E151" s="134"/>
      <c r="G151"/>
      <c r="H151"/>
      <c r="I151"/>
      <c r="K151" s="33"/>
      <c r="L151" s="33"/>
      <c r="O151"/>
      <c r="P151" s="33"/>
      <c r="Q151" s="33"/>
      <c r="R151"/>
      <c r="S151"/>
      <c r="T151"/>
      <c r="U151"/>
      <c r="V151"/>
      <c r="X151" s="33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</row>
    <row r="152" spans="1:79" s="9" customFormat="1" hidden="1" x14ac:dyDescent="0.2">
      <c r="A152" s="135"/>
      <c r="B152" s="189"/>
      <c r="C152" s="134"/>
      <c r="D152" s="134"/>
      <c r="E152" s="134"/>
      <c r="G152"/>
      <c r="H152"/>
      <c r="I152"/>
      <c r="K152" s="33"/>
      <c r="L152" s="33"/>
      <c r="O152"/>
      <c r="P152" s="33"/>
      <c r="Q152" s="33"/>
      <c r="R152"/>
      <c r="S152"/>
      <c r="T152"/>
      <c r="U152"/>
      <c r="V152"/>
      <c r="X152" s="33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</row>
    <row r="153" spans="1:79" s="9" customFormat="1" hidden="1" x14ac:dyDescent="0.2">
      <c r="A153" s="135"/>
      <c r="B153"/>
      <c r="C153" s="134"/>
      <c r="D153" s="134"/>
      <c r="E153"/>
      <c r="G153"/>
      <c r="H153"/>
      <c r="I153"/>
      <c r="K153" s="33"/>
      <c r="L153" s="33"/>
      <c r="O153"/>
      <c r="P153" s="33"/>
      <c r="Q153" s="33"/>
      <c r="R153"/>
      <c r="S153"/>
      <c r="T153"/>
      <c r="U153"/>
      <c r="V153"/>
      <c r="X153" s="3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</row>
    <row r="154" spans="1:79" s="9" customFormat="1" ht="13.5" thickBot="1" x14ac:dyDescent="0.25">
      <c r="A154" s="135"/>
      <c r="B154"/>
      <c r="C154" s="134"/>
      <c r="D154" s="134"/>
      <c r="E154"/>
      <c r="G154"/>
      <c r="H154"/>
      <c r="I154"/>
      <c r="K154" s="33"/>
      <c r="L154" s="33"/>
      <c r="O154"/>
      <c r="P154" s="33"/>
      <c r="Q154" s="33"/>
      <c r="R154"/>
      <c r="S154"/>
      <c r="T154"/>
      <c r="U154"/>
      <c r="V154"/>
      <c r="X154" s="33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</row>
    <row r="155" spans="1:79" s="9" customFormat="1" ht="13.5" thickBot="1" x14ac:dyDescent="0.25">
      <c r="A155" s="135"/>
      <c r="B155" s="242" t="s">
        <v>41</v>
      </c>
      <c r="C155" s="161"/>
      <c r="D155" s="161">
        <f>SUM(D116:D154)</f>
        <v>16273</v>
      </c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7">
        <f>SUM(Q116:Q154)</f>
        <v>3549</v>
      </c>
      <c r="X155" s="134">
        <f>SUM(C155:Q155)</f>
        <v>19822</v>
      </c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</row>
    <row r="156" spans="1:79" hidden="1" x14ac:dyDescent="0.2">
      <c r="W156" s="33">
        <f>SUM(C155:P155)</f>
        <v>16273</v>
      </c>
      <c r="X156" s="33"/>
    </row>
    <row r="159" spans="1:79" x14ac:dyDescent="0.2">
      <c r="J159"/>
      <c r="K159"/>
      <c r="L159"/>
      <c r="M159"/>
      <c r="N159"/>
    </row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</sheetData>
  <mergeCells count="19">
    <mergeCell ref="A9:A10"/>
    <mergeCell ref="B9:B10"/>
    <mergeCell ref="C9:I9"/>
    <mergeCell ref="BT9:BZ9"/>
    <mergeCell ref="J9:O9"/>
    <mergeCell ref="P9:V9"/>
    <mergeCell ref="W9:AC9"/>
    <mergeCell ref="AY9:BE9"/>
    <mergeCell ref="AD9:AJ9"/>
    <mergeCell ref="AK9:AQ9"/>
    <mergeCell ref="AR9:AX9"/>
    <mergeCell ref="BF9:BL9"/>
    <mergeCell ref="BM9:BS9"/>
    <mergeCell ref="B5:AJ5"/>
    <mergeCell ref="B6:AJ6"/>
    <mergeCell ref="B7:AJ7"/>
    <mergeCell ref="AK5:BZ5"/>
    <mergeCell ref="AK6:BZ6"/>
    <mergeCell ref="AK7:BZ7"/>
  </mergeCells>
  <phoneticPr fontId="15" type="noConversion"/>
  <pageMargins left="0.19685039370078741" right="0.15748031496062992" top="0.43307086614173229" bottom="0.15748031496062992" header="0.39370078740157483" footer="0.15748031496062992"/>
  <pageSetup paperSize="9" scale="62" orientation="landscape" r:id="rId1"/>
  <headerFooter alignWithMargins="0"/>
  <rowBreaks count="2" manualBreakCount="2">
    <brk id="54" max="78" man="1"/>
    <brk id="101" max="78" man="1"/>
  </rowBreaks>
  <colBreaks count="1" manualBreakCount="1">
    <brk id="36" max="15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05"/>
  <sheetViews>
    <sheetView zoomScale="80" zoomScaleNormal="80" zoomScaleSheetLayoutView="90" workbookViewId="0">
      <selection activeCell="B8" sqref="B8:B9"/>
    </sheetView>
  </sheetViews>
  <sheetFormatPr defaultRowHeight="12.75" x14ac:dyDescent="0.2"/>
  <cols>
    <col min="1" max="1" width="6.140625" customWidth="1"/>
    <col min="2" max="2" width="53.85546875" customWidth="1"/>
    <col min="3" max="3" width="9.5703125" customWidth="1"/>
    <col min="4" max="4" width="13" customWidth="1"/>
    <col min="5" max="6" width="12.5703125" hidden="1" customWidth="1"/>
    <col min="7" max="7" width="10.85546875" hidden="1" customWidth="1"/>
    <col min="8" max="8" width="10.85546875" customWidth="1"/>
    <col min="9" max="9" width="9.7109375" customWidth="1"/>
    <col min="10" max="10" width="8.7109375" customWidth="1"/>
    <col min="11" max="11" width="12.140625" customWidth="1"/>
    <col min="12" max="13" width="11.42578125" hidden="1" customWidth="1"/>
    <col min="14" max="14" width="10.85546875" hidden="1" customWidth="1"/>
    <col min="15" max="16" width="10.85546875" customWidth="1"/>
    <col min="17" max="23" width="10.85546875" hidden="1" customWidth="1"/>
    <col min="24" max="24" width="9.42578125" customWidth="1"/>
    <col min="25" max="25" width="12.85546875" customWidth="1"/>
    <col min="26" max="26" width="12.85546875" hidden="1" customWidth="1"/>
    <col min="27" max="27" width="12.7109375" hidden="1" customWidth="1"/>
    <col min="28" max="28" width="11.28515625" hidden="1" customWidth="1"/>
    <col min="29" max="29" width="11.28515625" customWidth="1"/>
    <col min="30" max="30" width="9.7109375" customWidth="1"/>
    <col min="31" max="31" width="7.42578125" style="9" customWidth="1"/>
  </cols>
  <sheetData>
    <row r="1" spans="1:31" x14ac:dyDescent="0.2">
      <c r="A1" s="49"/>
      <c r="B1" s="1"/>
      <c r="C1" s="77"/>
      <c r="D1" s="77"/>
      <c r="E1" s="77"/>
      <c r="F1" s="77"/>
      <c r="G1" s="77"/>
      <c r="H1" s="77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AD1" s="142" t="s">
        <v>438</v>
      </c>
    </row>
    <row r="2" spans="1:31" x14ac:dyDescent="0.2">
      <c r="A2" s="49"/>
      <c r="B2" s="1"/>
      <c r="C2" s="77"/>
      <c r="D2" s="77"/>
      <c r="E2" s="77"/>
      <c r="F2" s="77"/>
      <c r="G2" s="77"/>
      <c r="H2" s="77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AD2" s="145" t="str">
        <f>'1.Bev-kiad.'!L2</f>
        <v>a 9/2026.(V.29.) önkormányzati rendelethez</v>
      </c>
    </row>
    <row r="3" spans="1:31" x14ac:dyDescent="0.2">
      <c r="A3" s="49"/>
      <c r="B3" s="1"/>
      <c r="C3" s="77"/>
      <c r="D3" s="77"/>
      <c r="E3" s="77"/>
      <c r="F3" s="77"/>
      <c r="G3" s="77"/>
      <c r="H3" s="77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AC3" s="145"/>
    </row>
    <row r="4" spans="1:31" ht="15.75" x14ac:dyDescent="0.25">
      <c r="A4" s="763" t="s">
        <v>64</v>
      </c>
      <c r="B4" s="695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</row>
    <row r="5" spans="1:31" ht="15.75" x14ac:dyDescent="0.25">
      <c r="A5" s="763" t="s">
        <v>671</v>
      </c>
      <c r="B5" s="695"/>
      <c r="C5" s="695"/>
      <c r="D5" s="695"/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695"/>
      <c r="P5" s="695"/>
      <c r="Q5" s="695"/>
      <c r="R5" s="695"/>
      <c r="S5" s="695"/>
      <c r="T5" s="695"/>
      <c r="U5" s="695"/>
      <c r="V5" s="695"/>
      <c r="W5" s="695"/>
      <c r="X5" s="695"/>
      <c r="Y5" s="695"/>
      <c r="Z5" s="695"/>
      <c r="AA5" s="695"/>
      <c r="AB5" s="695"/>
      <c r="AC5" s="695"/>
      <c r="AD5" s="695"/>
    </row>
    <row r="6" spans="1:31" ht="15.75" x14ac:dyDescent="0.25">
      <c r="A6" s="763" t="s">
        <v>320</v>
      </c>
      <c r="B6" s="695"/>
      <c r="C6" s="695"/>
      <c r="D6" s="695"/>
      <c r="E6" s="695"/>
      <c r="F6" s="695"/>
      <c r="G6" s="695"/>
      <c r="H6" s="695"/>
      <c r="I6" s="695"/>
      <c r="J6" s="695"/>
      <c r="K6" s="695"/>
      <c r="L6" s="695"/>
      <c r="M6" s="695"/>
      <c r="N6" s="695"/>
      <c r="O6" s="695"/>
      <c r="P6" s="695"/>
      <c r="Q6" s="695"/>
      <c r="R6" s="695"/>
      <c r="S6" s="695"/>
      <c r="T6" s="695"/>
      <c r="U6" s="695"/>
      <c r="V6" s="695"/>
      <c r="W6" s="695"/>
      <c r="X6" s="695"/>
      <c r="Y6" s="695"/>
      <c r="Z6" s="695"/>
      <c r="AA6" s="695"/>
      <c r="AB6" s="695"/>
      <c r="AC6" s="695"/>
      <c r="AD6" s="695"/>
    </row>
    <row r="7" spans="1:31" ht="13.5" thickBo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AD7" s="77" t="s">
        <v>0</v>
      </c>
    </row>
    <row r="8" spans="1:31" ht="120" customHeight="1" thickBot="1" x14ac:dyDescent="0.25">
      <c r="A8" s="764" t="s">
        <v>72</v>
      </c>
      <c r="B8" s="764" t="s">
        <v>24</v>
      </c>
      <c r="C8" s="766" t="s">
        <v>653</v>
      </c>
      <c r="D8" s="767"/>
      <c r="E8" s="767"/>
      <c r="F8" s="767"/>
      <c r="G8" s="767"/>
      <c r="H8" s="767"/>
      <c r="I8" s="768"/>
      <c r="J8" s="766" t="s">
        <v>251</v>
      </c>
      <c r="K8" s="767"/>
      <c r="L8" s="767"/>
      <c r="M8" s="767"/>
      <c r="N8" s="767"/>
      <c r="O8" s="767"/>
      <c r="P8" s="768"/>
      <c r="Q8" s="766" t="s">
        <v>491</v>
      </c>
      <c r="R8" s="767"/>
      <c r="S8" s="767"/>
      <c r="T8" s="767"/>
      <c r="U8" s="767"/>
      <c r="V8" s="767"/>
      <c r="W8" s="768"/>
      <c r="X8" s="766" t="s">
        <v>41</v>
      </c>
      <c r="Y8" s="767"/>
      <c r="Z8" s="767"/>
      <c r="AA8" s="767"/>
      <c r="AB8" s="767"/>
      <c r="AC8" s="767"/>
      <c r="AD8" s="768"/>
    </row>
    <row r="9" spans="1:31" ht="39.75" customHeight="1" thickBot="1" x14ac:dyDescent="0.25">
      <c r="A9" s="765"/>
      <c r="B9" s="765"/>
      <c r="C9" s="494" t="s">
        <v>803</v>
      </c>
      <c r="D9" s="237" t="s">
        <v>504</v>
      </c>
      <c r="E9" s="237" t="s">
        <v>766</v>
      </c>
      <c r="F9" s="237" t="s">
        <v>802</v>
      </c>
      <c r="G9" s="237" t="s">
        <v>808</v>
      </c>
      <c r="H9" s="237" t="s">
        <v>821</v>
      </c>
      <c r="I9" s="237" t="s">
        <v>807</v>
      </c>
      <c r="J9" s="494" t="str">
        <f t="shared" ref="J9:R9" si="0">C9</f>
        <v>2024. évi teljesítés</v>
      </c>
      <c r="K9" s="237" t="str">
        <f t="shared" si="0"/>
        <v>2025. évi eredeti előirányzat</v>
      </c>
      <c r="L9" s="237" t="str">
        <f t="shared" si="0"/>
        <v>mód.ei.          2025.06.hó</v>
      </c>
      <c r="M9" s="237" t="str">
        <f t="shared" si="0"/>
        <v>mód.ei.          2025.09.hó</v>
      </c>
      <c r="N9" s="237" t="str">
        <f t="shared" si="0"/>
        <v>mód.ei.          2025.12.hó</v>
      </c>
      <c r="O9" s="237" t="str">
        <f t="shared" si="0"/>
        <v>mód.ei.          2025.12.31</v>
      </c>
      <c r="P9" s="237" t="str">
        <f t="shared" si="0"/>
        <v>teljesítés 2025.12.31</v>
      </c>
      <c r="Q9" s="237" t="str">
        <f t="shared" si="0"/>
        <v>2024. évi teljesítés</v>
      </c>
      <c r="R9" s="237" t="str">
        <f t="shared" si="0"/>
        <v>2025. évi eredeti előirányzat</v>
      </c>
      <c r="S9" s="237" t="str">
        <f>E9</f>
        <v>mód.ei.          2025.06.hó</v>
      </c>
      <c r="T9" s="237" t="s">
        <v>551</v>
      </c>
      <c r="U9" s="237" t="str">
        <f>N9</f>
        <v>mód.ei.          2025.12.hó</v>
      </c>
      <c r="V9" s="237"/>
      <c r="W9" s="237" t="str">
        <f>P9</f>
        <v>teljesítés 2025.12.31</v>
      </c>
      <c r="X9" s="494" t="str">
        <f t="shared" ref="X9:AC9" si="1">C9</f>
        <v>2024. évi teljesítés</v>
      </c>
      <c r="Y9" s="237" t="str">
        <f t="shared" si="1"/>
        <v>2025. évi eredeti előirányzat</v>
      </c>
      <c r="Z9" s="237" t="str">
        <f t="shared" si="1"/>
        <v>mód.ei.          2025.06.hó</v>
      </c>
      <c r="AA9" s="237" t="str">
        <f t="shared" si="1"/>
        <v>mód.ei.          2025.09.hó</v>
      </c>
      <c r="AB9" s="237" t="str">
        <f t="shared" si="1"/>
        <v>mód.ei.          2025.12.hó</v>
      </c>
      <c r="AC9" s="237" t="str">
        <f t="shared" si="1"/>
        <v>mód.ei.          2025.12.31</v>
      </c>
      <c r="AD9" s="237" t="str">
        <f t="shared" ref="AD9" si="2">I9</f>
        <v>teljesítés 2025.12.31</v>
      </c>
      <c r="AE9" s="258" t="s">
        <v>854</v>
      </c>
    </row>
    <row r="10" spans="1:31" x14ac:dyDescent="0.2">
      <c r="A10" s="123" t="s">
        <v>229</v>
      </c>
      <c r="B10" s="16" t="s">
        <v>230</v>
      </c>
      <c r="C10" s="447"/>
      <c r="D10" s="37"/>
      <c r="E10" s="37"/>
      <c r="F10" s="37"/>
      <c r="G10" s="37"/>
      <c r="H10" s="37"/>
      <c r="I10" s="37"/>
      <c r="J10" s="44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500"/>
      <c r="Y10" s="256"/>
      <c r="Z10" s="256"/>
      <c r="AA10" s="256"/>
      <c r="AB10" s="256"/>
      <c r="AC10" s="256"/>
      <c r="AD10" s="256"/>
      <c r="AE10" s="558"/>
    </row>
    <row r="11" spans="1:31" x14ac:dyDescent="0.2">
      <c r="A11" s="56" t="s">
        <v>389</v>
      </c>
      <c r="B11" s="8" t="s">
        <v>734</v>
      </c>
      <c r="C11" s="141">
        <v>167826</v>
      </c>
      <c r="D11" s="13">
        <f>159800+12515+24</f>
        <v>172339</v>
      </c>
      <c r="E11" s="13">
        <f>159800+12515+24+2230-1000-300-600+9227</f>
        <v>181896</v>
      </c>
      <c r="F11" s="13">
        <f>159800+12515+24+2230-1000-300-600+9227</f>
        <v>181896</v>
      </c>
      <c r="G11" s="13">
        <f>159800+12515+24+2230-1000-300-600+9227</f>
        <v>181896</v>
      </c>
      <c r="H11" s="13">
        <f>159800+12515+24+2230-1000-300-600+9227</f>
        <v>181896</v>
      </c>
      <c r="I11" s="13">
        <v>180688</v>
      </c>
      <c r="J11" s="141">
        <v>20463</v>
      </c>
      <c r="K11" s="13">
        <f>18960+1623</f>
        <v>20583</v>
      </c>
      <c r="L11" s="13">
        <f>18960+1623-12+1200</f>
        <v>21771</v>
      </c>
      <c r="M11" s="13">
        <f>18960+1623-12+1200</f>
        <v>21771</v>
      </c>
      <c r="N11" s="13">
        <f>18960+1623-12+1200</f>
        <v>21771</v>
      </c>
      <c r="O11" s="13">
        <f>18960+1623-12+1200</f>
        <v>21771</v>
      </c>
      <c r="P11" s="13">
        <v>21688</v>
      </c>
      <c r="Q11" s="266"/>
      <c r="R11" s="266"/>
      <c r="S11" s="266"/>
      <c r="T11" s="266"/>
      <c r="U11" s="266"/>
      <c r="V11" s="266"/>
      <c r="W11" s="266"/>
      <c r="X11" s="501">
        <f t="shared" ref="X11:AD11" si="3">C11+J11+Q11</f>
        <v>188289</v>
      </c>
      <c r="Y11" s="257">
        <f t="shared" si="3"/>
        <v>192922</v>
      </c>
      <c r="Z11" s="257">
        <f t="shared" si="3"/>
        <v>203667</v>
      </c>
      <c r="AA11" s="257">
        <f t="shared" si="3"/>
        <v>203667</v>
      </c>
      <c r="AB11" s="257">
        <f t="shared" si="3"/>
        <v>203667</v>
      </c>
      <c r="AC11" s="257">
        <f t="shared" si="3"/>
        <v>203667</v>
      </c>
      <c r="AD11" s="257">
        <f t="shared" si="3"/>
        <v>202376</v>
      </c>
      <c r="AE11" s="558">
        <f>AD11/AC11*100</f>
        <v>99.366122150372917</v>
      </c>
    </row>
    <row r="12" spans="1:31" x14ac:dyDescent="0.2">
      <c r="A12" s="56" t="s">
        <v>432</v>
      </c>
      <c r="B12" s="8" t="s">
        <v>728</v>
      </c>
      <c r="C12" s="141">
        <v>540</v>
      </c>
      <c r="D12" s="13">
        <v>1000</v>
      </c>
      <c r="E12" s="13">
        <f>1000+600</f>
        <v>1600</v>
      </c>
      <c r="F12" s="13">
        <f>1000+600</f>
        <v>1600</v>
      </c>
      <c r="G12" s="13">
        <f>1000+600+120</f>
        <v>1720</v>
      </c>
      <c r="H12" s="13">
        <f>1000+600+120</f>
        <v>1720</v>
      </c>
      <c r="I12" s="13">
        <v>1600</v>
      </c>
      <c r="J12" s="141"/>
      <c r="K12" s="13"/>
      <c r="L12" s="13"/>
      <c r="M12" s="13"/>
      <c r="N12" s="13"/>
      <c r="O12" s="13"/>
      <c r="P12" s="13"/>
      <c r="Q12" s="266"/>
      <c r="R12" s="266"/>
      <c r="S12" s="266"/>
      <c r="T12" s="266"/>
      <c r="U12" s="266"/>
      <c r="V12" s="266"/>
      <c r="W12" s="266"/>
      <c r="X12" s="501">
        <f t="shared" ref="X12:X25" si="4">C12+J12+Q12</f>
        <v>540</v>
      </c>
      <c r="Y12" s="257">
        <f t="shared" ref="Y12:Y25" si="5">D12+K12+R12</f>
        <v>1000</v>
      </c>
      <c r="Z12" s="257">
        <f t="shared" ref="Z12:Z23" si="6">E12+L12+S12</f>
        <v>1600</v>
      </c>
      <c r="AA12" s="257">
        <f t="shared" ref="AA12:AA23" si="7">F12+M12+T12</f>
        <v>1600</v>
      </c>
      <c r="AB12" s="257">
        <f t="shared" ref="AB12:AD23" si="8">G12+N12+U12</f>
        <v>1720</v>
      </c>
      <c r="AC12" s="257">
        <f t="shared" si="8"/>
        <v>1720</v>
      </c>
      <c r="AD12" s="257">
        <f t="shared" si="8"/>
        <v>1600</v>
      </c>
      <c r="AE12" s="558">
        <f t="shared" ref="AE12:AE75" si="9">AD12/AC12*100</f>
        <v>93.023255813953483</v>
      </c>
    </row>
    <row r="13" spans="1:31" x14ac:dyDescent="0.2">
      <c r="A13" s="56" t="s">
        <v>432</v>
      </c>
      <c r="B13" s="8" t="s">
        <v>593</v>
      </c>
      <c r="C13" s="141">
        <v>874</v>
      </c>
      <c r="D13" s="13">
        <v>460</v>
      </c>
      <c r="E13" s="13">
        <f>460-66</f>
        <v>394</v>
      </c>
      <c r="F13" s="13">
        <f>460-66</f>
        <v>394</v>
      </c>
      <c r="G13" s="13">
        <f>460-66</f>
        <v>394</v>
      </c>
      <c r="H13" s="13">
        <f>460-66</f>
        <v>394</v>
      </c>
      <c r="I13" s="13">
        <v>394</v>
      </c>
      <c r="J13" s="141"/>
      <c r="K13" s="13"/>
      <c r="L13" s="13"/>
      <c r="M13" s="13"/>
      <c r="N13" s="13"/>
      <c r="O13" s="13"/>
      <c r="P13" s="13"/>
      <c r="Q13" s="266"/>
      <c r="R13" s="266"/>
      <c r="S13" s="266"/>
      <c r="T13" s="266"/>
      <c r="U13" s="266"/>
      <c r="V13" s="266"/>
      <c r="W13" s="266"/>
      <c r="X13" s="501">
        <f t="shared" si="4"/>
        <v>874</v>
      </c>
      <c r="Y13" s="257">
        <f t="shared" si="5"/>
        <v>460</v>
      </c>
      <c r="Z13" s="257">
        <f t="shared" si="6"/>
        <v>394</v>
      </c>
      <c r="AA13" s="257">
        <f t="shared" si="7"/>
        <v>394</v>
      </c>
      <c r="AB13" s="257">
        <f t="shared" si="8"/>
        <v>394</v>
      </c>
      <c r="AC13" s="257">
        <f t="shared" si="8"/>
        <v>394</v>
      </c>
      <c r="AD13" s="257">
        <f t="shared" si="8"/>
        <v>394</v>
      </c>
      <c r="AE13" s="558">
        <f t="shared" si="9"/>
        <v>100</v>
      </c>
    </row>
    <row r="14" spans="1:31" x14ac:dyDescent="0.2">
      <c r="A14" s="56" t="s">
        <v>553</v>
      </c>
      <c r="B14" s="8" t="s">
        <v>594</v>
      </c>
      <c r="C14" s="141">
        <v>3922</v>
      </c>
      <c r="D14" s="13">
        <v>2100</v>
      </c>
      <c r="E14" s="13">
        <v>2100</v>
      </c>
      <c r="F14" s="13">
        <v>2100</v>
      </c>
      <c r="G14" s="13">
        <f>2100-120</f>
        <v>1980</v>
      </c>
      <c r="H14" s="13">
        <f>2100-120</f>
        <v>1980</v>
      </c>
      <c r="I14" s="13">
        <v>1975</v>
      </c>
      <c r="J14" s="141"/>
      <c r="K14" s="13"/>
      <c r="L14" s="13"/>
      <c r="M14" s="13"/>
      <c r="N14" s="13"/>
      <c r="O14" s="13"/>
      <c r="P14" s="13"/>
      <c r="Q14" s="266"/>
      <c r="R14" s="266"/>
      <c r="S14" s="266"/>
      <c r="T14" s="266"/>
      <c r="U14" s="266"/>
      <c r="V14" s="266"/>
      <c r="W14" s="266"/>
      <c r="X14" s="501">
        <f t="shared" si="4"/>
        <v>3922</v>
      </c>
      <c r="Y14" s="257">
        <f t="shared" si="5"/>
        <v>2100</v>
      </c>
      <c r="Z14" s="257">
        <f t="shared" si="6"/>
        <v>2100</v>
      </c>
      <c r="AA14" s="257">
        <f t="shared" si="7"/>
        <v>2100</v>
      </c>
      <c r="AB14" s="257">
        <f t="shared" si="8"/>
        <v>1980</v>
      </c>
      <c r="AC14" s="257">
        <f t="shared" si="8"/>
        <v>1980</v>
      </c>
      <c r="AD14" s="257">
        <f t="shared" si="8"/>
        <v>1975</v>
      </c>
      <c r="AE14" s="558">
        <f t="shared" si="9"/>
        <v>99.747474747474755</v>
      </c>
    </row>
    <row r="15" spans="1:31" x14ac:dyDescent="0.2">
      <c r="A15" s="56" t="s">
        <v>556</v>
      </c>
      <c r="B15" s="8" t="s">
        <v>557</v>
      </c>
      <c r="C15" s="141">
        <v>1838</v>
      </c>
      <c r="D15" s="13">
        <v>3040</v>
      </c>
      <c r="E15" s="13">
        <v>3040</v>
      </c>
      <c r="F15" s="13">
        <v>3040</v>
      </c>
      <c r="G15" s="13">
        <v>3040</v>
      </c>
      <c r="H15" s="13">
        <v>3040</v>
      </c>
      <c r="I15" s="13">
        <v>3040</v>
      </c>
      <c r="J15" s="141"/>
      <c r="K15" s="13"/>
      <c r="L15" s="13"/>
      <c r="M15" s="13"/>
      <c r="N15" s="13"/>
      <c r="O15" s="13"/>
      <c r="P15" s="13"/>
      <c r="Q15" s="266"/>
      <c r="R15" s="266"/>
      <c r="S15" s="266"/>
      <c r="T15" s="266"/>
      <c r="U15" s="266"/>
      <c r="V15" s="266"/>
      <c r="W15" s="266"/>
      <c r="X15" s="501">
        <f t="shared" si="4"/>
        <v>1838</v>
      </c>
      <c r="Y15" s="257">
        <f t="shared" si="5"/>
        <v>3040</v>
      </c>
      <c r="Z15" s="257">
        <f t="shared" si="6"/>
        <v>3040</v>
      </c>
      <c r="AA15" s="257">
        <f t="shared" si="7"/>
        <v>3040</v>
      </c>
      <c r="AB15" s="257">
        <f t="shared" si="8"/>
        <v>3040</v>
      </c>
      <c r="AC15" s="257">
        <f t="shared" si="8"/>
        <v>3040</v>
      </c>
      <c r="AD15" s="257">
        <f t="shared" si="8"/>
        <v>3040</v>
      </c>
      <c r="AE15" s="558">
        <f t="shared" si="9"/>
        <v>100</v>
      </c>
    </row>
    <row r="16" spans="1:31" x14ac:dyDescent="0.2">
      <c r="A16" s="56" t="s">
        <v>401</v>
      </c>
      <c r="B16" s="8" t="s">
        <v>729</v>
      </c>
      <c r="C16" s="141">
        <v>5180</v>
      </c>
      <c r="D16" s="13">
        <v>2600</v>
      </c>
      <c r="E16" s="13">
        <f>2600+300+80</f>
        <v>2980</v>
      </c>
      <c r="F16" s="13">
        <f>2600+300+80+3</f>
        <v>2983</v>
      </c>
      <c r="G16" s="13">
        <f>2600+300+80+3</f>
        <v>2983</v>
      </c>
      <c r="H16" s="13">
        <f>2600+300+80+3</f>
        <v>2983</v>
      </c>
      <c r="I16" s="13">
        <v>2983</v>
      </c>
      <c r="J16" s="141">
        <v>0</v>
      </c>
      <c r="K16" s="13">
        <v>2200</v>
      </c>
      <c r="L16" s="13">
        <f>2200-80</f>
        <v>2120</v>
      </c>
      <c r="M16" s="13">
        <f>2200-80</f>
        <v>2120</v>
      </c>
      <c r="N16" s="13">
        <f>2200-80</f>
        <v>2120</v>
      </c>
      <c r="O16" s="13">
        <f>2200-80</f>
        <v>2120</v>
      </c>
      <c r="P16" s="13">
        <v>2120</v>
      </c>
      <c r="Q16" s="266"/>
      <c r="R16" s="266"/>
      <c r="S16" s="266"/>
      <c r="T16" s="266"/>
      <c r="U16" s="266"/>
      <c r="V16" s="266"/>
      <c r="W16" s="266"/>
      <c r="X16" s="501">
        <f t="shared" si="4"/>
        <v>5180</v>
      </c>
      <c r="Y16" s="257">
        <f t="shared" si="5"/>
        <v>4800</v>
      </c>
      <c r="Z16" s="257">
        <f t="shared" si="6"/>
        <v>5100</v>
      </c>
      <c r="AA16" s="257">
        <f t="shared" si="7"/>
        <v>5103</v>
      </c>
      <c r="AB16" s="257">
        <f t="shared" si="8"/>
        <v>5103</v>
      </c>
      <c r="AC16" s="257">
        <f t="shared" si="8"/>
        <v>5103</v>
      </c>
      <c r="AD16" s="257">
        <f t="shared" si="8"/>
        <v>5103</v>
      </c>
      <c r="AE16" s="558">
        <f t="shared" si="9"/>
        <v>100</v>
      </c>
    </row>
    <row r="17" spans="1:31" x14ac:dyDescent="0.2">
      <c r="A17" s="56" t="s">
        <v>398</v>
      </c>
      <c r="B17" s="8" t="s">
        <v>595</v>
      </c>
      <c r="C17" s="141">
        <v>0</v>
      </c>
      <c r="D17" s="13">
        <v>4830</v>
      </c>
      <c r="E17" s="13">
        <v>4830</v>
      </c>
      <c r="F17" s="13">
        <v>4830</v>
      </c>
      <c r="G17" s="13">
        <f>4830+280</f>
        <v>5110</v>
      </c>
      <c r="H17" s="13">
        <f>4830+280</f>
        <v>5110</v>
      </c>
      <c r="I17" s="13">
        <v>4707</v>
      </c>
      <c r="J17" s="141">
        <v>730</v>
      </c>
      <c r="K17" s="13">
        <v>645</v>
      </c>
      <c r="L17" s="13">
        <v>645</v>
      </c>
      <c r="M17" s="13">
        <f>645-3</f>
        <v>642</v>
      </c>
      <c r="N17" s="13">
        <f>645-3+46</f>
        <v>688</v>
      </c>
      <c r="O17" s="13">
        <f>645-3+46</f>
        <v>688</v>
      </c>
      <c r="P17" s="13">
        <v>640</v>
      </c>
      <c r="Q17" s="266"/>
      <c r="R17" s="266"/>
      <c r="S17" s="266"/>
      <c r="T17" s="266"/>
      <c r="U17" s="266"/>
      <c r="V17" s="266"/>
      <c r="W17" s="266"/>
      <c r="X17" s="501">
        <f t="shared" si="4"/>
        <v>730</v>
      </c>
      <c r="Y17" s="257">
        <f t="shared" si="5"/>
        <v>5475</v>
      </c>
      <c r="Z17" s="257">
        <f t="shared" si="6"/>
        <v>5475</v>
      </c>
      <c r="AA17" s="257">
        <f t="shared" si="7"/>
        <v>5472</v>
      </c>
      <c r="AB17" s="257">
        <f t="shared" si="8"/>
        <v>5798</v>
      </c>
      <c r="AC17" s="257">
        <f t="shared" si="8"/>
        <v>5798</v>
      </c>
      <c r="AD17" s="257">
        <f t="shared" si="8"/>
        <v>5347</v>
      </c>
      <c r="AE17" s="558">
        <f t="shared" si="9"/>
        <v>92.221455674370461</v>
      </c>
    </row>
    <row r="18" spans="1:31" x14ac:dyDescent="0.2">
      <c r="A18" s="56" t="s">
        <v>400</v>
      </c>
      <c r="B18" s="8" t="s">
        <v>353</v>
      </c>
      <c r="C18" s="141">
        <v>3785</v>
      </c>
      <c r="D18" s="13">
        <v>4280</v>
      </c>
      <c r="E18" s="13">
        <v>4280</v>
      </c>
      <c r="F18" s="13">
        <v>4280</v>
      </c>
      <c r="G18" s="13">
        <f>4280-280</f>
        <v>4000</v>
      </c>
      <c r="H18" s="13">
        <f>4280-280</f>
        <v>4000</v>
      </c>
      <c r="I18" s="13">
        <v>3684</v>
      </c>
      <c r="J18" s="141">
        <v>381</v>
      </c>
      <c r="K18" s="13">
        <v>320</v>
      </c>
      <c r="L18" s="13">
        <v>320</v>
      </c>
      <c r="M18" s="13">
        <v>320</v>
      </c>
      <c r="N18" s="13">
        <f>320-46</f>
        <v>274</v>
      </c>
      <c r="O18" s="13">
        <f>320-46</f>
        <v>274</v>
      </c>
      <c r="P18" s="13">
        <v>247</v>
      </c>
      <c r="Q18" s="266"/>
      <c r="R18" s="266"/>
      <c r="S18" s="266"/>
      <c r="T18" s="266"/>
      <c r="U18" s="266"/>
      <c r="V18" s="266"/>
      <c r="W18" s="266"/>
      <c r="X18" s="501">
        <f t="shared" si="4"/>
        <v>4166</v>
      </c>
      <c r="Y18" s="257">
        <f t="shared" si="5"/>
        <v>4600</v>
      </c>
      <c r="Z18" s="257">
        <f t="shared" si="6"/>
        <v>4600</v>
      </c>
      <c r="AA18" s="257">
        <f t="shared" si="7"/>
        <v>4600</v>
      </c>
      <c r="AB18" s="257">
        <f t="shared" si="8"/>
        <v>4274</v>
      </c>
      <c r="AC18" s="257">
        <f t="shared" si="8"/>
        <v>4274</v>
      </c>
      <c r="AD18" s="257">
        <f t="shared" si="8"/>
        <v>3931</v>
      </c>
      <c r="AE18" s="558">
        <f t="shared" si="9"/>
        <v>91.97473093121198</v>
      </c>
    </row>
    <row r="19" spans="1:31" x14ac:dyDescent="0.2">
      <c r="A19" s="56" t="s">
        <v>390</v>
      </c>
      <c r="B19" s="8" t="s">
        <v>596</v>
      </c>
      <c r="C19" s="141">
        <v>1336</v>
      </c>
      <c r="D19" s="13">
        <v>2435</v>
      </c>
      <c r="E19" s="13">
        <f>2435-98+1000</f>
        <v>3337</v>
      </c>
      <c r="F19" s="13">
        <f>2435-98+1000</f>
        <v>3337</v>
      </c>
      <c r="G19" s="13">
        <f>2435-98+1000-173</f>
        <v>3164</v>
      </c>
      <c r="H19" s="13">
        <f>2435-98+1000-173</f>
        <v>3164</v>
      </c>
      <c r="I19" s="13">
        <v>1901</v>
      </c>
      <c r="J19" s="141">
        <v>1643</v>
      </c>
      <c r="K19" s="13">
        <v>1500</v>
      </c>
      <c r="L19" s="13">
        <f>1500+98</f>
        <v>1598</v>
      </c>
      <c r="M19" s="13">
        <f>1500+98</f>
        <v>1598</v>
      </c>
      <c r="N19" s="13">
        <f>1500+98</f>
        <v>1598</v>
      </c>
      <c r="O19" s="13">
        <f>1500+98</f>
        <v>1598</v>
      </c>
      <c r="P19" s="13">
        <v>1598</v>
      </c>
      <c r="Q19" s="266"/>
      <c r="R19" s="266"/>
      <c r="S19" s="266"/>
      <c r="T19" s="266"/>
      <c r="U19" s="266"/>
      <c r="V19" s="266"/>
      <c r="W19" s="266"/>
      <c r="X19" s="501">
        <f t="shared" si="4"/>
        <v>2979</v>
      </c>
      <c r="Y19" s="257">
        <f t="shared" si="5"/>
        <v>3935</v>
      </c>
      <c r="Z19" s="257">
        <f t="shared" si="6"/>
        <v>4935</v>
      </c>
      <c r="AA19" s="257">
        <f t="shared" si="7"/>
        <v>4935</v>
      </c>
      <c r="AB19" s="257">
        <f t="shared" si="8"/>
        <v>4762</v>
      </c>
      <c r="AC19" s="257">
        <f t="shared" si="8"/>
        <v>4762</v>
      </c>
      <c r="AD19" s="257">
        <f t="shared" si="8"/>
        <v>3499</v>
      </c>
      <c r="AE19" s="558">
        <f t="shared" si="9"/>
        <v>73.477530449391011</v>
      </c>
    </row>
    <row r="20" spans="1:31" x14ac:dyDescent="0.2">
      <c r="A20" s="56" t="s">
        <v>390</v>
      </c>
      <c r="B20" s="8" t="s">
        <v>598</v>
      </c>
      <c r="C20" s="141">
        <v>2562</v>
      </c>
      <c r="D20" s="13">
        <v>570</v>
      </c>
      <c r="E20" s="13">
        <f>570+66</f>
        <v>636</v>
      </c>
      <c r="F20" s="13">
        <f>570+66</f>
        <v>636</v>
      </c>
      <c r="G20" s="13">
        <f>570+66</f>
        <v>636</v>
      </c>
      <c r="H20" s="13">
        <f>570+66</f>
        <v>636</v>
      </c>
      <c r="I20" s="13">
        <v>636</v>
      </c>
      <c r="J20" s="141"/>
      <c r="K20" s="13"/>
      <c r="L20" s="13"/>
      <c r="M20" s="13"/>
      <c r="N20" s="13"/>
      <c r="O20" s="13"/>
      <c r="P20" s="13"/>
      <c r="Q20" s="266"/>
      <c r="R20" s="266"/>
      <c r="S20" s="266"/>
      <c r="T20" s="266"/>
      <c r="U20" s="266"/>
      <c r="V20" s="266"/>
      <c r="W20" s="266"/>
      <c r="X20" s="501">
        <f t="shared" si="4"/>
        <v>2562</v>
      </c>
      <c r="Y20" s="257">
        <f t="shared" si="5"/>
        <v>570</v>
      </c>
      <c r="Z20" s="257">
        <f t="shared" si="6"/>
        <v>636</v>
      </c>
      <c r="AA20" s="257">
        <f t="shared" si="7"/>
        <v>636</v>
      </c>
      <c r="AB20" s="257">
        <f t="shared" si="8"/>
        <v>636</v>
      </c>
      <c r="AC20" s="257">
        <f t="shared" si="8"/>
        <v>636</v>
      </c>
      <c r="AD20" s="257">
        <f t="shared" si="8"/>
        <v>636</v>
      </c>
      <c r="AE20" s="558">
        <f t="shared" si="9"/>
        <v>100</v>
      </c>
    </row>
    <row r="21" spans="1:31" x14ac:dyDescent="0.2">
      <c r="A21" s="56" t="s">
        <v>391</v>
      </c>
      <c r="B21" s="8" t="s">
        <v>597</v>
      </c>
      <c r="C21" s="141">
        <v>2400</v>
      </c>
      <c r="D21" s="13">
        <v>2400</v>
      </c>
      <c r="E21" s="13">
        <v>2400</v>
      </c>
      <c r="F21" s="13">
        <v>2400</v>
      </c>
      <c r="G21" s="13">
        <f>2400+173</f>
        <v>2573</v>
      </c>
      <c r="H21" s="13">
        <f>2400+173</f>
        <v>2573</v>
      </c>
      <c r="I21" s="13">
        <v>2400</v>
      </c>
      <c r="J21" s="141"/>
      <c r="K21" s="13"/>
      <c r="L21" s="13"/>
      <c r="M21" s="13"/>
      <c r="N21" s="13"/>
      <c r="O21" s="13"/>
      <c r="P21" s="13"/>
      <c r="Q21" s="266"/>
      <c r="R21" s="266"/>
      <c r="S21" s="266"/>
      <c r="T21" s="266"/>
      <c r="U21" s="266"/>
      <c r="V21" s="266"/>
      <c r="W21" s="266"/>
      <c r="X21" s="501">
        <f t="shared" si="4"/>
        <v>2400</v>
      </c>
      <c r="Y21" s="257">
        <f t="shared" si="5"/>
        <v>2400</v>
      </c>
      <c r="Z21" s="257">
        <f t="shared" si="6"/>
        <v>2400</v>
      </c>
      <c r="AA21" s="257">
        <f t="shared" si="7"/>
        <v>2400</v>
      </c>
      <c r="AB21" s="257">
        <f t="shared" si="8"/>
        <v>2573</v>
      </c>
      <c r="AC21" s="257">
        <f t="shared" si="8"/>
        <v>2573</v>
      </c>
      <c r="AD21" s="257">
        <f t="shared" si="8"/>
        <v>2400</v>
      </c>
      <c r="AE21" s="558">
        <f t="shared" si="9"/>
        <v>93.276331130975507</v>
      </c>
    </row>
    <row r="22" spans="1:31" x14ac:dyDescent="0.2">
      <c r="A22" s="56" t="s">
        <v>391</v>
      </c>
      <c r="B22" s="8" t="s">
        <v>598</v>
      </c>
      <c r="C22" s="141">
        <v>280</v>
      </c>
      <c r="D22" s="13">
        <v>86</v>
      </c>
      <c r="E22" s="13">
        <v>86</v>
      </c>
      <c r="F22" s="13">
        <v>86</v>
      </c>
      <c r="G22" s="13">
        <v>86</v>
      </c>
      <c r="H22" s="13">
        <v>86</v>
      </c>
      <c r="I22" s="13">
        <v>86</v>
      </c>
      <c r="J22" s="141"/>
      <c r="K22" s="13"/>
      <c r="L22" s="13"/>
      <c r="M22" s="13"/>
      <c r="N22" s="13"/>
      <c r="O22" s="13"/>
      <c r="P22" s="13"/>
      <c r="Q22" s="266"/>
      <c r="R22" s="266"/>
      <c r="S22" s="266"/>
      <c r="T22" s="266"/>
      <c r="U22" s="266"/>
      <c r="V22" s="266"/>
      <c r="W22" s="266"/>
      <c r="X22" s="501">
        <f t="shared" si="4"/>
        <v>280</v>
      </c>
      <c r="Y22" s="257">
        <f t="shared" si="5"/>
        <v>86</v>
      </c>
      <c r="Z22" s="257">
        <f t="shared" si="6"/>
        <v>86</v>
      </c>
      <c r="AA22" s="257">
        <f t="shared" si="7"/>
        <v>86</v>
      </c>
      <c r="AB22" s="257">
        <f t="shared" si="8"/>
        <v>86</v>
      </c>
      <c r="AC22" s="257">
        <f t="shared" si="8"/>
        <v>86</v>
      </c>
      <c r="AD22" s="257">
        <f t="shared" si="8"/>
        <v>86</v>
      </c>
      <c r="AE22" s="558">
        <f t="shared" si="9"/>
        <v>100</v>
      </c>
    </row>
    <row r="23" spans="1:31" x14ac:dyDescent="0.2">
      <c r="A23" s="56" t="s">
        <v>397</v>
      </c>
      <c r="B23" s="8" t="s">
        <v>54</v>
      </c>
      <c r="C23" s="141">
        <v>196</v>
      </c>
      <c r="D23" s="13">
        <v>500</v>
      </c>
      <c r="E23" s="13">
        <v>500</v>
      </c>
      <c r="F23" s="13">
        <v>500</v>
      </c>
      <c r="G23" s="13">
        <v>500</v>
      </c>
      <c r="H23" s="13">
        <v>500</v>
      </c>
      <c r="I23" s="13">
        <v>86</v>
      </c>
      <c r="J23" s="141"/>
      <c r="K23" s="13"/>
      <c r="L23" s="13"/>
      <c r="M23" s="13"/>
      <c r="N23" s="13"/>
      <c r="O23" s="13"/>
      <c r="P23" s="13"/>
      <c r="Q23" s="266"/>
      <c r="R23" s="266"/>
      <c r="S23" s="266"/>
      <c r="T23" s="266"/>
      <c r="U23" s="266"/>
      <c r="V23" s="266"/>
      <c r="W23" s="266"/>
      <c r="X23" s="501">
        <f t="shared" si="4"/>
        <v>196</v>
      </c>
      <c r="Y23" s="257">
        <f t="shared" si="5"/>
        <v>500</v>
      </c>
      <c r="Z23" s="257">
        <f t="shared" si="6"/>
        <v>500</v>
      </c>
      <c r="AA23" s="257">
        <f t="shared" si="7"/>
        <v>500</v>
      </c>
      <c r="AB23" s="257">
        <f t="shared" si="8"/>
        <v>500</v>
      </c>
      <c r="AC23" s="257">
        <f t="shared" si="8"/>
        <v>500</v>
      </c>
      <c r="AD23" s="257">
        <f t="shared" si="8"/>
        <v>86</v>
      </c>
      <c r="AE23" s="558">
        <f t="shared" si="9"/>
        <v>17.2</v>
      </c>
    </row>
    <row r="24" spans="1:31" x14ac:dyDescent="0.2">
      <c r="A24" s="56" t="s">
        <v>397</v>
      </c>
      <c r="B24" s="8" t="s">
        <v>600</v>
      </c>
      <c r="C24" s="141">
        <v>4548</v>
      </c>
      <c r="D24" s="13">
        <v>561</v>
      </c>
      <c r="E24" s="13">
        <v>561</v>
      </c>
      <c r="F24" s="13">
        <v>561</v>
      </c>
      <c r="G24" s="13">
        <v>561</v>
      </c>
      <c r="H24" s="13">
        <v>561</v>
      </c>
      <c r="I24" s="13">
        <v>561</v>
      </c>
      <c r="J24" s="141"/>
      <c r="K24" s="13"/>
      <c r="L24" s="269"/>
      <c r="M24" s="269"/>
      <c r="N24" s="269"/>
      <c r="O24" s="269"/>
      <c r="P24" s="269"/>
      <c r="Q24" s="266"/>
      <c r="R24" s="266"/>
      <c r="S24" s="266"/>
      <c r="T24" s="266"/>
      <c r="U24" s="266"/>
      <c r="V24" s="266"/>
      <c r="W24" s="266"/>
      <c r="X24" s="501">
        <f t="shared" si="4"/>
        <v>4548</v>
      </c>
      <c r="Y24" s="257">
        <f t="shared" si="5"/>
        <v>561</v>
      </c>
      <c r="Z24" s="257">
        <f t="shared" ref="Z24" si="10">E24+L24+S24</f>
        <v>561</v>
      </c>
      <c r="AA24" s="257">
        <f t="shared" ref="AA24" si="11">F24+M24+T24</f>
        <v>561</v>
      </c>
      <c r="AB24" s="257">
        <f t="shared" ref="AB24:AD24" si="12">G24+N24+U24</f>
        <v>561</v>
      </c>
      <c r="AC24" s="257">
        <f t="shared" si="12"/>
        <v>561</v>
      </c>
      <c r="AD24" s="257">
        <f t="shared" si="12"/>
        <v>561</v>
      </c>
      <c r="AE24" s="558">
        <f t="shared" si="9"/>
        <v>100</v>
      </c>
    </row>
    <row r="25" spans="1:31" x14ac:dyDescent="0.2">
      <c r="A25" s="56" t="s">
        <v>397</v>
      </c>
      <c r="B25" s="8" t="s">
        <v>599</v>
      </c>
      <c r="C25" s="141">
        <v>681</v>
      </c>
      <c r="D25" s="13">
        <v>122</v>
      </c>
      <c r="E25" s="13">
        <v>122</v>
      </c>
      <c r="F25" s="13">
        <v>122</v>
      </c>
      <c r="G25" s="13">
        <v>122</v>
      </c>
      <c r="H25" s="13">
        <v>122</v>
      </c>
      <c r="I25" s="13">
        <v>99</v>
      </c>
      <c r="J25" s="141"/>
      <c r="K25" s="13"/>
      <c r="L25" s="269"/>
      <c r="M25" s="269"/>
      <c r="N25" s="269"/>
      <c r="O25" s="269"/>
      <c r="P25" s="269"/>
      <c r="Q25" s="266"/>
      <c r="R25" s="266"/>
      <c r="S25" s="266"/>
      <c r="T25" s="266"/>
      <c r="U25" s="266"/>
      <c r="V25" s="266"/>
      <c r="W25" s="266"/>
      <c r="X25" s="501">
        <f t="shared" si="4"/>
        <v>681</v>
      </c>
      <c r="Y25" s="257">
        <f t="shared" si="5"/>
        <v>122</v>
      </c>
      <c r="Z25" s="257">
        <f>E25+L25+S25</f>
        <v>122</v>
      </c>
      <c r="AA25" s="257">
        <f>F25+M25+T25</f>
        <v>122</v>
      </c>
      <c r="AB25" s="257">
        <f>G25+N25+U25</f>
        <v>122</v>
      </c>
      <c r="AC25" s="257">
        <f>H25+O25+V25</f>
        <v>122</v>
      </c>
      <c r="AD25" s="257">
        <f>I25+P25+W25</f>
        <v>99</v>
      </c>
      <c r="AE25" s="558">
        <f t="shared" si="9"/>
        <v>81.147540983606561</v>
      </c>
    </row>
    <row r="26" spans="1:31" x14ac:dyDescent="0.2">
      <c r="A26" s="73" t="s">
        <v>169</v>
      </c>
      <c r="B26" s="91" t="s">
        <v>228</v>
      </c>
      <c r="C26" s="495">
        <f t="shared" ref="C26:AB26" si="13">SUM(C11:C25)</f>
        <v>195968</v>
      </c>
      <c r="D26" s="192">
        <f t="shared" ref="D26" si="14">SUM(D11:D25)</f>
        <v>197323</v>
      </c>
      <c r="E26" s="192">
        <f t="shared" ref="E26" si="15">SUM(E11:E25)</f>
        <v>208762</v>
      </c>
      <c r="F26" s="192">
        <f t="shared" ref="F26:G26" si="16">SUM(F11:F25)</f>
        <v>208765</v>
      </c>
      <c r="G26" s="192">
        <f t="shared" si="16"/>
        <v>208765</v>
      </c>
      <c r="H26" s="192">
        <f t="shared" ref="H26:I26" si="17">SUM(H11:H25)</f>
        <v>208765</v>
      </c>
      <c r="I26" s="192">
        <f t="shared" si="17"/>
        <v>204840</v>
      </c>
      <c r="J26" s="495">
        <f t="shared" si="13"/>
        <v>23217</v>
      </c>
      <c r="K26" s="192">
        <f t="shared" ref="K26" si="18">SUM(K11:K25)</f>
        <v>25248</v>
      </c>
      <c r="L26" s="192">
        <f t="shared" ref="L26" si="19">SUM(L11:L25)</f>
        <v>26454</v>
      </c>
      <c r="M26" s="192">
        <f t="shared" ref="M26:N26" si="20">SUM(M11:M25)</f>
        <v>26451</v>
      </c>
      <c r="N26" s="192">
        <f t="shared" si="20"/>
        <v>26451</v>
      </c>
      <c r="O26" s="192">
        <f t="shared" ref="O26:P26" si="21">SUM(O11:O25)</f>
        <v>26451</v>
      </c>
      <c r="P26" s="192">
        <f t="shared" si="21"/>
        <v>26293</v>
      </c>
      <c r="Q26" s="192">
        <f t="shared" si="13"/>
        <v>0</v>
      </c>
      <c r="R26" s="192"/>
      <c r="S26" s="192">
        <f t="shared" si="13"/>
        <v>0</v>
      </c>
      <c r="T26" s="192">
        <f t="shared" si="13"/>
        <v>0</v>
      </c>
      <c r="U26" s="192">
        <f t="shared" si="13"/>
        <v>0</v>
      </c>
      <c r="V26" s="192"/>
      <c r="W26" s="192">
        <f t="shared" si="13"/>
        <v>0</v>
      </c>
      <c r="X26" s="495">
        <f t="shared" si="13"/>
        <v>219185</v>
      </c>
      <c r="Y26" s="192">
        <f t="shared" ref="Y26" si="22">SUM(Y11:Y25)</f>
        <v>222571</v>
      </c>
      <c r="Z26" s="192">
        <f t="shared" si="13"/>
        <v>235216</v>
      </c>
      <c r="AA26" s="192">
        <f t="shared" si="13"/>
        <v>235216</v>
      </c>
      <c r="AB26" s="192">
        <f t="shared" si="13"/>
        <v>235216</v>
      </c>
      <c r="AC26" s="192">
        <f t="shared" ref="AC26:AD26" si="23">SUM(AC11:AC25)</f>
        <v>235216</v>
      </c>
      <c r="AD26" s="192">
        <f t="shared" si="23"/>
        <v>231133</v>
      </c>
      <c r="AE26" s="558">
        <f t="shared" si="9"/>
        <v>98.264148697367531</v>
      </c>
    </row>
    <row r="27" spans="1:31" x14ac:dyDescent="0.2">
      <c r="A27" s="56"/>
      <c r="B27" s="8" t="s">
        <v>25</v>
      </c>
      <c r="C27" s="141">
        <v>23700</v>
      </c>
      <c r="D27" s="13">
        <f>22870+1627</f>
        <v>24497</v>
      </c>
      <c r="E27" s="13">
        <f>22870+1627+262+1200</f>
        <v>25959</v>
      </c>
      <c r="F27" s="13">
        <f>22870+1627+262+1200</f>
        <v>25959</v>
      </c>
      <c r="G27" s="13">
        <f>22870+1627+262+1200</f>
        <v>25959</v>
      </c>
      <c r="H27" s="13">
        <f>22870+1627+262+1200</f>
        <v>25959</v>
      </c>
      <c r="I27" s="13">
        <v>25417</v>
      </c>
      <c r="J27" s="141">
        <v>2950</v>
      </c>
      <c r="K27" s="13">
        <f>3030+211</f>
        <v>3241</v>
      </c>
      <c r="L27" s="13">
        <f>3030+211+156</f>
        <v>3397</v>
      </c>
      <c r="M27" s="13">
        <f>3030+211+156</f>
        <v>3397</v>
      </c>
      <c r="N27" s="13">
        <f>3030+211+156</f>
        <v>3397</v>
      </c>
      <c r="O27" s="13">
        <f>3030+211+156</f>
        <v>3397</v>
      </c>
      <c r="P27" s="13">
        <v>3368</v>
      </c>
      <c r="Q27" s="266"/>
      <c r="R27" s="266"/>
      <c r="S27" s="266"/>
      <c r="T27" s="266"/>
      <c r="U27" s="266"/>
      <c r="V27" s="266"/>
      <c r="W27" s="266"/>
      <c r="X27" s="501">
        <f t="shared" ref="X27:AD28" si="24">C27+J27+Q27</f>
        <v>26650</v>
      </c>
      <c r="Y27" s="257">
        <f t="shared" si="24"/>
        <v>27738</v>
      </c>
      <c r="Z27" s="257">
        <f t="shared" si="24"/>
        <v>29356</v>
      </c>
      <c r="AA27" s="257">
        <f t="shared" si="24"/>
        <v>29356</v>
      </c>
      <c r="AB27" s="257">
        <f t="shared" si="24"/>
        <v>29356</v>
      </c>
      <c r="AC27" s="257">
        <f t="shared" si="24"/>
        <v>29356</v>
      </c>
      <c r="AD27" s="257">
        <f t="shared" si="24"/>
        <v>28785</v>
      </c>
      <c r="AE27" s="558">
        <f t="shared" si="9"/>
        <v>98.054912113366939</v>
      </c>
    </row>
    <row r="28" spans="1:31" x14ac:dyDescent="0.2">
      <c r="A28" s="56"/>
      <c r="B28" s="8" t="s">
        <v>70</v>
      </c>
      <c r="C28" s="141">
        <v>984</v>
      </c>
      <c r="D28" s="13">
        <v>850</v>
      </c>
      <c r="E28" s="13">
        <v>850</v>
      </c>
      <c r="F28" s="13">
        <v>850</v>
      </c>
      <c r="G28" s="13">
        <v>850</v>
      </c>
      <c r="H28" s="13">
        <v>850</v>
      </c>
      <c r="I28" s="13">
        <v>784</v>
      </c>
      <c r="J28" s="141">
        <v>110</v>
      </c>
      <c r="K28" s="13">
        <v>100</v>
      </c>
      <c r="L28" s="13">
        <v>100</v>
      </c>
      <c r="M28" s="13">
        <v>100</v>
      </c>
      <c r="N28" s="13">
        <v>100</v>
      </c>
      <c r="O28" s="13">
        <v>100</v>
      </c>
      <c r="P28" s="13">
        <v>97</v>
      </c>
      <c r="Q28" s="266"/>
      <c r="R28" s="266"/>
      <c r="S28" s="266"/>
      <c r="T28" s="266"/>
      <c r="U28" s="266"/>
      <c r="V28" s="266"/>
      <c r="W28" s="266"/>
      <c r="X28" s="501">
        <f t="shared" si="24"/>
        <v>1094</v>
      </c>
      <c r="Y28" s="257">
        <f t="shared" si="24"/>
        <v>950</v>
      </c>
      <c r="Z28" s="257">
        <f t="shared" si="24"/>
        <v>950</v>
      </c>
      <c r="AA28" s="257">
        <f t="shared" si="24"/>
        <v>950</v>
      </c>
      <c r="AB28" s="257">
        <f t="shared" si="24"/>
        <v>950</v>
      </c>
      <c r="AC28" s="257">
        <f t="shared" si="24"/>
        <v>950</v>
      </c>
      <c r="AD28" s="257">
        <f t="shared" si="24"/>
        <v>881</v>
      </c>
      <c r="AE28" s="558">
        <f t="shared" si="9"/>
        <v>92.736842105263165</v>
      </c>
    </row>
    <row r="29" spans="1:31" x14ac:dyDescent="0.2">
      <c r="A29" s="73" t="s">
        <v>170</v>
      </c>
      <c r="B29" s="91" t="s">
        <v>68</v>
      </c>
      <c r="C29" s="495">
        <f t="shared" ref="C29:E29" si="25">SUM(C27:C28)</f>
        <v>24684</v>
      </c>
      <c r="D29" s="192">
        <f t="shared" ref="D29" si="26">SUM(D27:D28)</f>
        <v>25347</v>
      </c>
      <c r="E29" s="192">
        <f t="shared" si="25"/>
        <v>26809</v>
      </c>
      <c r="F29" s="192">
        <f t="shared" ref="F29:G29" si="27">SUM(F27:F28)</f>
        <v>26809</v>
      </c>
      <c r="G29" s="192">
        <f t="shared" si="27"/>
        <v>26809</v>
      </c>
      <c r="H29" s="192">
        <f t="shared" ref="H29:I29" si="28">SUM(H27:H28)</f>
        <v>26809</v>
      </c>
      <c r="I29" s="192">
        <f t="shared" si="28"/>
        <v>26201</v>
      </c>
      <c r="J29" s="495">
        <f t="shared" ref="J29:K29" si="29">SUM(J27:J28)</f>
        <v>3060</v>
      </c>
      <c r="K29" s="192">
        <f t="shared" si="29"/>
        <v>3341</v>
      </c>
      <c r="L29" s="192">
        <f t="shared" ref="L29" si="30">SUM(L27:L28)</f>
        <v>3497</v>
      </c>
      <c r="M29" s="192">
        <f t="shared" ref="M29:N29" si="31">SUM(M27:M28)</f>
        <v>3497</v>
      </c>
      <c r="N29" s="192">
        <f t="shared" si="31"/>
        <v>3497</v>
      </c>
      <c r="O29" s="192">
        <f t="shared" ref="O29:P29" si="32">SUM(O27:O28)</f>
        <v>3497</v>
      </c>
      <c r="P29" s="192">
        <f t="shared" si="32"/>
        <v>3465</v>
      </c>
      <c r="Q29" s="192">
        <f t="shared" ref="Q29" si="33">SUM(Q27:Q28)</f>
        <v>0</v>
      </c>
      <c r="R29" s="192"/>
      <c r="S29" s="192">
        <f t="shared" ref="S29:W29" si="34">SUM(S27:S28)</f>
        <v>0</v>
      </c>
      <c r="T29" s="192">
        <f t="shared" si="34"/>
        <v>0</v>
      </c>
      <c r="U29" s="192">
        <f t="shared" si="34"/>
        <v>0</v>
      </c>
      <c r="V29" s="192"/>
      <c r="W29" s="192">
        <f t="shared" si="34"/>
        <v>0</v>
      </c>
      <c r="X29" s="502">
        <f t="shared" ref="X29:AB29" si="35">SUM(X27:X28)</f>
        <v>27744</v>
      </c>
      <c r="Y29" s="127">
        <f t="shared" si="35"/>
        <v>28688</v>
      </c>
      <c r="Z29" s="127">
        <f t="shared" si="35"/>
        <v>30306</v>
      </c>
      <c r="AA29" s="127">
        <f t="shared" si="35"/>
        <v>30306</v>
      </c>
      <c r="AB29" s="127">
        <f t="shared" si="35"/>
        <v>30306</v>
      </c>
      <c r="AC29" s="127">
        <f t="shared" ref="AC29:AD29" si="36">SUM(AC27:AC28)</f>
        <v>30306</v>
      </c>
      <c r="AD29" s="127">
        <f t="shared" si="36"/>
        <v>29666</v>
      </c>
      <c r="AE29" s="558">
        <f t="shared" si="9"/>
        <v>97.888206955718331</v>
      </c>
    </row>
    <row r="30" spans="1:31" x14ac:dyDescent="0.2">
      <c r="A30" s="73" t="s">
        <v>211</v>
      </c>
      <c r="B30" s="14" t="s">
        <v>217</v>
      </c>
      <c r="C30" s="402">
        <f t="shared" ref="C30:E30" si="37">SUM(C31:C38)</f>
        <v>4188</v>
      </c>
      <c r="D30" s="5">
        <f t="shared" ref="D30" si="38">SUM(D31:D38)</f>
        <v>4266</v>
      </c>
      <c r="E30" s="5">
        <f t="shared" si="37"/>
        <v>4266</v>
      </c>
      <c r="F30" s="5">
        <f t="shared" ref="F30:G30" si="39">SUM(F31:F38)</f>
        <v>4266</v>
      </c>
      <c r="G30" s="5">
        <f t="shared" si="39"/>
        <v>4266</v>
      </c>
      <c r="H30" s="5">
        <f t="shared" ref="H30:I30" si="40">SUM(H31:H38)</f>
        <v>4266</v>
      </c>
      <c r="I30" s="5">
        <f t="shared" si="40"/>
        <v>3839</v>
      </c>
      <c r="J30" s="402">
        <f t="shared" ref="J30:K30" si="41">SUM(J31:J38)</f>
        <v>0</v>
      </c>
      <c r="K30" s="5">
        <f t="shared" si="41"/>
        <v>16</v>
      </c>
      <c r="L30" s="5">
        <f t="shared" ref="L30:N30" si="42">SUM(L31:L38)</f>
        <v>16</v>
      </c>
      <c r="M30" s="5">
        <f t="shared" si="42"/>
        <v>16</v>
      </c>
      <c r="N30" s="5">
        <f t="shared" si="42"/>
        <v>16</v>
      </c>
      <c r="O30" s="5">
        <f t="shared" ref="O30:P30" si="43">SUM(O31:O38)</f>
        <v>16</v>
      </c>
      <c r="P30" s="5">
        <f t="shared" si="43"/>
        <v>0</v>
      </c>
      <c r="Q30" s="5">
        <f t="shared" ref="Q30" si="44">SUM(Q31:Q38)</f>
        <v>0</v>
      </c>
      <c r="R30" s="5"/>
      <c r="S30" s="5">
        <f t="shared" ref="S30:W30" si="45">SUM(S31:S38)</f>
        <v>0</v>
      </c>
      <c r="T30" s="5">
        <f t="shared" si="45"/>
        <v>0</v>
      </c>
      <c r="U30" s="5">
        <f t="shared" si="45"/>
        <v>0</v>
      </c>
      <c r="V30" s="5"/>
      <c r="W30" s="5">
        <f t="shared" si="45"/>
        <v>0</v>
      </c>
      <c r="X30" s="500">
        <f t="shared" ref="X30:AD30" si="46">(J30+C30+Q30)</f>
        <v>4188</v>
      </c>
      <c r="Y30" s="256">
        <f t="shared" si="46"/>
        <v>4282</v>
      </c>
      <c r="Z30" s="256">
        <f t="shared" si="46"/>
        <v>4282</v>
      </c>
      <c r="AA30" s="256">
        <f t="shared" si="46"/>
        <v>4282</v>
      </c>
      <c r="AB30" s="256">
        <f t="shared" si="46"/>
        <v>4282</v>
      </c>
      <c r="AC30" s="256">
        <f t="shared" si="46"/>
        <v>4282</v>
      </c>
      <c r="AD30" s="256">
        <f t="shared" si="46"/>
        <v>3839</v>
      </c>
      <c r="AE30" s="558">
        <f t="shared" si="9"/>
        <v>89.654367118169077</v>
      </c>
    </row>
    <row r="31" spans="1:31" x14ac:dyDescent="0.2">
      <c r="A31" s="56" t="s">
        <v>487</v>
      </c>
      <c r="B31" s="8" t="s">
        <v>255</v>
      </c>
      <c r="C31" s="141">
        <v>91</v>
      </c>
      <c r="D31" s="13">
        <f t="shared" ref="D31:H31" si="47">105+6+100</f>
        <v>211</v>
      </c>
      <c r="E31" s="13">
        <f t="shared" si="47"/>
        <v>211</v>
      </c>
      <c r="F31" s="13">
        <f t="shared" si="47"/>
        <v>211</v>
      </c>
      <c r="G31" s="13">
        <f t="shared" si="47"/>
        <v>211</v>
      </c>
      <c r="H31" s="13">
        <f t="shared" si="47"/>
        <v>211</v>
      </c>
      <c r="I31" s="13">
        <v>180</v>
      </c>
      <c r="J31" s="141">
        <v>0</v>
      </c>
      <c r="K31" s="13">
        <v>16</v>
      </c>
      <c r="L31" s="13">
        <v>16</v>
      </c>
      <c r="M31" s="13">
        <v>16</v>
      </c>
      <c r="N31" s="13">
        <v>16</v>
      </c>
      <c r="O31" s="13">
        <v>16</v>
      </c>
      <c r="P31" s="13">
        <v>0</v>
      </c>
      <c r="Q31" s="13"/>
      <c r="R31" s="13"/>
      <c r="S31" s="13"/>
      <c r="T31" s="13"/>
      <c r="U31" s="13"/>
      <c r="V31" s="13"/>
      <c r="W31" s="13"/>
      <c r="X31" s="501">
        <f t="shared" ref="X31:AD31" si="48">C31+J31+Q31</f>
        <v>91</v>
      </c>
      <c r="Y31" s="257">
        <f t="shared" si="48"/>
        <v>227</v>
      </c>
      <c r="Z31" s="257">
        <f t="shared" si="48"/>
        <v>227</v>
      </c>
      <c r="AA31" s="257">
        <f t="shared" si="48"/>
        <v>227</v>
      </c>
      <c r="AB31" s="257">
        <f t="shared" si="48"/>
        <v>227</v>
      </c>
      <c r="AC31" s="257">
        <f t="shared" si="48"/>
        <v>227</v>
      </c>
      <c r="AD31" s="257">
        <f t="shared" si="48"/>
        <v>180</v>
      </c>
      <c r="AE31" s="558">
        <f t="shared" si="9"/>
        <v>79.295154185022028</v>
      </c>
    </row>
    <row r="32" spans="1:31" x14ac:dyDescent="0.2">
      <c r="A32" s="56" t="s">
        <v>441</v>
      </c>
      <c r="B32" s="8" t="s">
        <v>218</v>
      </c>
      <c r="C32" s="141">
        <v>431</v>
      </c>
      <c r="D32" s="13">
        <v>350</v>
      </c>
      <c r="E32" s="13">
        <v>350</v>
      </c>
      <c r="F32" s="13">
        <v>350</v>
      </c>
      <c r="G32" s="13">
        <v>350</v>
      </c>
      <c r="H32" s="13">
        <f>350-44</f>
        <v>306</v>
      </c>
      <c r="I32" s="13">
        <v>156</v>
      </c>
      <c r="J32" s="141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501">
        <f t="shared" ref="X32:AA36" si="49">C32+J32+Q32</f>
        <v>431</v>
      </c>
      <c r="Y32" s="257">
        <f t="shared" si="49"/>
        <v>350</v>
      </c>
      <c r="Z32" s="257">
        <f t="shared" si="49"/>
        <v>350</v>
      </c>
      <c r="AA32" s="257">
        <f t="shared" si="49"/>
        <v>350</v>
      </c>
      <c r="AB32" s="257">
        <f t="shared" ref="AB32:AD39" si="50">G32+N32+U32</f>
        <v>350</v>
      </c>
      <c r="AC32" s="257">
        <f t="shared" si="50"/>
        <v>306</v>
      </c>
      <c r="AD32" s="257">
        <f t="shared" si="50"/>
        <v>156</v>
      </c>
      <c r="AE32" s="558">
        <f t="shared" si="9"/>
        <v>50.980392156862742</v>
      </c>
    </row>
    <row r="33" spans="1:31" x14ac:dyDescent="0.2">
      <c r="A33" s="56"/>
      <c r="B33" s="8" t="s">
        <v>260</v>
      </c>
      <c r="C33" s="141">
        <v>1177</v>
      </c>
      <c r="D33" s="13">
        <f t="shared" ref="D33:H33" si="51">1300+305</f>
        <v>1605</v>
      </c>
      <c r="E33" s="13">
        <f t="shared" si="51"/>
        <v>1605</v>
      </c>
      <c r="F33" s="13">
        <f t="shared" si="51"/>
        <v>1605</v>
      </c>
      <c r="G33" s="13">
        <f t="shared" si="51"/>
        <v>1605</v>
      </c>
      <c r="H33" s="13">
        <f t="shared" si="51"/>
        <v>1605</v>
      </c>
      <c r="I33" s="13">
        <v>1565</v>
      </c>
      <c r="J33" s="141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501">
        <f t="shared" si="49"/>
        <v>1177</v>
      </c>
      <c r="Y33" s="257">
        <f t="shared" si="49"/>
        <v>1605</v>
      </c>
      <c r="Z33" s="257">
        <f t="shared" si="49"/>
        <v>1605</v>
      </c>
      <c r="AA33" s="257">
        <f t="shared" si="49"/>
        <v>1605</v>
      </c>
      <c r="AB33" s="257">
        <f t="shared" si="50"/>
        <v>1605</v>
      </c>
      <c r="AC33" s="257">
        <f t="shared" si="50"/>
        <v>1605</v>
      </c>
      <c r="AD33" s="257">
        <f t="shared" si="50"/>
        <v>1565</v>
      </c>
      <c r="AE33" s="558">
        <f t="shared" si="9"/>
        <v>97.507788161993773</v>
      </c>
    </row>
    <row r="34" spans="1:31" x14ac:dyDescent="0.2">
      <c r="A34" s="56"/>
      <c r="B34" s="8" t="s">
        <v>356</v>
      </c>
      <c r="C34" s="141">
        <v>301</v>
      </c>
      <c r="D34" s="13">
        <v>500</v>
      </c>
      <c r="E34" s="13">
        <v>500</v>
      </c>
      <c r="F34" s="13">
        <v>500</v>
      </c>
      <c r="G34" s="13">
        <v>500</v>
      </c>
      <c r="H34" s="13">
        <f>500+44</f>
        <v>544</v>
      </c>
      <c r="I34" s="13">
        <v>544</v>
      </c>
      <c r="J34" s="141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501">
        <f t="shared" si="49"/>
        <v>301</v>
      </c>
      <c r="Y34" s="257">
        <f t="shared" si="49"/>
        <v>500</v>
      </c>
      <c r="Z34" s="257">
        <f t="shared" si="49"/>
        <v>500</v>
      </c>
      <c r="AA34" s="257">
        <f t="shared" si="49"/>
        <v>500</v>
      </c>
      <c r="AB34" s="257">
        <f t="shared" si="50"/>
        <v>500</v>
      </c>
      <c r="AC34" s="257">
        <f t="shared" si="50"/>
        <v>544</v>
      </c>
      <c r="AD34" s="257">
        <f t="shared" si="50"/>
        <v>544</v>
      </c>
      <c r="AE34" s="558">
        <f t="shared" si="9"/>
        <v>100</v>
      </c>
    </row>
    <row r="35" spans="1:31" x14ac:dyDescent="0.2">
      <c r="A35" s="56"/>
      <c r="B35" s="8" t="s">
        <v>240</v>
      </c>
      <c r="C35" s="141">
        <v>1391</v>
      </c>
      <c r="D35" s="13">
        <v>1600</v>
      </c>
      <c r="E35" s="13">
        <v>1600</v>
      </c>
      <c r="F35" s="13">
        <v>1600</v>
      </c>
      <c r="G35" s="13">
        <v>1600</v>
      </c>
      <c r="H35" s="13">
        <v>1600</v>
      </c>
      <c r="I35" s="13">
        <v>1394</v>
      </c>
      <c r="J35" s="141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501">
        <f t="shared" si="49"/>
        <v>1391</v>
      </c>
      <c r="Y35" s="257">
        <f t="shared" si="49"/>
        <v>1600</v>
      </c>
      <c r="Z35" s="257">
        <f t="shared" si="49"/>
        <v>1600</v>
      </c>
      <c r="AA35" s="257">
        <f t="shared" si="49"/>
        <v>1600</v>
      </c>
      <c r="AB35" s="257">
        <f t="shared" si="50"/>
        <v>1600</v>
      </c>
      <c r="AC35" s="257">
        <f t="shared" si="50"/>
        <v>1600</v>
      </c>
      <c r="AD35" s="257">
        <f t="shared" si="50"/>
        <v>1394</v>
      </c>
      <c r="AE35" s="558">
        <f t="shared" si="9"/>
        <v>87.125</v>
      </c>
    </row>
    <row r="36" spans="1:31" x14ac:dyDescent="0.2">
      <c r="A36" s="56"/>
      <c r="B36" s="8" t="s">
        <v>601</v>
      </c>
      <c r="C36" s="141">
        <v>594</v>
      </c>
      <c r="D36" s="13"/>
      <c r="E36" s="13"/>
      <c r="F36" s="13"/>
      <c r="G36" s="13"/>
      <c r="H36" s="13"/>
      <c r="I36" s="13"/>
      <c r="J36" s="141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501">
        <f t="shared" si="49"/>
        <v>594</v>
      </c>
      <c r="Y36" s="257">
        <f t="shared" si="49"/>
        <v>0</v>
      </c>
      <c r="Z36" s="257">
        <f t="shared" si="49"/>
        <v>0</v>
      </c>
      <c r="AA36" s="257">
        <f t="shared" si="49"/>
        <v>0</v>
      </c>
      <c r="AB36" s="257">
        <f t="shared" si="50"/>
        <v>0</v>
      </c>
      <c r="AC36" s="257">
        <f t="shared" si="50"/>
        <v>0</v>
      </c>
      <c r="AD36" s="257">
        <f t="shared" si="50"/>
        <v>0</v>
      </c>
      <c r="AE36" s="558"/>
    </row>
    <row r="37" spans="1:31" x14ac:dyDescent="0.2">
      <c r="A37" s="56"/>
      <c r="B37" s="8" t="s">
        <v>657</v>
      </c>
      <c r="C37" s="141">
        <v>203</v>
      </c>
      <c r="D37" s="13"/>
      <c r="E37" s="13"/>
      <c r="F37" s="13"/>
      <c r="G37" s="13"/>
      <c r="H37" s="13"/>
      <c r="I37" s="13"/>
      <c r="J37" s="141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501">
        <f t="shared" ref="X37:X76" si="52">C37+J37+Q37</f>
        <v>203</v>
      </c>
      <c r="Y37" s="257">
        <f t="shared" ref="Y37:Y76" si="53">D37+K37+R37</f>
        <v>0</v>
      </c>
      <c r="Z37" s="257">
        <f t="shared" ref="Z37:Z38" si="54">E37+L37+S37</f>
        <v>0</v>
      </c>
      <c r="AA37" s="257">
        <f t="shared" ref="AA37:AA38" si="55">F37+M37+T37</f>
        <v>0</v>
      </c>
      <c r="AB37" s="257">
        <f t="shared" ref="AB37:AD38" si="56">G37+N37+U37</f>
        <v>0</v>
      </c>
      <c r="AC37" s="257">
        <f t="shared" si="56"/>
        <v>0</v>
      </c>
      <c r="AD37" s="257">
        <f t="shared" si="56"/>
        <v>0</v>
      </c>
      <c r="AE37" s="558"/>
    </row>
    <row r="38" spans="1:31" ht="12.75" hidden="1" customHeight="1" x14ac:dyDescent="0.2">
      <c r="A38" s="56"/>
      <c r="B38" s="8"/>
      <c r="C38" s="141"/>
      <c r="D38" s="13"/>
      <c r="E38" s="13"/>
      <c r="F38" s="13"/>
      <c r="G38" s="13"/>
      <c r="H38" s="13"/>
      <c r="I38" s="13"/>
      <c r="J38" s="141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501">
        <f t="shared" si="52"/>
        <v>0</v>
      </c>
      <c r="Y38" s="257">
        <f t="shared" si="53"/>
        <v>0</v>
      </c>
      <c r="Z38" s="257">
        <f t="shared" si="54"/>
        <v>0</v>
      </c>
      <c r="AA38" s="257">
        <f t="shared" si="55"/>
        <v>0</v>
      </c>
      <c r="AB38" s="257">
        <f t="shared" si="56"/>
        <v>0</v>
      </c>
      <c r="AC38" s="257">
        <f t="shared" si="56"/>
        <v>0</v>
      </c>
      <c r="AD38" s="257">
        <f t="shared" si="56"/>
        <v>0</v>
      </c>
      <c r="AE38" s="558" t="e">
        <f t="shared" si="9"/>
        <v>#DIV/0!</v>
      </c>
    </row>
    <row r="39" spans="1:31" x14ac:dyDescent="0.2">
      <c r="A39" s="73" t="s">
        <v>212</v>
      </c>
      <c r="B39" s="14" t="s">
        <v>219</v>
      </c>
      <c r="C39" s="402">
        <f t="shared" ref="C39:G39" si="57">SUM(C40:C47)</f>
        <v>2387</v>
      </c>
      <c r="D39" s="5">
        <f t="shared" si="57"/>
        <v>1935</v>
      </c>
      <c r="E39" s="5">
        <f t="shared" si="57"/>
        <v>1935</v>
      </c>
      <c r="F39" s="5">
        <f t="shared" si="57"/>
        <v>1935</v>
      </c>
      <c r="G39" s="5">
        <f t="shared" si="57"/>
        <v>1935</v>
      </c>
      <c r="H39" s="5">
        <f t="shared" ref="H39:I39" si="58">SUM(H40:H47)</f>
        <v>1935</v>
      </c>
      <c r="I39" s="5">
        <f t="shared" si="58"/>
        <v>1418</v>
      </c>
      <c r="J39" s="402">
        <f t="shared" ref="J39:W39" si="59">SUM(J40:J45)</f>
        <v>28</v>
      </c>
      <c r="K39" s="5">
        <f t="shared" ref="K39" si="60">SUM(K40:K45)</f>
        <v>50</v>
      </c>
      <c r="L39" s="5">
        <f t="shared" ref="L39:N39" si="61">SUM(L40:L45)</f>
        <v>50</v>
      </c>
      <c r="M39" s="5">
        <f t="shared" si="61"/>
        <v>50</v>
      </c>
      <c r="N39" s="5">
        <f t="shared" si="61"/>
        <v>50</v>
      </c>
      <c r="O39" s="5">
        <f t="shared" ref="O39:P39" si="62">SUM(O40:O45)</f>
        <v>50</v>
      </c>
      <c r="P39" s="5">
        <f t="shared" si="62"/>
        <v>42</v>
      </c>
      <c r="Q39" s="5">
        <f t="shared" si="59"/>
        <v>0</v>
      </c>
      <c r="R39" s="5"/>
      <c r="S39" s="5">
        <f t="shared" si="59"/>
        <v>0</v>
      </c>
      <c r="T39" s="5">
        <f t="shared" si="59"/>
        <v>0</v>
      </c>
      <c r="U39" s="5">
        <f t="shared" si="59"/>
        <v>0</v>
      </c>
      <c r="V39" s="5"/>
      <c r="W39" s="5">
        <f t="shared" si="59"/>
        <v>0</v>
      </c>
      <c r="X39" s="500">
        <f t="shared" si="52"/>
        <v>2415</v>
      </c>
      <c r="Y39" s="256">
        <f t="shared" si="53"/>
        <v>1985</v>
      </c>
      <c r="Z39" s="256">
        <f>E39+L39+S39</f>
        <v>1985</v>
      </c>
      <c r="AA39" s="256">
        <f>F39+M39+T39</f>
        <v>1985</v>
      </c>
      <c r="AB39" s="256">
        <f t="shared" si="50"/>
        <v>1985</v>
      </c>
      <c r="AC39" s="256">
        <f t="shared" si="50"/>
        <v>1985</v>
      </c>
      <c r="AD39" s="256">
        <f t="shared" si="50"/>
        <v>1460</v>
      </c>
      <c r="AE39" s="558">
        <f t="shared" si="9"/>
        <v>73.551637279596989</v>
      </c>
    </row>
    <row r="40" spans="1:31" x14ac:dyDescent="0.2">
      <c r="A40" s="56" t="s">
        <v>546</v>
      </c>
      <c r="B40" s="8" t="s">
        <v>220</v>
      </c>
      <c r="C40" s="141"/>
      <c r="D40" s="13"/>
      <c r="E40" s="13"/>
      <c r="F40" s="13"/>
      <c r="G40" s="13"/>
      <c r="H40" s="13"/>
      <c r="I40" s="13"/>
      <c r="J40" s="141"/>
      <c r="K40" s="13"/>
      <c r="L40" s="13"/>
      <c r="M40" s="13"/>
      <c r="N40" s="13"/>
      <c r="O40" s="13"/>
      <c r="P40" s="13"/>
      <c r="Q40" s="266"/>
      <c r="R40" s="266"/>
      <c r="S40" s="266"/>
      <c r="T40" s="266"/>
      <c r="U40" s="266"/>
      <c r="V40" s="266"/>
      <c r="W40" s="266"/>
      <c r="X40" s="501">
        <f t="shared" si="52"/>
        <v>0</v>
      </c>
      <c r="Y40" s="257">
        <f t="shared" si="53"/>
        <v>0</v>
      </c>
      <c r="Z40" s="257">
        <f>E40+L40+S40</f>
        <v>0</v>
      </c>
      <c r="AA40" s="257">
        <f>F40+M40+T40</f>
        <v>0</v>
      </c>
      <c r="AB40" s="257">
        <f>G40+N40+U40</f>
        <v>0</v>
      </c>
      <c r="AC40" s="257">
        <f>H40+O40+V40</f>
        <v>0</v>
      </c>
      <c r="AD40" s="257">
        <f>I40+P40+W40</f>
        <v>0</v>
      </c>
      <c r="AE40" s="558"/>
    </row>
    <row r="41" spans="1:31" x14ac:dyDescent="0.2">
      <c r="A41" s="56"/>
      <c r="B41" s="8" t="s">
        <v>602</v>
      </c>
      <c r="C41" s="141">
        <v>180</v>
      </c>
      <c r="D41" s="13">
        <v>200</v>
      </c>
      <c r="E41" s="13">
        <f>200-5</f>
        <v>195</v>
      </c>
      <c r="F41" s="13">
        <f>200-5</f>
        <v>195</v>
      </c>
      <c r="G41" s="13">
        <f>200-5</f>
        <v>195</v>
      </c>
      <c r="H41" s="13">
        <f>200-5</f>
        <v>195</v>
      </c>
      <c r="I41" s="13">
        <v>180</v>
      </c>
      <c r="J41" s="141"/>
      <c r="K41" s="13"/>
      <c r="L41" s="13"/>
      <c r="M41" s="13"/>
      <c r="N41" s="13"/>
      <c r="O41" s="13"/>
      <c r="P41" s="13"/>
      <c r="Q41" s="266"/>
      <c r="R41" s="266"/>
      <c r="S41" s="266"/>
      <c r="T41" s="266"/>
      <c r="U41" s="266"/>
      <c r="V41" s="266"/>
      <c r="W41" s="266"/>
      <c r="X41" s="501">
        <f t="shared" si="52"/>
        <v>180</v>
      </c>
      <c r="Y41" s="257">
        <f t="shared" si="53"/>
        <v>200</v>
      </c>
      <c r="Z41" s="257">
        <f t="shared" ref="Z41:Z45" si="63">E41+L41+S41</f>
        <v>195</v>
      </c>
      <c r="AA41" s="257">
        <f t="shared" ref="AA41:AA45" si="64">F41+M41+T41</f>
        <v>195</v>
      </c>
      <c r="AB41" s="257">
        <f t="shared" ref="AB41:AD45" si="65">G41+N41+U41</f>
        <v>195</v>
      </c>
      <c r="AC41" s="257">
        <f t="shared" si="65"/>
        <v>195</v>
      </c>
      <c r="AD41" s="257">
        <f t="shared" si="65"/>
        <v>180</v>
      </c>
      <c r="AE41" s="558">
        <f t="shared" si="9"/>
        <v>92.307692307692307</v>
      </c>
    </row>
    <row r="42" spans="1:31" x14ac:dyDescent="0.2">
      <c r="A42" s="56"/>
      <c r="B42" s="8" t="s">
        <v>547</v>
      </c>
      <c r="C42" s="141">
        <v>464</v>
      </c>
      <c r="D42" s="13">
        <f t="shared" ref="D42:H42" si="66">122+223</f>
        <v>345</v>
      </c>
      <c r="E42" s="13">
        <f t="shared" si="66"/>
        <v>345</v>
      </c>
      <c r="F42" s="13">
        <f t="shared" si="66"/>
        <v>345</v>
      </c>
      <c r="G42" s="13">
        <f t="shared" si="66"/>
        <v>345</v>
      </c>
      <c r="H42" s="13">
        <f t="shared" si="66"/>
        <v>345</v>
      </c>
      <c r="I42" s="13">
        <v>288</v>
      </c>
      <c r="J42" s="141"/>
      <c r="K42" s="13"/>
      <c r="L42" s="13"/>
      <c r="M42" s="13"/>
      <c r="N42" s="13"/>
      <c r="O42" s="13"/>
      <c r="P42" s="13"/>
      <c r="Q42" s="266"/>
      <c r="R42" s="266"/>
      <c r="S42" s="266"/>
      <c r="T42" s="266"/>
      <c r="U42" s="266"/>
      <c r="V42" s="266"/>
      <c r="W42" s="266"/>
      <c r="X42" s="501">
        <f t="shared" si="52"/>
        <v>464</v>
      </c>
      <c r="Y42" s="257">
        <f t="shared" si="53"/>
        <v>345</v>
      </c>
      <c r="Z42" s="257">
        <f t="shared" si="63"/>
        <v>345</v>
      </c>
      <c r="AA42" s="257">
        <f t="shared" si="64"/>
        <v>345</v>
      </c>
      <c r="AB42" s="257">
        <f t="shared" si="65"/>
        <v>345</v>
      </c>
      <c r="AC42" s="257">
        <f t="shared" si="65"/>
        <v>345</v>
      </c>
      <c r="AD42" s="257">
        <f t="shared" si="65"/>
        <v>288</v>
      </c>
      <c r="AE42" s="558">
        <f t="shared" si="9"/>
        <v>83.478260869565219</v>
      </c>
    </row>
    <row r="43" spans="1:31" x14ac:dyDescent="0.2">
      <c r="A43" s="56"/>
      <c r="B43" s="8" t="s">
        <v>698</v>
      </c>
      <c r="C43" s="141">
        <v>0</v>
      </c>
      <c r="D43" s="13">
        <f>125</f>
        <v>125</v>
      </c>
      <c r="E43" s="13">
        <f>125+5</f>
        <v>130</v>
      </c>
      <c r="F43" s="13">
        <f>125+5</f>
        <v>130</v>
      </c>
      <c r="G43" s="13">
        <f>125+5</f>
        <v>130</v>
      </c>
      <c r="H43" s="13">
        <f>125+5</f>
        <v>130</v>
      </c>
      <c r="I43" s="13">
        <v>124</v>
      </c>
      <c r="J43" s="141">
        <v>14</v>
      </c>
      <c r="K43" s="13">
        <v>25</v>
      </c>
      <c r="L43" s="13">
        <v>25</v>
      </c>
      <c r="M43" s="13">
        <v>25</v>
      </c>
      <c r="N43" s="13">
        <v>25</v>
      </c>
      <c r="O43" s="13">
        <v>25</v>
      </c>
      <c r="P43" s="13">
        <v>19</v>
      </c>
      <c r="Q43" s="266"/>
      <c r="R43" s="266"/>
      <c r="S43" s="266"/>
      <c r="T43" s="266"/>
      <c r="U43" s="266"/>
      <c r="V43" s="266"/>
      <c r="W43" s="266"/>
      <c r="X43" s="501">
        <f t="shared" si="52"/>
        <v>14</v>
      </c>
      <c r="Y43" s="257">
        <f t="shared" si="53"/>
        <v>150</v>
      </c>
      <c r="Z43" s="257">
        <f t="shared" si="63"/>
        <v>155</v>
      </c>
      <c r="AA43" s="257">
        <f t="shared" si="64"/>
        <v>155</v>
      </c>
      <c r="AB43" s="257">
        <f t="shared" ref="AB43" si="67">G43+N43+U43</f>
        <v>155</v>
      </c>
      <c r="AC43" s="257">
        <f t="shared" ref="AC43" si="68">H43+O43+V43</f>
        <v>155</v>
      </c>
      <c r="AD43" s="257">
        <f t="shared" si="65"/>
        <v>143</v>
      </c>
      <c r="AE43" s="558">
        <f t="shared" si="9"/>
        <v>92.258064516129039</v>
      </c>
    </row>
    <row r="44" spans="1:31" x14ac:dyDescent="0.2">
      <c r="A44" s="56"/>
      <c r="B44" s="8" t="s">
        <v>619</v>
      </c>
      <c r="C44" s="141">
        <v>1108</v>
      </c>
      <c r="D44" s="13">
        <f t="shared" ref="D44:H44" si="69">140+450</f>
        <v>590</v>
      </c>
      <c r="E44" s="13">
        <f t="shared" si="69"/>
        <v>590</v>
      </c>
      <c r="F44" s="13">
        <f t="shared" si="69"/>
        <v>590</v>
      </c>
      <c r="G44" s="13">
        <f t="shared" si="69"/>
        <v>590</v>
      </c>
      <c r="H44" s="13">
        <f t="shared" si="69"/>
        <v>590</v>
      </c>
      <c r="I44" s="13">
        <v>252</v>
      </c>
      <c r="J44" s="141"/>
      <c r="K44" s="13"/>
      <c r="L44" s="13"/>
      <c r="M44" s="13"/>
      <c r="N44" s="13"/>
      <c r="O44" s="13"/>
      <c r="P44" s="13"/>
      <c r="Q44" s="266"/>
      <c r="R44" s="266"/>
      <c r="S44" s="266"/>
      <c r="T44" s="266"/>
      <c r="U44" s="266"/>
      <c r="V44" s="266"/>
      <c r="W44" s="266"/>
      <c r="X44" s="501">
        <f t="shared" si="52"/>
        <v>1108</v>
      </c>
      <c r="Y44" s="257">
        <f t="shared" si="53"/>
        <v>590</v>
      </c>
      <c r="Z44" s="257">
        <f t="shared" si="63"/>
        <v>590</v>
      </c>
      <c r="AA44" s="257">
        <f t="shared" si="64"/>
        <v>590</v>
      </c>
      <c r="AB44" s="257">
        <f t="shared" si="65"/>
        <v>590</v>
      </c>
      <c r="AC44" s="257">
        <f t="shared" si="65"/>
        <v>590</v>
      </c>
      <c r="AD44" s="257">
        <f t="shared" si="65"/>
        <v>252</v>
      </c>
      <c r="AE44" s="558">
        <f t="shared" si="9"/>
        <v>42.711864406779661</v>
      </c>
    </row>
    <row r="45" spans="1:31" x14ac:dyDescent="0.2">
      <c r="A45" s="56" t="s">
        <v>488</v>
      </c>
      <c r="B45" s="8" t="s">
        <v>421</v>
      </c>
      <c r="C45" s="141">
        <v>635</v>
      </c>
      <c r="D45" s="13">
        <v>675</v>
      </c>
      <c r="E45" s="13">
        <v>675</v>
      </c>
      <c r="F45" s="13">
        <v>675</v>
      </c>
      <c r="G45" s="13">
        <v>675</v>
      </c>
      <c r="H45" s="13">
        <v>675</v>
      </c>
      <c r="I45" s="13">
        <v>574</v>
      </c>
      <c r="J45" s="141">
        <v>14</v>
      </c>
      <c r="K45" s="13">
        <v>25</v>
      </c>
      <c r="L45" s="13">
        <v>25</v>
      </c>
      <c r="M45" s="13">
        <v>25</v>
      </c>
      <c r="N45" s="13">
        <v>25</v>
      </c>
      <c r="O45" s="13">
        <v>25</v>
      </c>
      <c r="P45" s="13">
        <v>23</v>
      </c>
      <c r="Q45" s="266"/>
      <c r="R45" s="266"/>
      <c r="S45" s="266"/>
      <c r="T45" s="266"/>
      <c r="U45" s="266"/>
      <c r="V45" s="266"/>
      <c r="W45" s="266"/>
      <c r="X45" s="501">
        <f t="shared" si="52"/>
        <v>649</v>
      </c>
      <c r="Y45" s="257">
        <f t="shared" si="53"/>
        <v>700</v>
      </c>
      <c r="Z45" s="257">
        <f t="shared" si="63"/>
        <v>700</v>
      </c>
      <c r="AA45" s="257">
        <f t="shared" si="64"/>
        <v>700</v>
      </c>
      <c r="AB45" s="257">
        <f t="shared" si="65"/>
        <v>700</v>
      </c>
      <c r="AC45" s="257">
        <f t="shared" si="65"/>
        <v>700</v>
      </c>
      <c r="AD45" s="257">
        <f t="shared" si="65"/>
        <v>597</v>
      </c>
      <c r="AE45" s="558">
        <f t="shared" si="9"/>
        <v>85.285714285714292</v>
      </c>
    </row>
    <row r="46" spans="1:31" ht="12.75" hidden="1" customHeight="1" x14ac:dyDescent="0.2">
      <c r="A46" s="56"/>
      <c r="B46" s="8" t="s">
        <v>253</v>
      </c>
      <c r="C46" s="141"/>
      <c r="D46" s="13"/>
      <c r="E46" s="13"/>
      <c r="F46" s="13"/>
      <c r="G46" s="13"/>
      <c r="H46" s="13"/>
      <c r="I46" s="13"/>
      <c r="J46" s="141"/>
      <c r="K46" s="13"/>
      <c r="L46" s="13"/>
      <c r="M46" s="13"/>
      <c r="N46" s="13"/>
      <c r="O46" s="13"/>
      <c r="P46" s="13"/>
      <c r="Q46" s="266"/>
      <c r="R46" s="266"/>
      <c r="S46" s="266"/>
      <c r="T46" s="266"/>
      <c r="U46" s="266"/>
      <c r="V46" s="266"/>
      <c r="W46" s="266"/>
      <c r="X46" s="501">
        <f t="shared" si="52"/>
        <v>0</v>
      </c>
      <c r="Y46" s="257">
        <f t="shared" si="53"/>
        <v>0</v>
      </c>
      <c r="Z46" s="257">
        <f t="shared" ref="Z46:Z56" si="70">E46+L46+S46</f>
        <v>0</v>
      </c>
      <c r="AA46" s="257">
        <f t="shared" ref="AA46:AA56" si="71">F46+M46+T46</f>
        <v>0</v>
      </c>
      <c r="AB46" s="257">
        <f t="shared" ref="AB46:AD54" si="72">G46+N46+U46</f>
        <v>0</v>
      </c>
      <c r="AC46" s="257">
        <f t="shared" si="72"/>
        <v>0</v>
      </c>
      <c r="AD46" s="257">
        <f t="shared" si="72"/>
        <v>0</v>
      </c>
      <c r="AE46" s="558" t="e">
        <f t="shared" si="9"/>
        <v>#DIV/0!</v>
      </c>
    </row>
    <row r="47" spans="1:31" ht="12.75" hidden="1" customHeight="1" x14ac:dyDescent="0.2">
      <c r="A47" s="56"/>
      <c r="B47" s="8" t="s">
        <v>254</v>
      </c>
      <c r="C47" s="141"/>
      <c r="D47" s="13"/>
      <c r="E47" s="13"/>
      <c r="F47" s="13"/>
      <c r="G47" s="13"/>
      <c r="H47" s="13"/>
      <c r="I47" s="13"/>
      <c r="J47" s="141"/>
      <c r="K47" s="13"/>
      <c r="L47" s="13"/>
      <c r="M47" s="13"/>
      <c r="N47" s="13"/>
      <c r="O47" s="13"/>
      <c r="P47" s="13"/>
      <c r="Q47" s="266"/>
      <c r="R47" s="266"/>
      <c r="S47" s="266"/>
      <c r="T47" s="266"/>
      <c r="U47" s="266"/>
      <c r="V47" s="266"/>
      <c r="W47" s="266"/>
      <c r="X47" s="501">
        <f t="shared" si="52"/>
        <v>0</v>
      </c>
      <c r="Y47" s="257">
        <f t="shared" si="53"/>
        <v>0</v>
      </c>
      <c r="Z47" s="257">
        <f t="shared" si="70"/>
        <v>0</v>
      </c>
      <c r="AA47" s="257">
        <f t="shared" si="71"/>
        <v>0</v>
      </c>
      <c r="AB47" s="257">
        <f t="shared" si="72"/>
        <v>0</v>
      </c>
      <c r="AC47" s="257">
        <f t="shared" si="72"/>
        <v>0</v>
      </c>
      <c r="AD47" s="257">
        <f t="shared" si="72"/>
        <v>0</v>
      </c>
      <c r="AE47" s="558" t="e">
        <f t="shared" si="9"/>
        <v>#DIV/0!</v>
      </c>
    </row>
    <row r="48" spans="1:31" x14ac:dyDescent="0.2">
      <c r="A48" s="73" t="s">
        <v>213</v>
      </c>
      <c r="B48" s="14" t="s">
        <v>221</v>
      </c>
      <c r="C48" s="402">
        <f t="shared" ref="C48:E48" si="73">SUM(C49:C64)</f>
        <v>11345</v>
      </c>
      <c r="D48" s="5">
        <f t="shared" ref="D48" si="74">SUM(D49:D64)</f>
        <v>11890</v>
      </c>
      <c r="E48" s="5">
        <f t="shared" si="73"/>
        <v>10463</v>
      </c>
      <c r="F48" s="5">
        <f t="shared" ref="F48:G48" si="75">SUM(F49:F64)</f>
        <v>10693</v>
      </c>
      <c r="G48" s="5">
        <f t="shared" si="75"/>
        <v>10032</v>
      </c>
      <c r="H48" s="5">
        <f t="shared" ref="H48:I48" si="76">SUM(H49:H64)</f>
        <v>10032</v>
      </c>
      <c r="I48" s="5">
        <f t="shared" si="76"/>
        <v>9164</v>
      </c>
      <c r="J48" s="402">
        <f t="shared" ref="J48:W48" si="77">SUM(J49:J64)</f>
        <v>2009</v>
      </c>
      <c r="K48" s="5">
        <f t="shared" ref="K48" si="78">SUM(K49:K64)</f>
        <v>2270</v>
      </c>
      <c r="L48" s="5">
        <f t="shared" ref="L48:N48" si="79">SUM(L49:L64)</f>
        <v>6167</v>
      </c>
      <c r="M48" s="5">
        <f t="shared" si="79"/>
        <v>6167</v>
      </c>
      <c r="N48" s="5">
        <f t="shared" si="79"/>
        <v>7207</v>
      </c>
      <c r="O48" s="5">
        <f t="shared" ref="O48:P48" si="80">SUM(O49:O64)</f>
        <v>7207</v>
      </c>
      <c r="P48" s="5">
        <f t="shared" si="80"/>
        <v>7095</v>
      </c>
      <c r="Q48" s="5">
        <f t="shared" si="77"/>
        <v>0</v>
      </c>
      <c r="R48" s="5"/>
      <c r="S48" s="5">
        <f t="shared" si="77"/>
        <v>0</v>
      </c>
      <c r="T48" s="5">
        <f t="shared" si="77"/>
        <v>0</v>
      </c>
      <c r="U48" s="5">
        <f t="shared" si="77"/>
        <v>0</v>
      </c>
      <c r="V48" s="5"/>
      <c r="W48" s="5">
        <f t="shared" si="77"/>
        <v>0</v>
      </c>
      <c r="X48" s="500">
        <f t="shared" si="52"/>
        <v>13354</v>
      </c>
      <c r="Y48" s="256">
        <f t="shared" si="53"/>
        <v>14160</v>
      </c>
      <c r="Z48" s="256">
        <f t="shared" si="70"/>
        <v>16630</v>
      </c>
      <c r="AA48" s="256">
        <f t="shared" si="71"/>
        <v>16860</v>
      </c>
      <c r="AB48" s="256">
        <f t="shared" si="72"/>
        <v>17239</v>
      </c>
      <c r="AC48" s="256">
        <f t="shared" si="72"/>
        <v>17239</v>
      </c>
      <c r="AD48" s="256">
        <f t="shared" si="72"/>
        <v>16259</v>
      </c>
      <c r="AE48" s="558">
        <f t="shared" si="9"/>
        <v>94.315215499738969</v>
      </c>
    </row>
    <row r="49" spans="1:31" ht="12.75" hidden="1" customHeight="1" x14ac:dyDescent="0.2">
      <c r="A49" s="56" t="s">
        <v>214</v>
      </c>
      <c r="B49" s="8" t="s">
        <v>238</v>
      </c>
      <c r="C49" s="141"/>
      <c r="D49" s="13"/>
      <c r="E49" s="13"/>
      <c r="F49" s="13"/>
      <c r="G49" s="13"/>
      <c r="H49" s="13"/>
      <c r="I49" s="13"/>
      <c r="J49" s="141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501">
        <f t="shared" si="52"/>
        <v>0</v>
      </c>
      <c r="Y49" s="257">
        <f t="shared" si="53"/>
        <v>0</v>
      </c>
      <c r="Z49" s="257">
        <f t="shared" si="70"/>
        <v>0</v>
      </c>
      <c r="AA49" s="257">
        <f t="shared" si="71"/>
        <v>0</v>
      </c>
      <c r="AB49" s="257">
        <f t="shared" si="72"/>
        <v>0</v>
      </c>
      <c r="AC49" s="257">
        <f t="shared" si="72"/>
        <v>0</v>
      </c>
      <c r="AD49" s="257">
        <f t="shared" si="72"/>
        <v>0</v>
      </c>
      <c r="AE49" s="558" t="e">
        <f t="shared" si="9"/>
        <v>#DIV/0!</v>
      </c>
    </row>
    <row r="50" spans="1:31" x14ac:dyDescent="0.2">
      <c r="A50" s="56" t="s">
        <v>542</v>
      </c>
      <c r="B50" s="8" t="s">
        <v>566</v>
      </c>
      <c r="C50" s="159">
        <v>131</v>
      </c>
      <c r="D50" s="11">
        <f t="shared" ref="D50:H50" si="81">20+120</f>
        <v>140</v>
      </c>
      <c r="E50" s="11">
        <f t="shared" si="81"/>
        <v>140</v>
      </c>
      <c r="F50" s="11">
        <f t="shared" si="81"/>
        <v>140</v>
      </c>
      <c r="G50" s="11">
        <f t="shared" si="81"/>
        <v>140</v>
      </c>
      <c r="H50" s="11">
        <f t="shared" si="81"/>
        <v>140</v>
      </c>
      <c r="I50" s="11">
        <v>113</v>
      </c>
      <c r="J50" s="141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501">
        <f t="shared" si="52"/>
        <v>131</v>
      </c>
      <c r="Y50" s="257">
        <f t="shared" si="53"/>
        <v>140</v>
      </c>
      <c r="Z50" s="257">
        <f t="shared" si="70"/>
        <v>140</v>
      </c>
      <c r="AA50" s="257">
        <f t="shared" si="71"/>
        <v>140</v>
      </c>
      <c r="AB50" s="257">
        <f t="shared" si="72"/>
        <v>140</v>
      </c>
      <c r="AC50" s="257">
        <f t="shared" si="72"/>
        <v>140</v>
      </c>
      <c r="AD50" s="257">
        <f t="shared" si="72"/>
        <v>113</v>
      </c>
      <c r="AE50" s="558">
        <f t="shared" si="9"/>
        <v>80.714285714285722</v>
      </c>
    </row>
    <row r="51" spans="1:31" x14ac:dyDescent="0.2">
      <c r="A51" s="56" t="s">
        <v>489</v>
      </c>
      <c r="B51" s="8" t="s">
        <v>236</v>
      </c>
      <c r="C51" s="159"/>
      <c r="D51" s="375"/>
      <c r="E51" s="375"/>
      <c r="F51" s="375"/>
      <c r="G51" s="375"/>
      <c r="H51" s="375"/>
      <c r="I51" s="375"/>
      <c r="J51" s="141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501">
        <f t="shared" si="52"/>
        <v>0</v>
      </c>
      <c r="Y51" s="257">
        <f t="shared" si="53"/>
        <v>0</v>
      </c>
      <c r="Z51" s="257">
        <f t="shared" si="70"/>
        <v>0</v>
      </c>
      <c r="AA51" s="257">
        <f t="shared" si="71"/>
        <v>0</v>
      </c>
      <c r="AB51" s="257">
        <f t="shared" si="72"/>
        <v>0</v>
      </c>
      <c r="AC51" s="257">
        <f t="shared" si="72"/>
        <v>0</v>
      </c>
      <c r="AD51" s="257">
        <f t="shared" si="72"/>
        <v>0</v>
      </c>
      <c r="AE51" s="558"/>
    </row>
    <row r="52" spans="1:31" x14ac:dyDescent="0.2">
      <c r="A52" s="56"/>
      <c r="B52" s="8" t="s">
        <v>565</v>
      </c>
      <c r="C52" s="159">
        <v>360</v>
      </c>
      <c r="D52" s="11">
        <v>450</v>
      </c>
      <c r="E52" s="11">
        <f>450-90</f>
        <v>360</v>
      </c>
      <c r="F52" s="11">
        <f>450-90</f>
        <v>360</v>
      </c>
      <c r="G52" s="11">
        <f>450-90</f>
        <v>360</v>
      </c>
      <c r="H52" s="11">
        <f>450-90</f>
        <v>360</v>
      </c>
      <c r="I52" s="11">
        <v>360</v>
      </c>
      <c r="J52" s="141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501">
        <f t="shared" si="52"/>
        <v>360</v>
      </c>
      <c r="Y52" s="257">
        <f t="shared" si="53"/>
        <v>450</v>
      </c>
      <c r="Z52" s="257">
        <f t="shared" si="70"/>
        <v>360</v>
      </c>
      <c r="AA52" s="257">
        <f t="shared" si="71"/>
        <v>360</v>
      </c>
      <c r="AB52" s="257">
        <f t="shared" si="72"/>
        <v>360</v>
      </c>
      <c r="AC52" s="257">
        <f t="shared" si="72"/>
        <v>360</v>
      </c>
      <c r="AD52" s="257">
        <f t="shared" si="72"/>
        <v>360</v>
      </c>
      <c r="AE52" s="558">
        <f t="shared" si="9"/>
        <v>100</v>
      </c>
    </row>
    <row r="53" spans="1:31" x14ac:dyDescent="0.2">
      <c r="A53" s="56"/>
      <c r="B53" s="8" t="s">
        <v>603</v>
      </c>
      <c r="C53" s="159">
        <v>1093</v>
      </c>
      <c r="D53" s="11">
        <v>1200</v>
      </c>
      <c r="E53" s="11">
        <f>1200+90</f>
        <v>1290</v>
      </c>
      <c r="F53" s="11">
        <f>1200+90</f>
        <v>1290</v>
      </c>
      <c r="G53" s="11">
        <f>1200+90</f>
        <v>1290</v>
      </c>
      <c r="H53" s="11">
        <f>1200+90</f>
        <v>1290</v>
      </c>
      <c r="I53" s="11">
        <v>1139</v>
      </c>
      <c r="J53" s="141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501">
        <f t="shared" si="52"/>
        <v>1093</v>
      </c>
      <c r="Y53" s="257">
        <f t="shared" si="53"/>
        <v>1200</v>
      </c>
      <c r="Z53" s="257">
        <f t="shared" si="70"/>
        <v>1290</v>
      </c>
      <c r="AA53" s="257">
        <f t="shared" si="71"/>
        <v>1290</v>
      </c>
      <c r="AB53" s="257">
        <f t="shared" si="72"/>
        <v>1290</v>
      </c>
      <c r="AC53" s="257">
        <f t="shared" si="72"/>
        <v>1290</v>
      </c>
      <c r="AD53" s="257">
        <f t="shared" si="72"/>
        <v>1139</v>
      </c>
      <c r="AE53" s="558">
        <f t="shared" si="9"/>
        <v>88.294573643410857</v>
      </c>
    </row>
    <row r="54" spans="1:31" x14ac:dyDescent="0.2">
      <c r="A54" s="56"/>
      <c r="B54" s="8" t="s">
        <v>363</v>
      </c>
      <c r="C54" s="159">
        <v>236</v>
      </c>
      <c r="D54" s="11">
        <v>350</v>
      </c>
      <c r="E54" s="11">
        <v>350</v>
      </c>
      <c r="F54" s="11">
        <v>350</v>
      </c>
      <c r="G54" s="11">
        <f>350-150</f>
        <v>200</v>
      </c>
      <c r="H54" s="11">
        <f>350-150</f>
        <v>200</v>
      </c>
      <c r="I54" s="11">
        <v>56</v>
      </c>
      <c r="J54" s="141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501">
        <f t="shared" si="52"/>
        <v>236</v>
      </c>
      <c r="Y54" s="257">
        <f t="shared" si="53"/>
        <v>350</v>
      </c>
      <c r="Z54" s="257">
        <f t="shared" si="70"/>
        <v>350</v>
      </c>
      <c r="AA54" s="257">
        <f t="shared" si="71"/>
        <v>350</v>
      </c>
      <c r="AB54" s="257">
        <f t="shared" si="72"/>
        <v>200</v>
      </c>
      <c r="AC54" s="257">
        <f t="shared" si="72"/>
        <v>200</v>
      </c>
      <c r="AD54" s="257">
        <f t="shared" si="72"/>
        <v>56</v>
      </c>
      <c r="AE54" s="558">
        <f t="shared" si="9"/>
        <v>28.000000000000004</v>
      </c>
    </row>
    <row r="55" spans="1:31" ht="12.75" hidden="1" customHeight="1" x14ac:dyDescent="0.2">
      <c r="A55" s="56" t="s">
        <v>496</v>
      </c>
      <c r="B55" s="8" t="s">
        <v>235</v>
      </c>
      <c r="C55" s="159">
        <v>80</v>
      </c>
      <c r="D55" s="11"/>
      <c r="E55" s="11"/>
      <c r="F55" s="11"/>
      <c r="G55" s="11"/>
      <c r="H55" s="11"/>
      <c r="I55" s="11"/>
      <c r="J55" s="141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501">
        <f t="shared" si="52"/>
        <v>80</v>
      </c>
      <c r="Y55" s="257">
        <f t="shared" si="53"/>
        <v>0</v>
      </c>
      <c r="Z55" s="257">
        <f t="shared" si="70"/>
        <v>0</v>
      </c>
      <c r="AA55" s="257">
        <f t="shared" si="71"/>
        <v>0</v>
      </c>
      <c r="AB55" s="257">
        <f t="shared" ref="AB55:AD65" si="82">G55+N55+U55</f>
        <v>0</v>
      </c>
      <c r="AC55" s="257">
        <f t="shared" si="82"/>
        <v>0</v>
      </c>
      <c r="AD55" s="257">
        <f t="shared" si="82"/>
        <v>0</v>
      </c>
      <c r="AE55" s="558" t="e">
        <f t="shared" si="9"/>
        <v>#DIV/0!</v>
      </c>
    </row>
    <row r="56" spans="1:31" x14ac:dyDescent="0.2">
      <c r="A56" s="56" t="s">
        <v>393</v>
      </c>
      <c r="B56" s="8" t="s">
        <v>234</v>
      </c>
      <c r="C56" s="159"/>
      <c r="D56" s="11"/>
      <c r="E56" s="11"/>
      <c r="F56" s="11"/>
      <c r="G56" s="11"/>
      <c r="H56" s="11"/>
      <c r="I56" s="11"/>
      <c r="J56" s="141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501">
        <f t="shared" si="52"/>
        <v>0</v>
      </c>
      <c r="Y56" s="257">
        <f t="shared" si="53"/>
        <v>0</v>
      </c>
      <c r="Z56" s="257">
        <f t="shared" si="70"/>
        <v>0</v>
      </c>
      <c r="AA56" s="257">
        <f t="shared" si="71"/>
        <v>0</v>
      </c>
      <c r="AB56" s="257">
        <f t="shared" si="82"/>
        <v>0</v>
      </c>
      <c r="AC56" s="257">
        <f t="shared" si="82"/>
        <v>0</v>
      </c>
      <c r="AD56" s="257">
        <f t="shared" si="82"/>
        <v>0</v>
      </c>
      <c r="AE56" s="558"/>
    </row>
    <row r="57" spans="1:31" ht="12.75" hidden="1" customHeight="1" x14ac:dyDescent="0.2">
      <c r="A57" s="56"/>
      <c r="B57" s="8"/>
      <c r="C57" s="159"/>
      <c r="D57" s="11"/>
      <c r="E57" s="11"/>
      <c r="F57" s="11"/>
      <c r="G57" s="11"/>
      <c r="H57" s="11"/>
      <c r="I57" s="11"/>
      <c r="J57" s="141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501">
        <f t="shared" si="52"/>
        <v>0</v>
      </c>
      <c r="Y57" s="257">
        <f t="shared" si="53"/>
        <v>0</v>
      </c>
      <c r="Z57" s="257">
        <f t="shared" ref="Z57:Z60" si="83">E57+L57+S57</f>
        <v>0</v>
      </c>
      <c r="AA57" s="257">
        <f t="shared" ref="AA57:AA60" si="84">F57+M57+T57</f>
        <v>0</v>
      </c>
      <c r="AB57" s="257">
        <f t="shared" si="82"/>
        <v>0</v>
      </c>
      <c r="AC57" s="257">
        <f t="shared" si="82"/>
        <v>0</v>
      </c>
      <c r="AD57" s="257">
        <f t="shared" si="82"/>
        <v>0</v>
      </c>
      <c r="AE57" s="558" t="e">
        <f t="shared" si="9"/>
        <v>#DIV/0!</v>
      </c>
    </row>
    <row r="58" spans="1:31" x14ac:dyDescent="0.2">
      <c r="A58" s="56"/>
      <c r="B58" s="8" t="s">
        <v>365</v>
      </c>
      <c r="C58" s="159">
        <v>492</v>
      </c>
      <c r="D58" s="11">
        <v>550</v>
      </c>
      <c r="E58" s="11">
        <v>550</v>
      </c>
      <c r="F58" s="11">
        <v>550</v>
      </c>
      <c r="G58" s="11">
        <v>550</v>
      </c>
      <c r="H58" s="11">
        <v>550</v>
      </c>
      <c r="I58" s="11">
        <v>426</v>
      </c>
      <c r="J58" s="141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501">
        <f t="shared" si="52"/>
        <v>492</v>
      </c>
      <c r="Y58" s="257">
        <f t="shared" si="53"/>
        <v>550</v>
      </c>
      <c r="Z58" s="257">
        <f t="shared" si="83"/>
        <v>550</v>
      </c>
      <c r="AA58" s="257">
        <f t="shared" si="84"/>
        <v>550</v>
      </c>
      <c r="AB58" s="257">
        <f t="shared" si="82"/>
        <v>550</v>
      </c>
      <c r="AC58" s="257">
        <f t="shared" si="82"/>
        <v>550</v>
      </c>
      <c r="AD58" s="257">
        <f t="shared" si="82"/>
        <v>426</v>
      </c>
      <c r="AE58" s="558">
        <f t="shared" si="9"/>
        <v>77.454545454545453</v>
      </c>
    </row>
    <row r="59" spans="1:31" x14ac:dyDescent="0.2">
      <c r="A59" s="56"/>
      <c r="B59" s="8" t="s">
        <v>617</v>
      </c>
      <c r="C59" s="159">
        <v>473</v>
      </c>
      <c r="D59" s="11">
        <v>690</v>
      </c>
      <c r="E59" s="11">
        <f>690+20</f>
        <v>710</v>
      </c>
      <c r="F59" s="11">
        <f>690+20</f>
        <v>710</v>
      </c>
      <c r="G59" s="11">
        <f>690+20+179</f>
        <v>889</v>
      </c>
      <c r="H59" s="11">
        <f>690+20+179</f>
        <v>889</v>
      </c>
      <c r="I59" s="11">
        <v>888</v>
      </c>
      <c r="J59" s="141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501">
        <f t="shared" si="52"/>
        <v>473</v>
      </c>
      <c r="Y59" s="257">
        <f t="shared" si="53"/>
        <v>690</v>
      </c>
      <c r="Z59" s="257">
        <f t="shared" si="83"/>
        <v>710</v>
      </c>
      <c r="AA59" s="257">
        <f t="shared" si="84"/>
        <v>710</v>
      </c>
      <c r="AB59" s="257">
        <f t="shared" si="82"/>
        <v>889</v>
      </c>
      <c r="AC59" s="257">
        <f t="shared" si="82"/>
        <v>889</v>
      </c>
      <c r="AD59" s="257">
        <f t="shared" si="82"/>
        <v>888</v>
      </c>
      <c r="AE59" s="558">
        <f t="shared" si="9"/>
        <v>99.887514060742404</v>
      </c>
    </row>
    <row r="60" spans="1:31" x14ac:dyDescent="0.2">
      <c r="A60" s="56"/>
      <c r="B60" s="8" t="s">
        <v>564</v>
      </c>
      <c r="C60" s="159">
        <v>269</v>
      </c>
      <c r="D60" s="11">
        <v>280</v>
      </c>
      <c r="E60" s="11">
        <f>280-20</f>
        <v>260</v>
      </c>
      <c r="F60" s="11">
        <f>280-20</f>
        <v>260</v>
      </c>
      <c r="G60" s="11">
        <f>280-20</f>
        <v>260</v>
      </c>
      <c r="H60" s="11">
        <f>280-20</f>
        <v>260</v>
      </c>
      <c r="I60" s="11">
        <v>221</v>
      </c>
      <c r="J60" s="141">
        <v>14</v>
      </c>
      <c r="K60" s="13">
        <v>50</v>
      </c>
      <c r="L60" s="13">
        <v>50</v>
      </c>
      <c r="M60" s="13">
        <v>50</v>
      </c>
      <c r="N60" s="13">
        <v>50</v>
      </c>
      <c r="O60" s="13">
        <v>50</v>
      </c>
      <c r="P60" s="13">
        <v>30</v>
      </c>
      <c r="Q60" s="13"/>
      <c r="R60" s="13"/>
      <c r="S60" s="13"/>
      <c r="T60" s="13"/>
      <c r="U60" s="13"/>
      <c r="V60" s="13"/>
      <c r="W60" s="13"/>
      <c r="X60" s="501">
        <f t="shared" si="52"/>
        <v>283</v>
      </c>
      <c r="Y60" s="257">
        <f t="shared" si="53"/>
        <v>330</v>
      </c>
      <c r="Z60" s="257">
        <f t="shared" si="83"/>
        <v>310</v>
      </c>
      <c r="AA60" s="257">
        <f t="shared" si="84"/>
        <v>310</v>
      </c>
      <c r="AB60" s="257">
        <f t="shared" si="82"/>
        <v>310</v>
      </c>
      <c r="AC60" s="257">
        <f t="shared" si="82"/>
        <v>310</v>
      </c>
      <c r="AD60" s="257">
        <f t="shared" si="82"/>
        <v>251</v>
      </c>
      <c r="AE60" s="558">
        <f t="shared" si="9"/>
        <v>80.967741935483872</v>
      </c>
    </row>
    <row r="61" spans="1:31" ht="12.75" hidden="1" customHeight="1" x14ac:dyDescent="0.2">
      <c r="A61" s="56"/>
      <c r="B61" s="8"/>
      <c r="C61" s="159"/>
      <c r="D61" s="11"/>
      <c r="E61" s="11"/>
      <c r="F61" s="11"/>
      <c r="G61" s="11"/>
      <c r="H61" s="11"/>
      <c r="I61" s="11"/>
      <c r="J61" s="141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501">
        <f t="shared" si="52"/>
        <v>0</v>
      </c>
      <c r="Y61" s="257">
        <f t="shared" si="53"/>
        <v>0</v>
      </c>
      <c r="Z61" s="257">
        <f t="shared" ref="Z61" si="85">E61+L61+S61</f>
        <v>0</v>
      </c>
      <c r="AA61" s="257">
        <f t="shared" ref="AA61" si="86">F61+M61+T61</f>
        <v>0</v>
      </c>
      <c r="AB61" s="257">
        <f t="shared" si="82"/>
        <v>0</v>
      </c>
      <c r="AC61" s="257">
        <f t="shared" si="82"/>
        <v>0</v>
      </c>
      <c r="AD61" s="257">
        <f t="shared" si="82"/>
        <v>0</v>
      </c>
      <c r="AE61" s="558" t="e">
        <f t="shared" si="9"/>
        <v>#DIV/0!</v>
      </c>
    </row>
    <row r="62" spans="1:31" x14ac:dyDescent="0.2">
      <c r="A62" s="56" t="s">
        <v>394</v>
      </c>
      <c r="B62" s="8" t="s">
        <v>233</v>
      </c>
      <c r="C62" s="159">
        <v>217</v>
      </c>
      <c r="D62" s="11">
        <v>330</v>
      </c>
      <c r="E62" s="11">
        <v>330</v>
      </c>
      <c r="F62" s="11">
        <v>330</v>
      </c>
      <c r="G62" s="11">
        <f>330+100</f>
        <v>430</v>
      </c>
      <c r="H62" s="11">
        <f>330+100</f>
        <v>430</v>
      </c>
      <c r="I62" s="11">
        <v>368</v>
      </c>
      <c r="J62" s="141">
        <v>44</v>
      </c>
      <c r="K62" s="13">
        <v>220</v>
      </c>
      <c r="L62" s="13">
        <v>220</v>
      </c>
      <c r="M62" s="13">
        <v>220</v>
      </c>
      <c r="N62" s="13">
        <f>220-100</f>
        <v>120</v>
      </c>
      <c r="O62" s="13">
        <f>220-100</f>
        <v>120</v>
      </c>
      <c r="P62" s="13">
        <v>29</v>
      </c>
      <c r="Q62" s="13"/>
      <c r="R62" s="13"/>
      <c r="S62" s="13"/>
      <c r="T62" s="13"/>
      <c r="U62" s="13"/>
      <c r="V62" s="13"/>
      <c r="W62" s="13"/>
      <c r="X62" s="501">
        <f t="shared" si="52"/>
        <v>261</v>
      </c>
      <c r="Y62" s="257">
        <f t="shared" si="53"/>
        <v>550</v>
      </c>
      <c r="Z62" s="257">
        <f t="shared" ref="Z62:Z76" si="87">E62+L62+S62</f>
        <v>550</v>
      </c>
      <c r="AA62" s="257">
        <f t="shared" ref="AA62:AA76" si="88">F62+M62+T62</f>
        <v>550</v>
      </c>
      <c r="AB62" s="257">
        <f t="shared" si="82"/>
        <v>550</v>
      </c>
      <c r="AC62" s="257">
        <f t="shared" si="82"/>
        <v>550</v>
      </c>
      <c r="AD62" s="257">
        <f t="shared" si="82"/>
        <v>397</v>
      </c>
      <c r="AE62" s="558">
        <f t="shared" si="9"/>
        <v>72.181818181818187</v>
      </c>
    </row>
    <row r="63" spans="1:31" x14ac:dyDescent="0.2">
      <c r="A63" s="56"/>
      <c r="B63" s="8" t="s">
        <v>266</v>
      </c>
      <c r="C63" s="159">
        <v>7318</v>
      </c>
      <c r="D63" s="11">
        <v>6700</v>
      </c>
      <c r="E63" s="11">
        <f>6700-3897+2470</f>
        <v>5273</v>
      </c>
      <c r="F63" s="11">
        <f>6700-3897+2470+230</f>
        <v>5503</v>
      </c>
      <c r="G63" s="11">
        <f>6700-3897+2470+230-1140+200+200+150</f>
        <v>4913</v>
      </c>
      <c r="H63" s="11">
        <f>6700-3897+2470+230-1140+200+200+150</f>
        <v>4913</v>
      </c>
      <c r="I63" s="11">
        <v>4665</v>
      </c>
      <c r="J63" s="141">
        <v>1951</v>
      </c>
      <c r="K63" s="13">
        <f>500+1500</f>
        <v>2000</v>
      </c>
      <c r="L63" s="13">
        <f>500+1500+3897</f>
        <v>5897</v>
      </c>
      <c r="M63" s="13">
        <f>500+1500+3897</f>
        <v>5897</v>
      </c>
      <c r="N63" s="13">
        <f>500+1500+3897+1140</f>
        <v>7037</v>
      </c>
      <c r="O63" s="13">
        <f>500+1500+3897+1140</f>
        <v>7037</v>
      </c>
      <c r="P63" s="13">
        <v>7036</v>
      </c>
      <c r="Q63" s="13"/>
      <c r="R63" s="13"/>
      <c r="S63" s="13"/>
      <c r="T63" s="13"/>
      <c r="U63" s="13"/>
      <c r="V63" s="13"/>
      <c r="W63" s="13"/>
      <c r="X63" s="501">
        <f t="shared" si="52"/>
        <v>9269</v>
      </c>
      <c r="Y63" s="257">
        <f t="shared" si="53"/>
        <v>8700</v>
      </c>
      <c r="Z63" s="257">
        <f t="shared" si="87"/>
        <v>11170</v>
      </c>
      <c r="AA63" s="257">
        <f t="shared" si="88"/>
        <v>11400</v>
      </c>
      <c r="AB63" s="257">
        <f t="shared" si="82"/>
        <v>11950</v>
      </c>
      <c r="AC63" s="257">
        <f t="shared" si="82"/>
        <v>11950</v>
      </c>
      <c r="AD63" s="257">
        <f t="shared" si="82"/>
        <v>11701</v>
      </c>
      <c r="AE63" s="558">
        <f t="shared" si="9"/>
        <v>97.9163179916318</v>
      </c>
    </row>
    <row r="64" spans="1:31" x14ac:dyDescent="0.2">
      <c r="A64" s="56"/>
      <c r="B64" s="8" t="s">
        <v>354</v>
      </c>
      <c r="C64" s="159">
        <v>676</v>
      </c>
      <c r="D64" s="11">
        <v>1200</v>
      </c>
      <c r="E64" s="11">
        <v>1200</v>
      </c>
      <c r="F64" s="11">
        <v>1200</v>
      </c>
      <c r="G64" s="11">
        <f>1200-200</f>
        <v>1000</v>
      </c>
      <c r="H64" s="11">
        <f>1200-200</f>
        <v>1000</v>
      </c>
      <c r="I64" s="11">
        <v>928</v>
      </c>
      <c r="J64" s="141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501">
        <f t="shared" si="52"/>
        <v>676</v>
      </c>
      <c r="Y64" s="257">
        <f t="shared" si="53"/>
        <v>1200</v>
      </c>
      <c r="Z64" s="257">
        <f t="shared" si="87"/>
        <v>1200</v>
      </c>
      <c r="AA64" s="257">
        <f t="shared" si="88"/>
        <v>1200</v>
      </c>
      <c r="AB64" s="257">
        <f t="shared" si="82"/>
        <v>1000</v>
      </c>
      <c r="AC64" s="257">
        <f t="shared" si="82"/>
        <v>1000</v>
      </c>
      <c r="AD64" s="257">
        <f t="shared" si="82"/>
        <v>928</v>
      </c>
      <c r="AE64" s="558">
        <f t="shared" si="9"/>
        <v>92.800000000000011</v>
      </c>
    </row>
    <row r="65" spans="1:31" x14ac:dyDescent="0.2">
      <c r="A65" s="73" t="s">
        <v>215</v>
      </c>
      <c r="B65" s="14" t="s">
        <v>209</v>
      </c>
      <c r="C65" s="403">
        <f t="shared" ref="C65:E65" si="89">SUM(C66:C67)</f>
        <v>121</v>
      </c>
      <c r="D65" s="6">
        <f t="shared" ref="D65" si="90">SUM(D66:D67)</f>
        <v>100</v>
      </c>
      <c r="E65" s="6">
        <f t="shared" si="89"/>
        <v>100</v>
      </c>
      <c r="F65" s="6">
        <f t="shared" ref="F65:G65" si="91">SUM(F66:F67)</f>
        <v>120</v>
      </c>
      <c r="G65" s="6">
        <f t="shared" si="91"/>
        <v>140</v>
      </c>
      <c r="H65" s="6">
        <f t="shared" ref="H65:I65" si="92">SUM(H66:H67)</f>
        <v>140</v>
      </c>
      <c r="I65" s="6">
        <f t="shared" si="92"/>
        <v>113</v>
      </c>
      <c r="J65" s="402">
        <f t="shared" ref="J65:K65" si="93">SUM(J66:J67)</f>
        <v>10</v>
      </c>
      <c r="K65" s="5">
        <f t="shared" si="93"/>
        <v>0</v>
      </c>
      <c r="L65" s="5">
        <f t="shared" ref="L65:N65" si="94">SUM(L66:L67)</f>
        <v>0</v>
      </c>
      <c r="M65" s="5">
        <f t="shared" si="94"/>
        <v>0</v>
      </c>
      <c r="N65" s="5">
        <f t="shared" si="94"/>
        <v>0</v>
      </c>
      <c r="O65" s="5">
        <f t="shared" ref="O65:P65" si="95">SUM(O66:O67)</f>
        <v>0</v>
      </c>
      <c r="P65" s="5">
        <f t="shared" si="95"/>
        <v>0</v>
      </c>
      <c r="Q65" s="5">
        <f t="shared" ref="Q65" si="96">SUM(Q66:Q67)</f>
        <v>0</v>
      </c>
      <c r="R65" s="5"/>
      <c r="S65" s="5">
        <f t="shared" ref="S65:W65" si="97">SUM(S66:S67)</f>
        <v>0</v>
      </c>
      <c r="T65" s="5">
        <f t="shared" ref="T65" si="98">SUM(T66:T67)</f>
        <v>0</v>
      </c>
      <c r="U65" s="5">
        <f t="shared" si="97"/>
        <v>0</v>
      </c>
      <c r="V65" s="5"/>
      <c r="W65" s="5">
        <f t="shared" si="97"/>
        <v>0</v>
      </c>
      <c r="X65" s="500">
        <f t="shared" si="52"/>
        <v>131</v>
      </c>
      <c r="Y65" s="256">
        <f t="shared" si="53"/>
        <v>100</v>
      </c>
      <c r="Z65" s="256">
        <f t="shared" si="87"/>
        <v>100</v>
      </c>
      <c r="AA65" s="256">
        <f t="shared" si="88"/>
        <v>120</v>
      </c>
      <c r="AB65" s="256">
        <f t="shared" si="82"/>
        <v>140</v>
      </c>
      <c r="AC65" s="256">
        <f t="shared" si="82"/>
        <v>140</v>
      </c>
      <c r="AD65" s="256">
        <f t="shared" si="82"/>
        <v>113</v>
      </c>
      <c r="AE65" s="558">
        <f t="shared" si="9"/>
        <v>80.714285714285722</v>
      </c>
    </row>
    <row r="66" spans="1:31" x14ac:dyDescent="0.2">
      <c r="A66" s="56" t="s">
        <v>442</v>
      </c>
      <c r="B66" s="8" t="s">
        <v>232</v>
      </c>
      <c r="C66" s="141">
        <v>121</v>
      </c>
      <c r="D66" s="13">
        <v>100</v>
      </c>
      <c r="E66" s="13">
        <v>100</v>
      </c>
      <c r="F66" s="13">
        <f>100+20</f>
        <v>120</v>
      </c>
      <c r="G66" s="13">
        <f>100+20+20</f>
        <v>140</v>
      </c>
      <c r="H66" s="13">
        <f>100+20+20</f>
        <v>140</v>
      </c>
      <c r="I66" s="13">
        <v>113</v>
      </c>
      <c r="J66" s="141">
        <v>10</v>
      </c>
      <c r="K66" s="13"/>
      <c r="L66" s="13"/>
      <c r="M66" s="13"/>
      <c r="N66" s="13"/>
      <c r="O66" s="13"/>
      <c r="P66" s="13"/>
      <c r="Q66" s="266"/>
      <c r="R66" s="266"/>
      <c r="S66" s="266"/>
      <c r="T66" s="266"/>
      <c r="U66" s="266"/>
      <c r="V66" s="266"/>
      <c r="W66" s="266"/>
      <c r="X66" s="501">
        <f t="shared" si="52"/>
        <v>131</v>
      </c>
      <c r="Y66" s="257">
        <f t="shared" si="53"/>
        <v>100</v>
      </c>
      <c r="Z66" s="257">
        <f t="shared" si="87"/>
        <v>100</v>
      </c>
      <c r="AA66" s="257">
        <f t="shared" si="88"/>
        <v>120</v>
      </c>
      <c r="AB66" s="257">
        <f>G66+N66+U66</f>
        <v>140</v>
      </c>
      <c r="AC66" s="257">
        <f>H66+O66+V66</f>
        <v>140</v>
      </c>
      <c r="AD66" s="257">
        <f>I66+P66+W66</f>
        <v>113</v>
      </c>
      <c r="AE66" s="558">
        <f t="shared" si="9"/>
        <v>80.714285714285722</v>
      </c>
    </row>
    <row r="67" spans="1:31" x14ac:dyDescent="0.2">
      <c r="A67" s="56" t="s">
        <v>538</v>
      </c>
      <c r="B67" s="8" t="s">
        <v>242</v>
      </c>
      <c r="C67" s="141"/>
      <c r="D67" s="13"/>
      <c r="E67" s="13"/>
      <c r="F67" s="13"/>
      <c r="G67" s="13"/>
      <c r="H67" s="13"/>
      <c r="I67" s="13"/>
      <c r="J67" s="141"/>
      <c r="K67" s="13"/>
      <c r="L67" s="13"/>
      <c r="M67" s="13"/>
      <c r="N67" s="13"/>
      <c r="O67" s="13"/>
      <c r="P67" s="13"/>
      <c r="Q67" s="266"/>
      <c r="R67" s="266"/>
      <c r="S67" s="266"/>
      <c r="T67" s="266"/>
      <c r="U67" s="266"/>
      <c r="V67" s="266"/>
      <c r="W67" s="266"/>
      <c r="X67" s="501">
        <f t="shared" si="52"/>
        <v>0</v>
      </c>
      <c r="Y67" s="257">
        <f t="shared" si="53"/>
        <v>0</v>
      </c>
      <c r="Z67" s="257">
        <f t="shared" si="87"/>
        <v>0</v>
      </c>
      <c r="AA67" s="257">
        <f t="shared" si="88"/>
        <v>0</v>
      </c>
      <c r="AB67" s="257">
        <f t="shared" ref="AB67:AD76" si="99">G67+N67+U67</f>
        <v>0</v>
      </c>
      <c r="AC67" s="257">
        <f t="shared" si="99"/>
        <v>0</v>
      </c>
      <c r="AD67" s="257">
        <f t="shared" si="99"/>
        <v>0</v>
      </c>
      <c r="AE67" s="558"/>
    </row>
    <row r="68" spans="1:31" x14ac:dyDescent="0.2">
      <c r="A68" s="73" t="s">
        <v>216</v>
      </c>
      <c r="B68" s="14" t="s">
        <v>210</v>
      </c>
      <c r="C68" s="402">
        <f t="shared" ref="C68:E68" si="100">SUM(C69:C76)</f>
        <v>4025</v>
      </c>
      <c r="D68" s="5">
        <f t="shared" ref="D68" si="101">SUM(D69:D76)</f>
        <v>4950</v>
      </c>
      <c r="E68" s="5">
        <f t="shared" si="100"/>
        <v>4950</v>
      </c>
      <c r="F68" s="5">
        <f t="shared" ref="F68:G68" si="102">SUM(F69:F76)</f>
        <v>4950</v>
      </c>
      <c r="G68" s="5">
        <f t="shared" si="102"/>
        <v>4751</v>
      </c>
      <c r="H68" s="5">
        <f t="shared" ref="H68:I68" si="103">SUM(H69:H76)</f>
        <v>4751</v>
      </c>
      <c r="I68" s="5">
        <f t="shared" si="103"/>
        <v>3767</v>
      </c>
      <c r="J68" s="402">
        <f t="shared" ref="J68:W68" si="104">SUM(J69:J76)</f>
        <v>269</v>
      </c>
      <c r="K68" s="5">
        <f t="shared" ref="K68" si="105">SUM(K69:K76)</f>
        <v>745</v>
      </c>
      <c r="L68" s="5">
        <f t="shared" ref="L68:N68" si="106">SUM(L69:L76)</f>
        <v>745</v>
      </c>
      <c r="M68" s="5">
        <f t="shared" si="106"/>
        <v>745</v>
      </c>
      <c r="N68" s="5">
        <f t="shared" si="106"/>
        <v>545</v>
      </c>
      <c r="O68" s="5">
        <f t="shared" ref="O68:P68" si="107">SUM(O69:O76)</f>
        <v>545</v>
      </c>
      <c r="P68" s="5">
        <f t="shared" si="107"/>
        <v>242</v>
      </c>
      <c r="Q68" s="5">
        <f t="shared" si="104"/>
        <v>0</v>
      </c>
      <c r="R68" s="5"/>
      <c r="S68" s="5">
        <f t="shared" si="104"/>
        <v>0</v>
      </c>
      <c r="T68" s="5">
        <f t="shared" si="104"/>
        <v>0</v>
      </c>
      <c r="U68" s="5">
        <f t="shared" si="104"/>
        <v>0</v>
      </c>
      <c r="V68" s="5"/>
      <c r="W68" s="5">
        <f t="shared" si="104"/>
        <v>0</v>
      </c>
      <c r="X68" s="500">
        <f t="shared" si="52"/>
        <v>4294</v>
      </c>
      <c r="Y68" s="256">
        <f t="shared" si="53"/>
        <v>5695</v>
      </c>
      <c r="Z68" s="256">
        <f t="shared" si="87"/>
        <v>5695</v>
      </c>
      <c r="AA68" s="256">
        <f t="shared" si="88"/>
        <v>5695</v>
      </c>
      <c r="AB68" s="256">
        <f t="shared" si="99"/>
        <v>5296</v>
      </c>
      <c r="AC68" s="256">
        <f t="shared" si="99"/>
        <v>5296</v>
      </c>
      <c r="AD68" s="256">
        <f t="shared" si="99"/>
        <v>4009</v>
      </c>
      <c r="AE68" s="558">
        <f t="shared" si="9"/>
        <v>75.698640483383684</v>
      </c>
    </row>
    <row r="69" spans="1:31" x14ac:dyDescent="0.2">
      <c r="A69" s="56" t="s">
        <v>395</v>
      </c>
      <c r="B69" s="8" t="s">
        <v>222</v>
      </c>
      <c r="C69" s="141">
        <v>2492</v>
      </c>
      <c r="D69" s="13">
        <v>3000</v>
      </c>
      <c r="E69" s="13">
        <v>3000</v>
      </c>
      <c r="F69" s="13">
        <v>3000</v>
      </c>
      <c r="G69" s="13">
        <f>3000-20</f>
        <v>2980</v>
      </c>
      <c r="H69" s="13">
        <f>3000-20</f>
        <v>2980</v>
      </c>
      <c r="I69" s="13">
        <v>2187</v>
      </c>
      <c r="J69" s="141">
        <v>269</v>
      </c>
      <c r="K69" s="13">
        <v>545</v>
      </c>
      <c r="L69" s="13">
        <v>545</v>
      </c>
      <c r="M69" s="13">
        <v>545</v>
      </c>
      <c r="N69" s="13">
        <v>545</v>
      </c>
      <c r="O69" s="13">
        <v>545</v>
      </c>
      <c r="P69" s="13">
        <v>242</v>
      </c>
      <c r="Q69" s="13"/>
      <c r="R69" s="13"/>
      <c r="S69" s="13"/>
      <c r="T69" s="13"/>
      <c r="U69" s="13"/>
      <c r="V69" s="13"/>
      <c r="W69" s="13"/>
      <c r="X69" s="501">
        <f t="shared" si="52"/>
        <v>2761</v>
      </c>
      <c r="Y69" s="257">
        <f t="shared" si="53"/>
        <v>3545</v>
      </c>
      <c r="Z69" s="257">
        <f t="shared" si="87"/>
        <v>3545</v>
      </c>
      <c r="AA69" s="257">
        <f t="shared" si="88"/>
        <v>3545</v>
      </c>
      <c r="AB69" s="257">
        <f t="shared" si="99"/>
        <v>3525</v>
      </c>
      <c r="AC69" s="257">
        <f t="shared" si="99"/>
        <v>3525</v>
      </c>
      <c r="AD69" s="257">
        <f t="shared" si="99"/>
        <v>2429</v>
      </c>
      <c r="AE69" s="558">
        <f t="shared" si="9"/>
        <v>68.907801418439718</v>
      </c>
    </row>
    <row r="70" spans="1:31" ht="12.75" hidden="1" customHeight="1" x14ac:dyDescent="0.2">
      <c r="A70" s="56" t="s">
        <v>399</v>
      </c>
      <c r="B70" s="8" t="s">
        <v>223</v>
      </c>
      <c r="C70" s="141"/>
      <c r="D70" s="13"/>
      <c r="E70" s="13"/>
      <c r="F70" s="13"/>
      <c r="G70" s="13"/>
      <c r="H70" s="13"/>
      <c r="I70" s="13"/>
      <c r="J70" s="141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501">
        <f t="shared" si="52"/>
        <v>0</v>
      </c>
      <c r="Y70" s="257">
        <f t="shared" si="53"/>
        <v>0</v>
      </c>
      <c r="Z70" s="257">
        <f t="shared" si="87"/>
        <v>0</v>
      </c>
      <c r="AA70" s="257">
        <f t="shared" si="88"/>
        <v>0</v>
      </c>
      <c r="AB70" s="257">
        <f t="shared" si="99"/>
        <v>0</v>
      </c>
      <c r="AC70" s="257">
        <f t="shared" si="99"/>
        <v>0</v>
      </c>
      <c r="AD70" s="257">
        <f t="shared" si="99"/>
        <v>0</v>
      </c>
      <c r="AE70" s="558" t="e">
        <f t="shared" si="9"/>
        <v>#DIV/0!</v>
      </c>
    </row>
    <row r="71" spans="1:31" ht="12.75" hidden="1" customHeight="1" x14ac:dyDescent="0.2">
      <c r="A71" s="56" t="s">
        <v>541</v>
      </c>
      <c r="B71" s="8" t="s">
        <v>224</v>
      </c>
      <c r="C71" s="141"/>
      <c r="D71" s="13"/>
      <c r="E71" s="13"/>
      <c r="F71" s="13"/>
      <c r="G71" s="13"/>
      <c r="H71" s="13"/>
      <c r="I71" s="13"/>
      <c r="J71" s="141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501">
        <f t="shared" si="52"/>
        <v>0</v>
      </c>
      <c r="Y71" s="257">
        <f t="shared" si="53"/>
        <v>0</v>
      </c>
      <c r="Z71" s="257">
        <f t="shared" si="87"/>
        <v>0</v>
      </c>
      <c r="AA71" s="257">
        <f t="shared" si="88"/>
        <v>0</v>
      </c>
      <c r="AB71" s="257">
        <f t="shared" si="99"/>
        <v>0</v>
      </c>
      <c r="AC71" s="257">
        <f t="shared" si="99"/>
        <v>0</v>
      </c>
      <c r="AD71" s="257">
        <f t="shared" si="99"/>
        <v>0</v>
      </c>
      <c r="AE71" s="558" t="e">
        <f t="shared" si="9"/>
        <v>#DIV/0!</v>
      </c>
    </row>
    <row r="72" spans="1:31" ht="12.75" hidden="1" customHeight="1" x14ac:dyDescent="0.2">
      <c r="A72" s="56" t="s">
        <v>604</v>
      </c>
      <c r="B72" s="8" t="s">
        <v>225</v>
      </c>
      <c r="C72" s="141"/>
      <c r="D72" s="13"/>
      <c r="E72" s="13"/>
      <c r="F72" s="13"/>
      <c r="G72" s="13"/>
      <c r="H72" s="13"/>
      <c r="I72" s="13"/>
      <c r="J72" s="141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501">
        <f t="shared" si="52"/>
        <v>0</v>
      </c>
      <c r="Y72" s="257">
        <f t="shared" si="53"/>
        <v>0</v>
      </c>
      <c r="Z72" s="257">
        <f t="shared" si="87"/>
        <v>0</v>
      </c>
      <c r="AA72" s="257">
        <f t="shared" si="88"/>
        <v>0</v>
      </c>
      <c r="AB72" s="257">
        <f t="shared" si="99"/>
        <v>0</v>
      </c>
      <c r="AC72" s="257">
        <f t="shared" si="99"/>
        <v>0</v>
      </c>
      <c r="AD72" s="257">
        <f t="shared" si="99"/>
        <v>0</v>
      </c>
      <c r="AE72" s="558" t="e">
        <f t="shared" si="9"/>
        <v>#DIV/0!</v>
      </c>
    </row>
    <row r="73" spans="1:31" x14ac:dyDescent="0.2">
      <c r="A73" s="56" t="s">
        <v>396</v>
      </c>
      <c r="B73" s="8" t="s">
        <v>51</v>
      </c>
      <c r="C73" s="141">
        <v>1533</v>
      </c>
      <c r="D73" s="13">
        <f>1700+250</f>
        <v>1950</v>
      </c>
      <c r="E73" s="13">
        <f>1700+250</f>
        <v>1950</v>
      </c>
      <c r="F73" s="13">
        <f>1700+250</f>
        <v>1950</v>
      </c>
      <c r="G73" s="13">
        <f>1700+250-179</f>
        <v>1771</v>
      </c>
      <c r="H73" s="13">
        <f>1700+250-179</f>
        <v>1771</v>
      </c>
      <c r="I73" s="13">
        <v>1580</v>
      </c>
      <c r="J73" s="141">
        <v>0</v>
      </c>
      <c r="K73" s="13">
        <v>200</v>
      </c>
      <c r="L73" s="13">
        <v>200</v>
      </c>
      <c r="M73" s="13">
        <v>200</v>
      </c>
      <c r="N73" s="13">
        <f>200-200</f>
        <v>0</v>
      </c>
      <c r="O73" s="13">
        <f>200-200</f>
        <v>0</v>
      </c>
      <c r="P73" s="13">
        <v>0</v>
      </c>
      <c r="Q73" s="13"/>
      <c r="R73" s="13"/>
      <c r="S73" s="13"/>
      <c r="T73" s="13"/>
      <c r="U73" s="13"/>
      <c r="V73" s="13"/>
      <c r="W73" s="13"/>
      <c r="X73" s="501">
        <f t="shared" si="52"/>
        <v>1533</v>
      </c>
      <c r="Y73" s="257">
        <f t="shared" si="53"/>
        <v>2150</v>
      </c>
      <c r="Z73" s="257">
        <f t="shared" si="87"/>
        <v>2150</v>
      </c>
      <c r="AA73" s="257">
        <f t="shared" si="88"/>
        <v>2150</v>
      </c>
      <c r="AB73" s="257">
        <f t="shared" si="99"/>
        <v>1771</v>
      </c>
      <c r="AC73" s="257">
        <f t="shared" si="99"/>
        <v>1771</v>
      </c>
      <c r="AD73" s="257">
        <f t="shared" si="99"/>
        <v>1580</v>
      </c>
      <c r="AE73" s="558">
        <f t="shared" si="9"/>
        <v>89.215132693393556</v>
      </c>
    </row>
    <row r="74" spans="1:31" ht="12.75" hidden="1" customHeight="1" x14ac:dyDescent="0.2">
      <c r="A74" s="56"/>
      <c r="B74" s="8"/>
      <c r="C74" s="141"/>
      <c r="D74" s="13"/>
      <c r="E74" s="13"/>
      <c r="F74" s="13"/>
      <c r="G74" s="13"/>
      <c r="H74" s="13"/>
      <c r="I74" s="13"/>
      <c r="J74" s="141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501">
        <f t="shared" si="52"/>
        <v>0</v>
      </c>
      <c r="Y74" s="257">
        <f t="shared" si="53"/>
        <v>0</v>
      </c>
      <c r="Z74" s="257">
        <f t="shared" si="87"/>
        <v>0</v>
      </c>
      <c r="AA74" s="257">
        <f t="shared" si="88"/>
        <v>0</v>
      </c>
      <c r="AB74" s="257">
        <f t="shared" si="99"/>
        <v>0</v>
      </c>
      <c r="AC74" s="257">
        <f t="shared" si="99"/>
        <v>0</v>
      </c>
      <c r="AD74" s="257">
        <f t="shared" si="99"/>
        <v>0</v>
      </c>
      <c r="AE74" s="558" t="e">
        <f t="shared" si="9"/>
        <v>#DIV/0!</v>
      </c>
    </row>
    <row r="75" spans="1:31" ht="12.75" hidden="1" customHeight="1" x14ac:dyDescent="0.2">
      <c r="A75" s="56"/>
      <c r="B75" s="8"/>
      <c r="C75" s="141"/>
      <c r="D75" s="13"/>
      <c r="E75" s="13"/>
      <c r="F75" s="13"/>
      <c r="G75" s="13"/>
      <c r="H75" s="13"/>
      <c r="I75" s="13"/>
      <c r="J75" s="141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501">
        <f t="shared" si="52"/>
        <v>0</v>
      </c>
      <c r="Y75" s="257">
        <f t="shared" si="53"/>
        <v>0</v>
      </c>
      <c r="Z75" s="257">
        <f t="shared" si="87"/>
        <v>0</v>
      </c>
      <c r="AA75" s="257">
        <f t="shared" si="88"/>
        <v>0</v>
      </c>
      <c r="AB75" s="257">
        <f t="shared" si="99"/>
        <v>0</v>
      </c>
      <c r="AC75" s="257">
        <f t="shared" si="99"/>
        <v>0</v>
      </c>
      <c r="AD75" s="257">
        <f t="shared" si="99"/>
        <v>0</v>
      </c>
      <c r="AE75" s="558" t="e">
        <f t="shared" si="9"/>
        <v>#DIV/0!</v>
      </c>
    </row>
    <row r="76" spans="1:31" ht="12.75" hidden="1" customHeight="1" x14ac:dyDescent="0.2">
      <c r="A76" s="56"/>
      <c r="B76" s="8"/>
      <c r="C76" s="141"/>
      <c r="D76" s="13"/>
      <c r="E76" s="13"/>
      <c r="F76" s="13"/>
      <c r="G76" s="13"/>
      <c r="H76" s="13"/>
      <c r="I76" s="13"/>
      <c r="J76" s="141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501">
        <f t="shared" si="52"/>
        <v>0</v>
      </c>
      <c r="Y76" s="257">
        <f t="shared" si="53"/>
        <v>0</v>
      </c>
      <c r="Z76" s="257">
        <f t="shared" si="87"/>
        <v>0</v>
      </c>
      <c r="AA76" s="257">
        <f t="shared" si="88"/>
        <v>0</v>
      </c>
      <c r="AB76" s="257">
        <f t="shared" si="99"/>
        <v>0</v>
      </c>
      <c r="AC76" s="257">
        <f t="shared" si="99"/>
        <v>0</v>
      </c>
      <c r="AD76" s="257">
        <f t="shared" si="99"/>
        <v>0</v>
      </c>
      <c r="AE76" s="558" t="e">
        <f t="shared" ref="AE76:AE98" si="108">AD76/AC76*100</f>
        <v>#DIV/0!</v>
      </c>
    </row>
    <row r="77" spans="1:31" x14ac:dyDescent="0.2">
      <c r="A77" s="73" t="s">
        <v>227</v>
      </c>
      <c r="B77" s="91" t="s">
        <v>26</v>
      </c>
      <c r="C77" s="495">
        <f t="shared" ref="C77:W77" si="109">SUM(C30+C39+C48+C65+C68)</f>
        <v>22066</v>
      </c>
      <c r="D77" s="192">
        <f t="shared" ref="D77" si="110">SUM(D30+D39+D48+D65+D68)</f>
        <v>23141</v>
      </c>
      <c r="E77" s="192">
        <f t="shared" ref="E77" si="111">SUM(E30+E39+E48+E65+E68)</f>
        <v>21714</v>
      </c>
      <c r="F77" s="192">
        <f t="shared" ref="F77:G77" si="112">SUM(F30+F39+F48+F65+F68)</f>
        <v>21964</v>
      </c>
      <c r="G77" s="192">
        <f t="shared" si="112"/>
        <v>21124</v>
      </c>
      <c r="H77" s="192">
        <f t="shared" ref="H77:I77" si="113">SUM(H30+H39+H48+H65+H68)</f>
        <v>21124</v>
      </c>
      <c r="I77" s="192">
        <f t="shared" si="113"/>
        <v>18301</v>
      </c>
      <c r="J77" s="495">
        <f t="shared" si="109"/>
        <v>2316</v>
      </c>
      <c r="K77" s="192">
        <f t="shared" ref="K77" si="114">SUM(K30+K39+K48+K65+K68)</f>
        <v>3081</v>
      </c>
      <c r="L77" s="192">
        <f t="shared" ref="L77:N77" si="115">SUM(L30+L39+L48+L65+L68)</f>
        <v>6978</v>
      </c>
      <c r="M77" s="192">
        <f t="shared" si="115"/>
        <v>6978</v>
      </c>
      <c r="N77" s="192">
        <f t="shared" si="115"/>
        <v>7818</v>
      </c>
      <c r="O77" s="192">
        <f t="shared" ref="O77:P77" si="116">SUM(O30+O39+O48+O65+O68)</f>
        <v>7818</v>
      </c>
      <c r="P77" s="192">
        <f t="shared" si="116"/>
        <v>7379</v>
      </c>
      <c r="Q77" s="192">
        <f t="shared" si="109"/>
        <v>0</v>
      </c>
      <c r="R77" s="192"/>
      <c r="S77" s="192">
        <f t="shared" si="109"/>
        <v>0</v>
      </c>
      <c r="T77" s="192">
        <f t="shared" si="109"/>
        <v>0</v>
      </c>
      <c r="U77" s="192">
        <f t="shared" si="109"/>
        <v>0</v>
      </c>
      <c r="V77" s="192"/>
      <c r="W77" s="192">
        <f t="shared" si="109"/>
        <v>0</v>
      </c>
      <c r="X77" s="502">
        <f t="shared" ref="X77:AD77" si="117">(J77+C77+Q77)</f>
        <v>24382</v>
      </c>
      <c r="Y77" s="127">
        <f t="shared" si="117"/>
        <v>26222</v>
      </c>
      <c r="Z77" s="127">
        <f t="shared" si="117"/>
        <v>28692</v>
      </c>
      <c r="AA77" s="127">
        <f t="shared" si="117"/>
        <v>28942</v>
      </c>
      <c r="AB77" s="127">
        <f t="shared" si="117"/>
        <v>28942</v>
      </c>
      <c r="AC77" s="127">
        <f t="shared" si="117"/>
        <v>28942</v>
      </c>
      <c r="AD77" s="127">
        <f t="shared" si="117"/>
        <v>25680</v>
      </c>
      <c r="AE77" s="558">
        <f t="shared" si="108"/>
        <v>88.729182502936908</v>
      </c>
    </row>
    <row r="78" spans="1:31" x14ac:dyDescent="0.2">
      <c r="A78" s="120" t="s">
        <v>226</v>
      </c>
      <c r="B78" s="91" t="s">
        <v>352</v>
      </c>
      <c r="C78" s="495"/>
      <c r="D78" s="192"/>
      <c r="E78" s="192"/>
      <c r="F78" s="192"/>
      <c r="G78" s="192"/>
      <c r="H78" s="192"/>
      <c r="I78" s="192"/>
      <c r="J78" s="495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499">
        <f t="shared" ref="X78:AD79" si="118">C78+J78+Q78</f>
        <v>0</v>
      </c>
      <c r="Y78" s="193">
        <f t="shared" si="118"/>
        <v>0</v>
      </c>
      <c r="Z78" s="193">
        <f t="shared" si="118"/>
        <v>0</v>
      </c>
      <c r="AA78" s="193">
        <f t="shared" si="118"/>
        <v>0</v>
      </c>
      <c r="AB78" s="193">
        <f t="shared" si="118"/>
        <v>0</v>
      </c>
      <c r="AC78" s="193">
        <f t="shared" si="118"/>
        <v>0</v>
      </c>
      <c r="AD78" s="193">
        <f t="shared" si="118"/>
        <v>0</v>
      </c>
      <c r="AE78" s="558"/>
    </row>
    <row r="79" spans="1:31" ht="13.5" thickBot="1" x14ac:dyDescent="0.25">
      <c r="A79" s="120" t="s">
        <v>248</v>
      </c>
      <c r="B79" s="119" t="s">
        <v>35</v>
      </c>
      <c r="C79" s="495"/>
      <c r="D79" s="192"/>
      <c r="E79" s="192"/>
      <c r="F79" s="192"/>
      <c r="G79" s="192"/>
      <c r="H79" s="192"/>
      <c r="I79" s="192"/>
      <c r="J79" s="499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499">
        <f t="shared" si="118"/>
        <v>0</v>
      </c>
      <c r="Y79" s="193">
        <f t="shared" si="118"/>
        <v>0</v>
      </c>
      <c r="Z79" s="193">
        <f t="shared" si="118"/>
        <v>0</v>
      </c>
      <c r="AA79" s="193">
        <f t="shared" si="118"/>
        <v>0</v>
      </c>
      <c r="AB79" s="193">
        <f t="shared" si="118"/>
        <v>0</v>
      </c>
      <c r="AC79" s="193">
        <f t="shared" si="118"/>
        <v>0</v>
      </c>
      <c r="AD79" s="193">
        <f t="shared" si="118"/>
        <v>0</v>
      </c>
      <c r="AE79" s="558"/>
    </row>
    <row r="80" spans="1:31" ht="16.5" thickBot="1" x14ac:dyDescent="0.3">
      <c r="A80" s="120"/>
      <c r="B80" s="170" t="s">
        <v>8</v>
      </c>
      <c r="C80" s="496">
        <f t="shared" ref="C80:AB80" si="119">SUM(C26+C29+C77+C78+C79)</f>
        <v>242718</v>
      </c>
      <c r="D80" s="194">
        <f t="shared" ref="D80" si="120">SUM(D26+D29+D77+D78+D79)</f>
        <v>245811</v>
      </c>
      <c r="E80" s="194">
        <f t="shared" ref="E80" si="121">SUM(E26+E29+E77+E78+E79)</f>
        <v>257285</v>
      </c>
      <c r="F80" s="194">
        <f t="shared" ref="F80:G80" si="122">SUM(F26+F29+F77+F78+F79)</f>
        <v>257538</v>
      </c>
      <c r="G80" s="194">
        <f t="shared" si="122"/>
        <v>256698</v>
      </c>
      <c r="H80" s="194">
        <f t="shared" ref="H80:I80" si="123">SUM(H26+H29+H77+H78+H79)</f>
        <v>256698</v>
      </c>
      <c r="I80" s="194">
        <f t="shared" si="123"/>
        <v>249342</v>
      </c>
      <c r="J80" s="496">
        <f t="shared" si="119"/>
        <v>28593</v>
      </c>
      <c r="K80" s="194">
        <f t="shared" ref="K80" si="124">SUM(K26+K29+K77+K78+K79)</f>
        <v>31670</v>
      </c>
      <c r="L80" s="194">
        <f t="shared" ref="L80:N80" si="125">SUM(L26+L29+L77+L78+L79)</f>
        <v>36929</v>
      </c>
      <c r="M80" s="194">
        <f t="shared" si="125"/>
        <v>36926</v>
      </c>
      <c r="N80" s="194">
        <f t="shared" si="125"/>
        <v>37766</v>
      </c>
      <c r="O80" s="194">
        <f t="shared" ref="O80:P80" si="126">SUM(O26+O29+O77+O78+O79)</f>
        <v>37766</v>
      </c>
      <c r="P80" s="194">
        <f t="shared" si="126"/>
        <v>37137</v>
      </c>
      <c r="Q80" s="194">
        <f t="shared" si="119"/>
        <v>0</v>
      </c>
      <c r="R80" s="194"/>
      <c r="S80" s="194">
        <f t="shared" si="119"/>
        <v>0</v>
      </c>
      <c r="T80" s="194">
        <f t="shared" si="119"/>
        <v>0</v>
      </c>
      <c r="U80" s="194">
        <f t="shared" si="119"/>
        <v>0</v>
      </c>
      <c r="V80" s="194"/>
      <c r="W80" s="194">
        <f t="shared" si="119"/>
        <v>0</v>
      </c>
      <c r="X80" s="496">
        <f t="shared" si="119"/>
        <v>271311</v>
      </c>
      <c r="Y80" s="194">
        <f t="shared" ref="Y80" si="127">SUM(Y26+Y29+Y77+Y78+Y79)</f>
        <v>277481</v>
      </c>
      <c r="Z80" s="194">
        <f t="shared" si="119"/>
        <v>294214</v>
      </c>
      <c r="AA80" s="194">
        <f t="shared" si="119"/>
        <v>294464</v>
      </c>
      <c r="AB80" s="194">
        <f t="shared" si="119"/>
        <v>294464</v>
      </c>
      <c r="AC80" s="194">
        <f t="shared" ref="AC80:AD80" si="128">SUM(AC26+AC29+AC77+AC78+AC79)</f>
        <v>294464</v>
      </c>
      <c r="AD80" s="194">
        <f t="shared" si="128"/>
        <v>286479</v>
      </c>
      <c r="AE80" s="558">
        <f t="shared" si="108"/>
        <v>97.28829330580308</v>
      </c>
    </row>
    <row r="81" spans="1:31" x14ac:dyDescent="0.2">
      <c r="A81" s="120" t="s">
        <v>249</v>
      </c>
      <c r="B81" s="169" t="s">
        <v>385</v>
      </c>
      <c r="C81" s="497">
        <f t="shared" ref="C81:E81" si="129">SUM(C82:C83)</f>
        <v>703</v>
      </c>
      <c r="D81" s="195">
        <f t="shared" ref="D81" si="130">SUM(D82:D83)</f>
        <v>700</v>
      </c>
      <c r="E81" s="195">
        <f t="shared" si="129"/>
        <v>700</v>
      </c>
      <c r="F81" s="195">
        <f t="shared" ref="F81:G81" si="131">SUM(F82:F83)</f>
        <v>700</v>
      </c>
      <c r="G81" s="195">
        <f t="shared" si="131"/>
        <v>700</v>
      </c>
      <c r="H81" s="195">
        <f t="shared" ref="H81:I81" si="132">SUM(H82:H83)</f>
        <v>700</v>
      </c>
      <c r="I81" s="195">
        <f t="shared" si="132"/>
        <v>349</v>
      </c>
      <c r="J81" s="497">
        <f t="shared" ref="J81:K81" si="133">SUM(J82:J83)</f>
        <v>0</v>
      </c>
      <c r="K81" s="195">
        <f t="shared" si="133"/>
        <v>0</v>
      </c>
      <c r="L81" s="195">
        <f t="shared" ref="L81:N81" si="134">SUM(L82:L83)</f>
        <v>0</v>
      </c>
      <c r="M81" s="195">
        <f t="shared" si="134"/>
        <v>0</v>
      </c>
      <c r="N81" s="195">
        <f t="shared" si="134"/>
        <v>0</v>
      </c>
      <c r="O81" s="195">
        <f t="shared" ref="O81:P81" si="135">SUM(O82:O83)</f>
        <v>0</v>
      </c>
      <c r="P81" s="195">
        <f t="shared" si="135"/>
        <v>0</v>
      </c>
      <c r="Q81" s="195">
        <f t="shared" ref="Q81:W81" si="136">SUM(Q82:Q83)</f>
        <v>0</v>
      </c>
      <c r="R81" s="195"/>
      <c r="S81" s="195">
        <f t="shared" si="136"/>
        <v>0</v>
      </c>
      <c r="T81" s="195">
        <f t="shared" si="136"/>
        <v>0</v>
      </c>
      <c r="U81" s="195">
        <f t="shared" si="136"/>
        <v>0</v>
      </c>
      <c r="V81" s="195"/>
      <c r="W81" s="195">
        <f t="shared" si="136"/>
        <v>0</v>
      </c>
      <c r="X81" s="502">
        <f t="shared" ref="X81:AD81" si="137">(J81+C81+Q81)</f>
        <v>703</v>
      </c>
      <c r="Y81" s="127">
        <f t="shared" si="137"/>
        <v>700</v>
      </c>
      <c r="Z81" s="127">
        <f t="shared" si="137"/>
        <v>700</v>
      </c>
      <c r="AA81" s="127">
        <f t="shared" si="137"/>
        <v>700</v>
      </c>
      <c r="AB81" s="127">
        <f t="shared" si="137"/>
        <v>700</v>
      </c>
      <c r="AC81" s="127">
        <f t="shared" si="137"/>
        <v>700</v>
      </c>
      <c r="AD81" s="127">
        <f t="shared" si="137"/>
        <v>349</v>
      </c>
      <c r="AE81" s="558">
        <f t="shared" si="108"/>
        <v>49.857142857142854</v>
      </c>
    </row>
    <row r="82" spans="1:31" ht="12.75" hidden="1" customHeight="1" x14ac:dyDescent="0.2">
      <c r="A82" s="120"/>
      <c r="B82" s="8"/>
      <c r="C82" s="141"/>
      <c r="D82" s="13"/>
      <c r="E82" s="13"/>
      <c r="F82" s="13"/>
      <c r="G82" s="13"/>
      <c r="H82" s="13"/>
      <c r="I82" s="13"/>
      <c r="J82" s="141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501"/>
      <c r="Y82" s="257"/>
      <c r="Z82" s="257"/>
      <c r="AA82" s="257"/>
      <c r="AB82" s="257"/>
      <c r="AC82" s="257"/>
      <c r="AD82" s="257"/>
      <c r="AE82" s="558" t="e">
        <f t="shared" si="108"/>
        <v>#DIV/0!</v>
      </c>
    </row>
    <row r="83" spans="1:31" ht="13.5" thickBot="1" x14ac:dyDescent="0.25">
      <c r="A83" s="120"/>
      <c r="B83" s="12" t="s">
        <v>413</v>
      </c>
      <c r="C83" s="421">
        <v>703</v>
      </c>
      <c r="D83" s="29">
        <v>700</v>
      </c>
      <c r="E83" s="29">
        <v>700</v>
      </c>
      <c r="F83" s="29">
        <v>700</v>
      </c>
      <c r="G83" s="29">
        <v>700</v>
      </c>
      <c r="H83" s="29">
        <v>700</v>
      </c>
      <c r="I83" s="29">
        <v>349</v>
      </c>
      <c r="J83" s="421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503">
        <f t="shared" ref="X83:AD83" si="138">(J83+C83+Q83)</f>
        <v>703</v>
      </c>
      <c r="Y83" s="298">
        <f t="shared" si="138"/>
        <v>700</v>
      </c>
      <c r="Z83" s="298">
        <f t="shared" si="138"/>
        <v>700</v>
      </c>
      <c r="AA83" s="298">
        <f t="shared" si="138"/>
        <v>700</v>
      </c>
      <c r="AB83" s="298">
        <f t="shared" si="138"/>
        <v>700</v>
      </c>
      <c r="AC83" s="298">
        <f t="shared" si="138"/>
        <v>700</v>
      </c>
      <c r="AD83" s="298">
        <f t="shared" si="138"/>
        <v>349</v>
      </c>
      <c r="AE83" s="558">
        <f t="shared" si="108"/>
        <v>49.857142857142854</v>
      </c>
    </row>
    <row r="84" spans="1:31" ht="20.25" thickBot="1" x14ac:dyDescent="0.4">
      <c r="A84" s="377"/>
      <c r="B84" s="524" t="s">
        <v>7</v>
      </c>
      <c r="C84" s="496">
        <f t="shared" ref="C84:W84" si="139">SUM(C26+C29+C77+C78+C79+C81)</f>
        <v>243421</v>
      </c>
      <c r="D84" s="194">
        <f t="shared" ref="D84" si="140">SUM(D26+D29+D77+D78+D79+D81)</f>
        <v>246511</v>
      </c>
      <c r="E84" s="194">
        <f t="shared" ref="E84:G84" si="141">SUM(E26+E29+E77+E78+E79+E81)</f>
        <v>257985</v>
      </c>
      <c r="F84" s="194">
        <f t="shared" si="141"/>
        <v>258238</v>
      </c>
      <c r="G84" s="194">
        <f t="shared" si="141"/>
        <v>257398</v>
      </c>
      <c r="H84" s="194">
        <f t="shared" ref="H84:I84" si="142">SUM(H26+H29+H77+H78+H79+H81)</f>
        <v>257398</v>
      </c>
      <c r="I84" s="194">
        <f t="shared" si="142"/>
        <v>249691</v>
      </c>
      <c r="J84" s="496">
        <f t="shared" si="139"/>
        <v>28593</v>
      </c>
      <c r="K84" s="194">
        <f t="shared" ref="K84" si="143">SUM(K26+K29+K77+K78+K79+K81)</f>
        <v>31670</v>
      </c>
      <c r="L84" s="194">
        <f t="shared" ref="L84:N84" si="144">SUM(L26+L29+L77+L78+L79+L81)</f>
        <v>36929</v>
      </c>
      <c r="M84" s="194">
        <f t="shared" si="144"/>
        <v>36926</v>
      </c>
      <c r="N84" s="194">
        <f t="shared" si="144"/>
        <v>37766</v>
      </c>
      <c r="O84" s="194">
        <f t="shared" ref="O84:P84" si="145">SUM(O26+O29+O77+O78+O79+O81)</f>
        <v>37766</v>
      </c>
      <c r="P84" s="194">
        <f t="shared" si="145"/>
        <v>37137</v>
      </c>
      <c r="Q84" s="194">
        <f t="shared" si="139"/>
        <v>0</v>
      </c>
      <c r="R84" s="194"/>
      <c r="S84" s="194">
        <f t="shared" si="139"/>
        <v>0</v>
      </c>
      <c r="T84" s="194">
        <f t="shared" si="139"/>
        <v>0</v>
      </c>
      <c r="U84" s="194">
        <f t="shared" si="139"/>
        <v>0</v>
      </c>
      <c r="V84" s="194"/>
      <c r="W84" s="194">
        <f t="shared" si="139"/>
        <v>0</v>
      </c>
      <c r="X84" s="504">
        <f t="shared" ref="X84:AB84" si="146">SUM(X80+X81)</f>
        <v>272014</v>
      </c>
      <c r="Y84" s="122">
        <f t="shared" si="146"/>
        <v>278181</v>
      </c>
      <c r="Z84" s="122">
        <f t="shared" si="146"/>
        <v>294914</v>
      </c>
      <c r="AA84" s="122">
        <f t="shared" si="146"/>
        <v>295164</v>
      </c>
      <c r="AB84" s="122">
        <f t="shared" si="146"/>
        <v>295164</v>
      </c>
      <c r="AC84" s="122">
        <f t="shared" ref="AC84:AD84" si="147">SUM(AC80+AC81)</f>
        <v>295164</v>
      </c>
      <c r="AD84" s="122">
        <f t="shared" si="147"/>
        <v>286828</v>
      </c>
      <c r="AE84" s="558">
        <f t="shared" si="108"/>
        <v>97.175807347779539</v>
      </c>
    </row>
    <row r="85" spans="1:31" ht="12.75" hidden="1" customHeight="1" x14ac:dyDescent="0.2">
      <c r="A85" s="771"/>
      <c r="B85" s="772" t="s">
        <v>52</v>
      </c>
      <c r="C85" s="775">
        <v>32</v>
      </c>
      <c r="D85" s="121">
        <v>28</v>
      </c>
      <c r="E85" s="121">
        <v>27</v>
      </c>
      <c r="F85" s="121">
        <v>27</v>
      </c>
      <c r="G85" s="121">
        <v>28</v>
      </c>
      <c r="H85" s="121"/>
      <c r="I85" s="121">
        <v>28</v>
      </c>
      <c r="J85" s="775">
        <v>4</v>
      </c>
      <c r="K85" s="74">
        <v>3</v>
      </c>
      <c r="L85" s="74">
        <v>3</v>
      </c>
      <c r="M85" s="74">
        <v>3</v>
      </c>
      <c r="N85" s="74">
        <v>3</v>
      </c>
      <c r="O85" s="74"/>
      <c r="P85" s="74">
        <v>3</v>
      </c>
      <c r="Q85" s="74"/>
      <c r="R85" s="74"/>
      <c r="S85" s="74"/>
      <c r="T85" s="74"/>
      <c r="U85" s="74"/>
      <c r="V85" s="74"/>
      <c r="W85" s="74"/>
      <c r="X85" s="773">
        <f>C85+J85</f>
        <v>36</v>
      </c>
      <c r="Y85" s="769">
        <v>32</v>
      </c>
      <c r="Z85" s="769">
        <f>E85+L85+1</f>
        <v>31</v>
      </c>
      <c r="AA85" s="769">
        <f>F85+M85+1</f>
        <v>31</v>
      </c>
      <c r="AB85" s="769">
        <f>G85+N85+1</f>
        <v>32</v>
      </c>
      <c r="AC85" s="769">
        <f>H85+O85+1</f>
        <v>1</v>
      </c>
      <c r="AD85" s="769">
        <f>I85+P85+1</f>
        <v>32</v>
      </c>
      <c r="AE85" s="558">
        <f t="shared" si="108"/>
        <v>3200</v>
      </c>
    </row>
    <row r="86" spans="1:31" ht="12.75" hidden="1" customHeight="1" x14ac:dyDescent="0.2">
      <c r="A86" s="771"/>
      <c r="B86" s="772"/>
      <c r="C86" s="703"/>
      <c r="D86" s="121" t="s">
        <v>677</v>
      </c>
      <c r="E86" s="121" t="s">
        <v>677</v>
      </c>
      <c r="F86" s="121" t="s">
        <v>677</v>
      </c>
      <c r="G86" s="121" t="s">
        <v>677</v>
      </c>
      <c r="H86" s="121"/>
      <c r="I86" s="121" t="s">
        <v>677</v>
      </c>
      <c r="J86" s="70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74"/>
      <c r="Y86" s="770"/>
      <c r="Z86" s="770"/>
      <c r="AA86" s="770"/>
      <c r="AB86" s="770"/>
      <c r="AC86" s="770"/>
      <c r="AD86" s="770"/>
      <c r="AE86" s="558" t="e">
        <f t="shared" si="108"/>
        <v>#DIV/0!</v>
      </c>
    </row>
    <row r="87" spans="1:31" x14ac:dyDescent="0.2">
      <c r="A87" s="265"/>
      <c r="B87" s="520"/>
      <c r="C87" s="521"/>
      <c r="D87" s="215"/>
      <c r="E87" s="215"/>
      <c r="F87" s="215"/>
      <c r="G87" s="215"/>
      <c r="H87" s="215"/>
      <c r="I87" s="215"/>
      <c r="J87" s="521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522"/>
      <c r="Y87" s="523"/>
      <c r="Z87" s="523"/>
      <c r="AA87" s="523"/>
      <c r="AB87" s="523"/>
      <c r="AC87" s="523"/>
      <c r="AD87" s="523"/>
      <c r="AE87" s="558"/>
    </row>
    <row r="88" spans="1:31" x14ac:dyDescent="0.2">
      <c r="B88" s="9" t="s">
        <v>344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33"/>
      <c r="X88" s="33">
        <v>15349</v>
      </c>
      <c r="Y88" s="33">
        <v>2047</v>
      </c>
      <c r="Z88" s="33">
        <v>2047</v>
      </c>
      <c r="AA88" s="33">
        <v>2047</v>
      </c>
      <c r="AB88" s="33">
        <v>2047</v>
      </c>
      <c r="AC88" s="33">
        <v>2047</v>
      </c>
      <c r="AD88" s="33">
        <v>2047</v>
      </c>
      <c r="AE88" s="558">
        <f t="shared" si="108"/>
        <v>100</v>
      </c>
    </row>
    <row r="89" spans="1:31" x14ac:dyDescent="0.2">
      <c r="B89" s="9" t="s">
        <v>472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33"/>
      <c r="X89" s="33">
        <v>152912</v>
      </c>
      <c r="Y89" s="33">
        <v>134735</v>
      </c>
      <c r="Z89" s="33">
        <f>134735+1860+18177+11783</f>
        <v>166555</v>
      </c>
      <c r="AA89" s="33">
        <f>134735+1860+18177+11783</f>
        <v>166555</v>
      </c>
      <c r="AB89" s="33">
        <f>134735+1860+18177+11783</f>
        <v>166555</v>
      </c>
      <c r="AC89" s="33">
        <f>134735+1860+18177+11783</f>
        <v>166555</v>
      </c>
      <c r="AD89" s="33">
        <f>134735+1860+18177+11783</f>
        <v>166555</v>
      </c>
      <c r="AE89" s="558">
        <f t="shared" si="108"/>
        <v>100</v>
      </c>
    </row>
    <row r="90" spans="1:31" x14ac:dyDescent="0.2">
      <c r="B90" s="9" t="s">
        <v>326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33"/>
      <c r="X90" s="33">
        <v>1001</v>
      </c>
      <c r="Y90" s="33">
        <f>1120+(1)+(149)</f>
        <v>1270</v>
      </c>
      <c r="Z90" s="33">
        <f t="shared" ref="Z90" si="148">1120+(1)+(149)</f>
        <v>1270</v>
      </c>
      <c r="AA90" s="33">
        <f>1120+250+(1)+(149)</f>
        <v>1520</v>
      </c>
      <c r="AB90" s="33">
        <f>1120+250+(1)+(149)</f>
        <v>1520</v>
      </c>
      <c r="AC90" s="33">
        <f>1120+250+(1)+(149)</f>
        <v>1520</v>
      </c>
      <c r="AD90" s="33">
        <f>1280+4</f>
        <v>1284</v>
      </c>
      <c r="AE90" s="558">
        <f t="shared" si="108"/>
        <v>84.473684210526315</v>
      </c>
    </row>
    <row r="91" spans="1:31" x14ac:dyDescent="0.2">
      <c r="B91" s="9" t="s">
        <v>419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33"/>
      <c r="X91" s="33">
        <v>38000</v>
      </c>
      <c r="Y91" s="33">
        <f>SUM('2.működés'!D65)</f>
        <v>44500</v>
      </c>
      <c r="Z91" s="33">
        <f>SUM('2.működés'!E65)</f>
        <v>44500</v>
      </c>
      <c r="AA91" s="33">
        <f>SUM('2.működés'!G65)</f>
        <v>44500</v>
      </c>
      <c r="AB91" s="33">
        <f>SUM('2.működés'!I65)</f>
        <v>44500</v>
      </c>
      <c r="AC91" s="33">
        <f>SUM('2.működés'!K65)</f>
        <v>44500</v>
      </c>
      <c r="AD91" s="33">
        <v>44500</v>
      </c>
      <c r="AE91" s="558">
        <f t="shared" si="108"/>
        <v>100</v>
      </c>
    </row>
    <row r="92" spans="1:31" x14ac:dyDescent="0.2">
      <c r="B92" s="9" t="s">
        <v>418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33"/>
      <c r="X92" s="33">
        <v>4000</v>
      </c>
      <c r="Y92" s="33">
        <f>'2.működés'!D66</f>
        <v>5000</v>
      </c>
      <c r="Z92" s="33">
        <f>'2.működés'!E66</f>
        <v>5000</v>
      </c>
      <c r="AA92" s="33">
        <f>'2.működés'!G66</f>
        <v>5000</v>
      </c>
      <c r="AB92" s="33">
        <f>'2.működés'!I66</f>
        <v>5000</v>
      </c>
      <c r="AC92" s="33">
        <f>'2.működés'!K66</f>
        <v>5000</v>
      </c>
      <c r="AD92" s="33">
        <v>5000</v>
      </c>
      <c r="AE92" s="558">
        <f t="shared" si="108"/>
        <v>100</v>
      </c>
    </row>
    <row r="93" spans="1:31" ht="12.75" hidden="1" customHeight="1" x14ac:dyDescent="0.2">
      <c r="B93" s="9" t="s">
        <v>503</v>
      </c>
      <c r="P93" s="9"/>
      <c r="X93" s="33">
        <v>8715</v>
      </c>
      <c r="Y93" s="33">
        <v>0</v>
      </c>
      <c r="Z93" s="33">
        <v>0</v>
      </c>
      <c r="AA93" s="33">
        <v>0</v>
      </c>
      <c r="AB93" s="33">
        <v>0</v>
      </c>
      <c r="AC93" s="33">
        <v>0</v>
      </c>
      <c r="AD93" s="33">
        <v>0</v>
      </c>
      <c r="AE93" s="558" t="e">
        <f t="shared" si="108"/>
        <v>#DIV/0!</v>
      </c>
    </row>
    <row r="94" spans="1:31" x14ac:dyDescent="0.2">
      <c r="B94" s="9" t="s">
        <v>665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33"/>
      <c r="X94" s="33">
        <v>1554</v>
      </c>
      <c r="Y94" s="33">
        <v>2030</v>
      </c>
      <c r="Z94" s="33">
        <v>2030</v>
      </c>
      <c r="AA94" s="33">
        <v>2030</v>
      </c>
      <c r="AB94" s="33">
        <v>2030</v>
      </c>
      <c r="AC94" s="33">
        <v>2030</v>
      </c>
      <c r="AD94" s="33">
        <v>2030</v>
      </c>
      <c r="AE94" s="558">
        <f t="shared" si="108"/>
        <v>100</v>
      </c>
    </row>
    <row r="95" spans="1:31" ht="12.75" hidden="1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33"/>
      <c r="X95" s="33"/>
      <c r="Y95" s="33"/>
      <c r="Z95" s="33"/>
      <c r="AA95" s="33"/>
      <c r="AB95" s="268"/>
      <c r="AC95" s="268"/>
      <c r="AD95" s="268"/>
      <c r="AE95" s="558" t="e">
        <f t="shared" si="108"/>
        <v>#DIV/0!</v>
      </c>
    </row>
    <row r="96" spans="1:31" x14ac:dyDescent="0.2">
      <c r="B96" s="267" t="s">
        <v>562</v>
      </c>
      <c r="C96" s="46"/>
      <c r="D96" s="46"/>
      <c r="E96" s="46"/>
      <c r="F96" s="46"/>
      <c r="G96" s="46"/>
      <c r="H96" s="46"/>
      <c r="I96" s="46"/>
      <c r="J96" s="46"/>
      <c r="K96" s="46"/>
      <c r="L96" s="9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268"/>
      <c r="X96" s="268">
        <v>221531</v>
      </c>
      <c r="Y96" s="268">
        <f>SUM(Y88:Y95)</f>
        <v>189582</v>
      </c>
      <c r="Z96" s="268">
        <f t="shared" ref="Z96:AA96" si="149">SUM(Z88:Z95)</f>
        <v>221402</v>
      </c>
      <c r="AA96" s="268">
        <f t="shared" si="149"/>
        <v>221652</v>
      </c>
      <c r="AB96" s="268">
        <f t="shared" ref="AB96" si="150">SUM(AB88:AB95)</f>
        <v>221652</v>
      </c>
      <c r="AC96" s="268">
        <f t="shared" ref="AC96" si="151">SUM(AC88:AC95)</f>
        <v>221652</v>
      </c>
      <c r="AD96" s="268">
        <f>SUM(AD88:AD95)</f>
        <v>221416</v>
      </c>
      <c r="AE96" s="558">
        <f t="shared" si="108"/>
        <v>99.893526789742481</v>
      </c>
    </row>
    <row r="97" spans="2:31" x14ac:dyDescent="0.2">
      <c r="B97" s="9" t="s">
        <v>262</v>
      </c>
      <c r="L97" s="9"/>
      <c r="W97" s="33"/>
      <c r="X97" s="505">
        <v>52531</v>
      </c>
      <c r="Y97" s="313">
        <f>SUM(Y84-Y96)</f>
        <v>88599</v>
      </c>
      <c r="Z97" s="313">
        <f>SUM(Z84-Z96)</f>
        <v>73512</v>
      </c>
      <c r="AA97" s="313">
        <f>SUM(AA84-AA96)</f>
        <v>73512</v>
      </c>
      <c r="AB97" s="313">
        <f t="shared" ref="AB97" si="152">SUM(AB84-AB96)</f>
        <v>73512</v>
      </c>
      <c r="AC97" s="313">
        <f t="shared" ref="AC97" si="153">SUM(AC84-AC96)</f>
        <v>73512</v>
      </c>
      <c r="AD97" s="313">
        <v>73512</v>
      </c>
      <c r="AE97" s="558">
        <f t="shared" si="108"/>
        <v>100</v>
      </c>
    </row>
    <row r="98" spans="2:31" x14ac:dyDescent="0.2">
      <c r="B98" s="9" t="s">
        <v>545</v>
      </c>
      <c r="L98" s="9"/>
      <c r="X98" s="33">
        <v>205443</v>
      </c>
      <c r="Y98" s="70">
        <f>Y89+Y97</f>
        <v>223334</v>
      </c>
      <c r="Z98" s="70">
        <f>Z89+Z97</f>
        <v>240067</v>
      </c>
      <c r="AA98" s="70">
        <f>AA89+AA97</f>
        <v>240067</v>
      </c>
      <c r="AB98" s="70">
        <f t="shared" ref="AB98" si="154">AB89+AB97</f>
        <v>240067</v>
      </c>
      <c r="AC98" s="70">
        <f t="shared" ref="AC98" si="155">AC89+AC97</f>
        <v>240067</v>
      </c>
      <c r="AD98" s="70">
        <f>AD89+AD97</f>
        <v>240067</v>
      </c>
      <c r="AE98" s="558">
        <f t="shared" si="108"/>
        <v>100</v>
      </c>
    </row>
    <row r="99" spans="2:31" x14ac:dyDescent="0.2">
      <c r="AA99" s="70"/>
      <c r="AB99" s="70"/>
      <c r="AC99" s="70"/>
      <c r="AD99" s="70"/>
      <c r="AE99" s="558"/>
    </row>
    <row r="100" spans="2:31" x14ac:dyDescent="0.2">
      <c r="B100" s="359"/>
      <c r="C100" s="70"/>
      <c r="D100" s="70"/>
      <c r="AD100" s="70"/>
      <c r="AE100" s="558"/>
    </row>
    <row r="101" spans="2:31" hidden="1" x14ac:dyDescent="0.2">
      <c r="C101" s="70">
        <f>(C23+C25+C31+C32+C33+C34+C35+C36+C41+C42+C43+C44+C45+C50+C52+C53+C54+C59+C60+C62+(C63-6700)+C67+(C73-1700))*0.27</f>
        <v>2829.3300000000004</v>
      </c>
      <c r="D101" s="70"/>
      <c r="E101" s="70">
        <f>(E23+E25+E31+E32+E33+E34+E35+E36+E41+E42+E43+E44+E45+E50+E52+E53+E54+E59+E60+E62+(E63-6700+3897-2465)+E67+(E73-1700))*0.27</f>
        <v>2839.86</v>
      </c>
      <c r="F101" s="70">
        <f t="shared" ref="F101:I101" si="156">(F23+F25+F31+F32+F33+F34+F35+F36+F41+F42+F43+F44+F45+F50+F52+F53+F54+F59+F60+F62+F63+F67+(F73-1600))*0.27</f>
        <v>4351.3200000000006</v>
      </c>
      <c r="G101" s="70">
        <f t="shared" si="156"/>
        <v>4178.5200000000004</v>
      </c>
      <c r="H101" s="70"/>
      <c r="I101" s="70">
        <f t="shared" si="156"/>
        <v>3572.6400000000003</v>
      </c>
      <c r="J101" s="70">
        <f>(J23+J25+J32+J33+J34+J35+J36+J41+J42+J43+J44+J45+J50+J52+J53+J54+J59+J60+J62+(J63-500)+J67+(J73))*0.27</f>
        <v>414.99</v>
      </c>
      <c r="K101" s="70"/>
      <c r="L101" s="70">
        <f>(L23+L25+L31+L32+L33+L34+L35+L36+L41+L42+L44+L45+L50+L52+L53+L54+L59+L60+L62+L67+(L73))*0.27</f>
        <v>137.97</v>
      </c>
      <c r="M101" s="70">
        <f>(M23+M25+M31+M32+M33+M34+M35+M36+M41+M42+M44+M45+M50+M52+M53+M54+M59+M60+M62+M67+(M73))*0.27</f>
        <v>137.97</v>
      </c>
      <c r="N101" s="70">
        <f>(N23+N25+N31+N32+N33+N34+N35+N36+N41+N42+N44+N45+N50+N52+N53+N54+N59+N60+N62+N67+(N73))*0.27</f>
        <v>56.970000000000006</v>
      </c>
      <c r="O101" s="70"/>
      <c r="P101" s="70">
        <f>(P23+P25+P31+P32+P33+P34+P35+P36+P41+P42+P44+P45+P50+P52+P53+P54+P59+P60+P62+P67+(P73))*0.27</f>
        <v>22.14</v>
      </c>
    </row>
    <row r="102" spans="2:31" x14ac:dyDescent="0.2">
      <c r="AE102"/>
    </row>
    <row r="103" spans="2:31" x14ac:dyDescent="0.2">
      <c r="AE103"/>
    </row>
    <row r="104" spans="2:31" x14ac:dyDescent="0.2">
      <c r="C104" s="361"/>
      <c r="D104" s="361"/>
    </row>
    <row r="105" spans="2:31" x14ac:dyDescent="0.2">
      <c r="C105" s="361"/>
      <c r="D105" s="361"/>
    </row>
  </sheetData>
  <mergeCells count="20">
    <mergeCell ref="Y85:Y86"/>
    <mergeCell ref="A85:A86"/>
    <mergeCell ref="B85:B86"/>
    <mergeCell ref="X85:X86"/>
    <mergeCell ref="A6:AD6"/>
    <mergeCell ref="Z85:Z86"/>
    <mergeCell ref="AA85:AA86"/>
    <mergeCell ref="AB85:AB86"/>
    <mergeCell ref="AD85:AD86"/>
    <mergeCell ref="C85:C86"/>
    <mergeCell ref="J85:J86"/>
    <mergeCell ref="AC85:AC86"/>
    <mergeCell ref="A4:AD4"/>
    <mergeCell ref="A5:AD5"/>
    <mergeCell ref="A8:A9"/>
    <mergeCell ref="B8:B9"/>
    <mergeCell ref="C8:I8"/>
    <mergeCell ref="J8:P8"/>
    <mergeCell ref="Q8:W8"/>
    <mergeCell ref="X8:AD8"/>
  </mergeCells>
  <phoneticPr fontId="15" type="noConversion"/>
  <pageMargins left="0.35433070866141736" right="0" top="0.19685039370078741" bottom="0.15748031496062992" header="0.19685039370078741" footer="0.15748031496062992"/>
  <pageSetup paperSize="9" scale="70" orientation="landscape" r:id="rId1"/>
  <headerFooter alignWithMargins="0"/>
  <rowBreaks count="1" manualBreakCount="1">
    <brk id="47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15</vt:i4>
      </vt:variant>
    </vt:vector>
  </HeadingPairs>
  <TitlesOfParts>
    <vt:vector size="34" baseType="lpstr">
      <vt:lpstr>1.Bev-kiad.</vt:lpstr>
      <vt:lpstr>2.működés</vt:lpstr>
      <vt:lpstr>3.felh</vt:lpstr>
      <vt:lpstr>4. Átadott p.eszk.</vt:lpstr>
      <vt:lpstr>5.Bev.össz</vt:lpstr>
      <vt:lpstr>6.Kiad.össz. </vt:lpstr>
      <vt:lpstr>7.finanszírozás.</vt:lpstr>
      <vt:lpstr>8.Önk.</vt:lpstr>
      <vt:lpstr>9.Hivatal</vt:lpstr>
      <vt:lpstr>10.Többéves, adósság</vt:lpstr>
      <vt:lpstr>11.Maradvány</vt:lpstr>
      <vt:lpstr>12.Mérleg_konsz</vt:lpstr>
      <vt:lpstr>13.Eredménykim._konsz</vt:lpstr>
      <vt:lpstr>14.Vagyonkimutatás</vt:lpstr>
      <vt:lpstr>15.Előirányzat felh.terv</vt:lpstr>
      <vt:lpstr>16.Részesedések</vt:lpstr>
      <vt:lpstr>17.Gördülő</vt:lpstr>
      <vt:lpstr>18.Vezetői nyilatkozat</vt:lpstr>
      <vt:lpstr>19.Mérlegszerű kimutatás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'1.Bev-kiad.'!Nyomtatási_terület</vt:lpstr>
      <vt:lpstr>'10.Többéves, adósság'!Nyomtatási_terület</vt:lpstr>
      <vt:lpstr>'17.Gördülő'!Nyomtatási_terület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2026-05-07T06:33:01Z</cp:lastPrinted>
  <dcterms:created xsi:type="dcterms:W3CDTF">2009-11-11T14:39:35Z</dcterms:created>
  <dcterms:modified xsi:type="dcterms:W3CDTF">2026-05-19T12:43:21Z</dcterms:modified>
</cp:coreProperties>
</file>