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ittmann\Downloads\"/>
    </mc:Choice>
  </mc:AlternateContent>
  <xr:revisionPtr revIDLastSave="0" documentId="13_ncr:1_{9417AC65-88DC-4C0C-B381-48C51B12C330}" xr6:coauthVersionLast="47" xr6:coauthVersionMax="47" xr10:uidLastSave="{00000000-0000-0000-0000-000000000000}"/>
  <bookViews>
    <workbookView xWindow="-120" yWindow="-120" windowWidth="19440" windowHeight="15000" tabRatio="929" xr2:uid="{00000000-000D-0000-FFFF-FFFF00000000}"/>
  </bookViews>
  <sheets>
    <sheet name="Összesítő" sheetId="96" r:id="rId1"/>
    <sheet name="1.Bev-kiad." sheetId="36" r:id="rId2"/>
    <sheet name="2.működés" sheetId="57" r:id="rId3"/>
    <sheet name="3.felh" sheetId="58" r:id="rId4"/>
    <sheet name="4. Átadott p.eszk." sheetId="39" r:id="rId5"/>
    <sheet name="5.Bev.össz" sheetId="99" r:id="rId6"/>
    <sheet name="6.Kiad.össz. " sheetId="80" r:id="rId7"/>
    <sheet name="7.finanszírozás." sheetId="81" r:id="rId8"/>
    <sheet name="8.Önk." sheetId="82" r:id="rId9"/>
    <sheet name="zöld város" sheetId="100" state="hidden" r:id="rId10"/>
    <sheet name="9.Hivatal" sheetId="83" r:id="rId11"/>
    <sheet name="10.Többéves, adósság" sheetId="52" r:id="rId12"/>
    <sheet name="11.Likviditás" sheetId="53" r:id="rId13"/>
    <sheet name="12. gördülő tervezés" sheetId="97" state="hidden" r:id="rId14"/>
    <sheet name="13. Eu projekt" sheetId="56" state="hidden" r:id="rId15"/>
    <sheet name="14.mérlegszerű kimutatás" sheetId="102" state="hidden" r:id="rId16"/>
    <sheet name="12.Tartalék" sheetId="103" r:id="rId17"/>
    <sheet name="Társulási fel. tájékoztatásul" sheetId="101" state="hidden" r:id="rId18"/>
    <sheet name="13.2.EU projekt részletesen" sheetId="95" state="hidden" r:id="rId19"/>
  </sheets>
  <externalReferences>
    <externalReference r:id="rId20"/>
    <externalReference r:id="rId21"/>
    <externalReference r:id="rId22"/>
  </externalReferences>
  <definedNames>
    <definedName name="_xlnm._FilterDatabase" localSheetId="1" hidden="1">'1.Bev-kiad.'!$B$1:$B$64</definedName>
    <definedName name="_xlnm._FilterDatabase" localSheetId="13" hidden="1">'12. gördülő tervezés'!$B$1:$B$64</definedName>
    <definedName name="_xlnm._FilterDatabase" localSheetId="2" hidden="1">'2.működés'!$B$1:$B$114</definedName>
    <definedName name="_xlnm._FilterDatabase" localSheetId="3" hidden="1">'3.felh'!$B$1:$B$43</definedName>
    <definedName name="adfadf">'[1]4.1. táj.'!#REF!</definedName>
    <definedName name="beruh" localSheetId="13">'[1]4.1. táj.'!#REF!</definedName>
    <definedName name="beruh" localSheetId="14">'[1]4.1. táj.'!#REF!</definedName>
    <definedName name="beruh" localSheetId="2">'[1]4.1. táj.'!#REF!</definedName>
    <definedName name="beruh" localSheetId="3">'[1]4.1. táj.'!#REF!</definedName>
    <definedName name="beruh" localSheetId="6">'[1]4.1. táj.'!#REF!</definedName>
    <definedName name="beruh" localSheetId="7">'[1]4.1. táj.'!#REF!</definedName>
    <definedName name="beruh" localSheetId="8">'[1]4.1. táj.'!#REF!</definedName>
    <definedName name="beruh" localSheetId="10">'[1]4.1. táj.'!#REF!</definedName>
    <definedName name="beruh">'[1]4.1. táj.'!#REF!</definedName>
    <definedName name="intézmények" localSheetId="13">'[2]4.1. táj.'!#REF!</definedName>
    <definedName name="intézmények" localSheetId="14">'[2]4.1. táj.'!#REF!</definedName>
    <definedName name="intézmények" localSheetId="2">'[2]4.1. táj.'!#REF!</definedName>
    <definedName name="intézmények" localSheetId="3">'[2]4.1. táj.'!#REF!</definedName>
    <definedName name="intézmények" localSheetId="6">'[2]4.1. táj.'!#REF!</definedName>
    <definedName name="intézmények" localSheetId="7">'[2]4.1. táj.'!#REF!</definedName>
    <definedName name="intézmények" localSheetId="8">'[2]4.1. táj.'!#REF!</definedName>
    <definedName name="intézmények" localSheetId="10">'[2]4.1. táj.'!#REF!</definedName>
    <definedName name="intézmények">'[2]4.1. táj.'!#REF!</definedName>
    <definedName name="_xlnm.Print_Titles" localSheetId="2">'2.működés'!$7:$7</definedName>
    <definedName name="_xlnm.Print_Titles" localSheetId="6">'6.Kiad.össz. '!$A:$A</definedName>
    <definedName name="_xlnm.Print_Titles" localSheetId="7">'7.finanszírozás.'!$7:$8</definedName>
    <definedName name="_xlnm.Print_Titles" localSheetId="8">'8.Önk.'!$A:$B,'8.Önk.'!$5:$10</definedName>
    <definedName name="_xlnm.Print_Titles" localSheetId="10">'9.Hivatal'!$8:$9</definedName>
    <definedName name="_xlnm.Print_Titles" localSheetId="0">Összesítő!$5:$7</definedName>
    <definedName name="_xlnm.Print_Area" localSheetId="1">'1.Bev-kiad.'!$A$1:$E$95</definedName>
    <definedName name="_xlnm.Print_Area" localSheetId="11">'10.Többéves, adósság'!$A$1:$O$32</definedName>
    <definedName name="_xlnm.Print_Area" localSheetId="12">'11.Likviditás'!$A$1:$N$30</definedName>
    <definedName name="_xlnm.Print_Area" localSheetId="13">'12. gördülő tervezés'!$A$1:$F$87</definedName>
    <definedName name="_xlnm.Print_Area" localSheetId="14">'13. Eu projekt'!$A$1:$O$17</definedName>
    <definedName name="_xlnm.Print_Area" localSheetId="2">'2.működés'!$A$1:$E$141</definedName>
    <definedName name="_xlnm.Print_Area" localSheetId="3">'3.felh'!$A$1:$E$100</definedName>
    <definedName name="_xlnm.Print_Area" localSheetId="4">'4. Átadott p.eszk.'!$A$1:$D$76</definedName>
    <definedName name="_xlnm.Print_Area" localSheetId="6">'6.Kiad.össz. '!$A$1:$P$50</definedName>
    <definedName name="_xlnm.Print_Area" localSheetId="7">'7.finanszírozás.'!$A$1:$F$149</definedName>
    <definedName name="_xlnm.Print_Area" localSheetId="8">'8.Önk.'!$A$1:$BC$149</definedName>
    <definedName name="_xlnm.Print_Area" localSheetId="10">'9.Hivatal'!$A$1:$T$96</definedName>
    <definedName name="_xlnm.Print_Area" localSheetId="0">Összesítő!$A$1:$F$195</definedName>
    <definedName name="_xlnm.Print_Area" localSheetId="17">'Társulási fel. tájékoztatásul'!$A$1:$S$38</definedName>
    <definedName name="qewrqewr" localSheetId="13">'[1]4.1. táj.'!#REF!</definedName>
    <definedName name="qewrqewr" localSheetId="6">'[1]4.1. táj.'!#REF!</definedName>
    <definedName name="qewrqewr" localSheetId="7">'[1]4.1. táj.'!#REF!</definedName>
    <definedName name="qewrqewr" localSheetId="8">'[1]4.1. táj.'!#REF!</definedName>
    <definedName name="qewrqewr" localSheetId="10">'[1]4.1. táj.'!#REF!</definedName>
    <definedName name="qewrqewr">'[1]4.1. táj.'!#REF!</definedName>
    <definedName name="Z_ABF21C5C_6078_4D03_96DF_78390D4F8F84_.wvu.Cols" localSheetId="4" hidden="1">'4. Átadott p.eszk.'!#REF!,'4. Átadott p.eszk.'!$HS:$IV</definedName>
    <definedName name="Z_ABF21C5C_6078_4D03_96DF_78390D4F8F84_.wvu.FilterData" localSheetId="1" hidden="1">'1.Bev-kiad.'!$B$1:$B$64</definedName>
    <definedName name="Z_ABF21C5C_6078_4D03_96DF_78390D4F8F84_.wvu.FilterData" localSheetId="13" hidden="1">'12. gördülő tervezés'!$B$1:$B$64</definedName>
    <definedName name="Z_ABF21C5C_6078_4D03_96DF_78390D4F8F84_.wvu.FilterData" localSheetId="2" hidden="1">'2.működés'!$B$1:$B$114</definedName>
    <definedName name="Z_ABF21C5C_6078_4D03_96DF_78390D4F8F84_.wvu.FilterData" localSheetId="3" hidden="1">'3.felh'!$B$1:$B$43</definedName>
    <definedName name="Z_ABF21C5C_6078_4D03_96DF_78390D4F8F84_.wvu.PrintArea" localSheetId="1" hidden="1">'1.Bev-kiad.'!$B$1:$B$89</definedName>
    <definedName name="Z_ABF21C5C_6078_4D03_96DF_78390D4F8F84_.wvu.PrintArea" localSheetId="13" hidden="1">'12. gördülő tervezés'!$B$1:$B$81</definedName>
    <definedName name="Z_ABF21C5C_6078_4D03_96DF_78390D4F8F84_.wvu.PrintArea" localSheetId="2" hidden="1">'2.működés'!$B$1:$B$136</definedName>
    <definedName name="Z_ABF21C5C_6078_4D03_96DF_78390D4F8F84_.wvu.PrintArea" localSheetId="3" hidden="1">'3.felh'!$B$1:$B$87</definedName>
    <definedName name="Z_ABF21C5C_6078_4D03_96DF_78390D4F8F84_.wvu.PrintArea" localSheetId="4" hidden="1">'4. Átadott p.eszk.'!$A$1:$A$63</definedName>
    <definedName name="Z_ABF21C5C_6078_4D03_96DF_78390D4F8F84_.wvu.PrintArea" localSheetId="8" hidden="1">'8.Önk.'!$B$1:$B$7</definedName>
    <definedName name="Z_ABF21C5C_6078_4D03_96DF_78390D4F8F84_.wvu.PrintArea" localSheetId="10" hidden="1">'9.Hivatal'!$B$1:$B$6</definedName>
    <definedName name="Z_ABF21C5C_6078_4D03_96DF_78390D4F8F84_.wvu.Rows" localSheetId="1" hidden="1">'1.Bev-kiad.'!#REF!</definedName>
    <definedName name="Z_ABF21C5C_6078_4D03_96DF_78390D4F8F84_.wvu.Rows" localSheetId="13" hidden="1">'12. gördülő tervezés'!#REF!</definedName>
    <definedName name="Z_ABF21C5C_6078_4D03_96DF_78390D4F8F84_.wvu.Rows" localSheetId="2" hidden="1">'2.működés'!#REF!</definedName>
    <definedName name="Z_ABF21C5C_6078_4D03_96DF_78390D4F8F84_.wvu.Rows" localSheetId="3" hidden="1">'3.felh'!#REF!</definedName>
    <definedName name="Z_ABF21C5C_6078_4D03_96DF_78390D4F8F84_.wvu.Rows" localSheetId="4" hidden="1">'4. Átadott p.eszk.'!#REF!,'4. Átadott p.eszk.'!#REF!,'4. Átadott p.eszk.'!#REF!,'4. Átadott p.eszk.'!#REF!,'4. Átadott p.eszk.'!#REF!</definedName>
    <definedName name="Z_ABF21C5C_6078_4D03_96DF_78390D4F8F84_.wvu.Rows" localSheetId="8" hidden="1">'8.Önk.'!#REF!,'8.Önk.'!#REF!</definedName>
    <definedName name="Z_ABF21C5C_6078_4D03_96DF_78390D4F8F84_.wvu.Rows" localSheetId="10" hidden="1">'9.Hivatal'!#REF!,'9.Hivatal'!#REF!</definedName>
  </definedNames>
  <calcPr calcId="181029"/>
  <customWorkbookViews>
    <customWorkbookView name="Belovics Emilné - Egyéni látvány" guid="{ABF21C5C-6078-4D03-96DF-78390D4F8F84}" mergeInterval="0" personalView="1" maximized="1" windowWidth="1020" windowHeight="625" activeSheetId="1" showStatusbar="0"/>
  </customWorkbookViews>
</workbook>
</file>

<file path=xl/calcChain.xml><?xml version="1.0" encoding="utf-8"?>
<calcChain xmlns="http://schemas.openxmlformats.org/spreadsheetml/2006/main">
  <c r="M24" i="53" l="1"/>
  <c r="E127" i="57"/>
  <c r="D165" i="96"/>
  <c r="E20" i="83"/>
  <c r="E13" i="83"/>
  <c r="D95" i="96"/>
  <c r="J20" i="53"/>
  <c r="E30" i="82"/>
  <c r="K20" i="53"/>
  <c r="E20" i="82"/>
  <c r="F17" i="80" l="1"/>
  <c r="F23" i="80"/>
  <c r="G25" i="99"/>
  <c r="E144" i="81"/>
  <c r="E145" i="81"/>
  <c r="E137" i="81"/>
  <c r="E138" i="81"/>
  <c r="E139" i="81"/>
  <c r="E140" i="81"/>
  <c r="E141" i="81"/>
  <c r="E123" i="81"/>
  <c r="E124" i="81"/>
  <c r="C131" i="81"/>
  <c r="E59" i="81"/>
  <c r="E60" i="81"/>
  <c r="D12" i="81"/>
  <c r="E91" i="57"/>
  <c r="AQ114" i="82"/>
  <c r="D49" i="96"/>
  <c r="E15" i="52"/>
  <c r="D10" i="52"/>
  <c r="D15" i="52" s="1"/>
  <c r="D9" i="52"/>
  <c r="C9" i="52"/>
  <c r="G28" i="52"/>
  <c r="I28" i="52"/>
  <c r="K28" i="52"/>
  <c r="L25" i="52"/>
  <c r="T91" i="83"/>
  <c r="AD88" i="82"/>
  <c r="Y88" i="82"/>
  <c r="Y81" i="82"/>
  <c r="Y79" i="82"/>
  <c r="E66" i="82"/>
  <c r="E64" i="82"/>
  <c r="Y40" i="82"/>
  <c r="E40" i="82"/>
  <c r="E36" i="82"/>
  <c r="Y35" i="82"/>
  <c r="E35" i="82"/>
  <c r="O47" i="82"/>
  <c r="Y47" i="82"/>
  <c r="AS47" i="82"/>
  <c r="AS26" i="82"/>
  <c r="T26" i="82"/>
  <c r="E62" i="83"/>
  <c r="E61" i="83"/>
  <c r="J62" i="83"/>
  <c r="J61" i="83"/>
  <c r="E52" i="83"/>
  <c r="E11" i="83"/>
  <c r="E75" i="96"/>
  <c r="E15" i="83"/>
  <c r="F80" i="96"/>
  <c r="E14" i="83"/>
  <c r="E27" i="83"/>
  <c r="E22" i="83"/>
  <c r="E25" i="83"/>
  <c r="E24" i="83"/>
  <c r="I65" i="57"/>
  <c r="I64" i="57"/>
  <c r="E64" i="57"/>
  <c r="E24" i="82"/>
  <c r="D90" i="96"/>
  <c r="E9" i="103"/>
  <c r="F166" i="96"/>
  <c r="F167" i="96"/>
  <c r="D141" i="96"/>
  <c r="D120" i="96"/>
  <c r="F49" i="96"/>
  <c r="M126" i="82"/>
  <c r="M128" i="82"/>
  <c r="M123" i="82"/>
  <c r="C126" i="82"/>
  <c r="C123" i="82"/>
  <c r="I127" i="57"/>
  <c r="D19" i="103"/>
  <c r="E19" i="103"/>
  <c r="C19" i="103"/>
  <c r="M119" i="82"/>
  <c r="M118" i="82"/>
  <c r="C120" i="82"/>
  <c r="C119" i="82"/>
  <c r="C118" i="82"/>
  <c r="E78" i="36"/>
  <c r="C128" i="82"/>
  <c r="E92" i="58"/>
  <c r="C145" i="81" s="1"/>
  <c r="E68" i="58"/>
  <c r="D58" i="39"/>
  <c r="D30" i="39"/>
  <c r="E17" i="103" l="1"/>
  <c r="Y50" i="82"/>
  <c r="Y82" i="82"/>
  <c r="D144" i="96"/>
  <c r="AX94" i="82"/>
  <c r="Y94" i="82"/>
  <c r="AX79" i="82" l="1"/>
  <c r="E74" i="82"/>
  <c r="E90" i="82"/>
  <c r="AD48" i="82"/>
  <c r="E87" i="57"/>
  <c r="Y66" i="82"/>
  <c r="H127" i="57"/>
  <c r="H165" i="96" s="1"/>
  <c r="BA83" i="82"/>
  <c r="BE82" i="82"/>
  <c r="BD82" i="82"/>
  <c r="BA82" i="82"/>
  <c r="BC82" i="82"/>
  <c r="X82" i="82"/>
  <c r="BB82" i="82" s="1"/>
  <c r="BF82" i="82" l="1"/>
  <c r="M144" i="82"/>
  <c r="C144" i="82"/>
  <c r="E75" i="58"/>
  <c r="D36" i="39"/>
  <c r="B51" i="39"/>
  <c r="C51" i="39"/>
  <c r="D51" i="39"/>
  <c r="E51" i="39"/>
  <c r="F51" i="39"/>
  <c r="E86" i="36"/>
  <c r="E82" i="36" s="1"/>
  <c r="E81" i="36" s="1"/>
  <c r="E84" i="36"/>
  <c r="E131" i="57"/>
  <c r="E130" i="57" s="1"/>
  <c r="E128" i="57"/>
  <c r="AX88" i="82"/>
  <c r="AX87" i="82" s="1"/>
  <c r="AX84" i="82"/>
  <c r="AX46" i="82"/>
  <c r="AX43" i="82"/>
  <c r="AX36" i="82"/>
  <c r="AX34" i="82" s="1"/>
  <c r="AX33" i="82"/>
  <c r="AX27" i="82"/>
  <c r="AX19" i="82" s="1"/>
  <c r="AX12" i="82"/>
  <c r="AX11" i="82" s="1"/>
  <c r="AS87" i="82"/>
  <c r="AS84" i="82"/>
  <c r="AS59" i="82"/>
  <c r="AS46" i="82" s="1"/>
  <c r="AS43" i="82"/>
  <c r="AS34" i="82"/>
  <c r="AS33" i="82"/>
  <c r="AS19" i="82"/>
  <c r="AS12" i="82"/>
  <c r="AD87" i="82"/>
  <c r="AD84" i="82"/>
  <c r="AD46" i="82"/>
  <c r="AD43" i="82"/>
  <c r="AD34" i="82"/>
  <c r="AD33" i="82"/>
  <c r="AD19" i="82"/>
  <c r="AD11" i="82"/>
  <c r="Y86" i="82"/>
  <c r="Y84" i="82"/>
  <c r="Y43" i="82"/>
  <c r="Y34" i="82"/>
  <c r="Y30" i="82"/>
  <c r="Y33" i="82" s="1"/>
  <c r="Y19" i="82"/>
  <c r="Y12" i="82"/>
  <c r="Y11" i="82" s="1"/>
  <c r="T87" i="82"/>
  <c r="T84" i="82"/>
  <c r="T50" i="82"/>
  <c r="T46" i="82" s="1"/>
  <c r="T43" i="82"/>
  <c r="T34" i="82"/>
  <c r="T30" i="82"/>
  <c r="T33" i="82" s="1"/>
  <c r="T19" i="82"/>
  <c r="O87" i="82"/>
  <c r="O84" i="82"/>
  <c r="O46" i="82"/>
  <c r="O43" i="82"/>
  <c r="E94" i="82"/>
  <c r="E88" i="82"/>
  <c r="E84" i="82"/>
  <c r="E56" i="82"/>
  <c r="E46" i="82"/>
  <c r="E44" i="82"/>
  <c r="E43" i="82" s="1"/>
  <c r="E34" i="82"/>
  <c r="E32" i="82"/>
  <c r="E23" i="82"/>
  <c r="E21" i="82"/>
  <c r="E19" i="82" s="1"/>
  <c r="E11" i="82"/>
  <c r="T88" i="83"/>
  <c r="J80" i="83"/>
  <c r="J67" i="83"/>
  <c r="J64" i="83"/>
  <c r="J47" i="83"/>
  <c r="J39" i="83"/>
  <c r="J30" i="83"/>
  <c r="J27" i="83"/>
  <c r="J29" i="83" s="1"/>
  <c r="J26" i="83"/>
  <c r="J11" i="83"/>
  <c r="E82" i="83"/>
  <c r="E80" i="83" s="1"/>
  <c r="E72" i="83"/>
  <c r="E68" i="83"/>
  <c r="E67" i="83"/>
  <c r="E64" i="83"/>
  <c r="E51" i="83"/>
  <c r="E49" i="83"/>
  <c r="E47" i="83" s="1"/>
  <c r="E43" i="83"/>
  <c r="E39" i="83" s="1"/>
  <c r="E36" i="83"/>
  <c r="E30" i="83" s="1"/>
  <c r="E32" i="83"/>
  <c r="E28" i="83"/>
  <c r="E29" i="83" s="1"/>
  <c r="E17" i="83"/>
  <c r="E26" i="83"/>
  <c r="D57" i="39"/>
  <c r="D53" i="39" s="1"/>
  <c r="D49" i="39"/>
  <c r="D42" i="39"/>
  <c r="D40" i="39"/>
  <c r="D38" i="39"/>
  <c r="D37" i="39"/>
  <c r="D32" i="39"/>
  <c r="D18" i="39"/>
  <c r="D17" i="39" s="1"/>
  <c r="D16" i="39"/>
  <c r="D15" i="39"/>
  <c r="D14" i="39"/>
  <c r="D13" i="39"/>
  <c r="D12" i="39"/>
  <c r="E95" i="58"/>
  <c r="E94" i="58" s="1"/>
  <c r="E80" i="36"/>
  <c r="E77" i="36" s="1"/>
  <c r="E87" i="58"/>
  <c r="E76" i="58"/>
  <c r="E72" i="58"/>
  <c r="E67" i="58"/>
  <c r="E64" i="58"/>
  <c r="E63" i="58" s="1"/>
  <c r="E55" i="58"/>
  <c r="E53" i="58"/>
  <c r="E52" i="58"/>
  <c r="E46" i="58"/>
  <c r="E41" i="58"/>
  <c r="E40" i="58" s="1"/>
  <c r="E39" i="58"/>
  <c r="E38" i="58"/>
  <c r="E37" i="58"/>
  <c r="E36" i="58" s="1"/>
  <c r="E31" i="58"/>
  <c r="E28" i="58"/>
  <c r="E27" i="58"/>
  <c r="E22" i="58"/>
  <c r="E15" i="58"/>
  <c r="E14" i="58" s="1"/>
  <c r="E2" i="58"/>
  <c r="E2" i="57"/>
  <c r="E25" i="58" l="1"/>
  <c r="D31" i="52" s="1"/>
  <c r="J76" i="83"/>
  <c r="J83" i="83" s="1"/>
  <c r="E35" i="58"/>
  <c r="E13" i="58"/>
  <c r="E8" i="58" s="1"/>
  <c r="E42" i="58" s="1"/>
  <c r="E50" i="58"/>
  <c r="E45" i="58" s="1"/>
  <c r="E70" i="58"/>
  <c r="E66" i="58" s="1"/>
  <c r="AX29" i="82"/>
  <c r="AS96" i="82"/>
  <c r="AX96" i="82"/>
  <c r="AX100" i="82" s="1"/>
  <c r="AX102" i="82" s="1"/>
  <c r="AD29" i="82"/>
  <c r="E29" i="82"/>
  <c r="E33" i="82"/>
  <c r="E87" i="82"/>
  <c r="E96" i="82" s="1"/>
  <c r="Y29" i="82"/>
  <c r="D11" i="39"/>
  <c r="D35" i="39"/>
  <c r="AD96" i="82"/>
  <c r="T96" i="82"/>
  <c r="E76" i="83"/>
  <c r="E83" i="83" s="1"/>
  <c r="D10" i="39"/>
  <c r="D9" i="39" s="1"/>
  <c r="E44" i="58" l="1"/>
  <c r="E75" i="36" s="1"/>
  <c r="C117" i="81"/>
  <c r="J79" i="83"/>
  <c r="E79" i="83"/>
  <c r="E76" i="36"/>
  <c r="E43" i="58"/>
  <c r="E100" i="58" s="1"/>
  <c r="E74" i="36"/>
  <c r="E101" i="82"/>
  <c r="AD100" i="82"/>
  <c r="D64" i="39"/>
  <c r="E99" i="82" l="1"/>
  <c r="E100" i="82" s="1"/>
  <c r="E102" i="82" s="1"/>
  <c r="E126" i="57"/>
  <c r="E125" i="57" s="1"/>
  <c r="E71" i="36" l="1"/>
  <c r="I61" i="57" l="1"/>
  <c r="I31" i="57"/>
  <c r="E31" i="57"/>
  <c r="G111" i="57" l="1"/>
  <c r="G109" i="57"/>
  <c r="G105" i="57"/>
  <c r="G104" i="57" s="1"/>
  <c r="G103" i="57" s="1"/>
  <c r="G101" i="57"/>
  <c r="G96" i="57"/>
  <c r="G95" i="57"/>
  <c r="G92" i="57"/>
  <c r="G91" i="57"/>
  <c r="G90" i="57"/>
  <c r="G84" i="57" s="1"/>
  <c r="G88" i="57"/>
  <c r="G87" i="57"/>
  <c r="G83" i="57"/>
  <c r="G71" i="57" s="1"/>
  <c r="G79" i="57"/>
  <c r="G75" i="57"/>
  <c r="G64" i="57"/>
  <c r="G59" i="57" s="1"/>
  <c r="G62" i="57"/>
  <c r="G61" i="57"/>
  <c r="G58" i="57"/>
  <c r="G54" i="57"/>
  <c r="G52" i="57"/>
  <c r="G47" i="57"/>
  <c r="G46" i="57"/>
  <c r="G42" i="57"/>
  <c r="G38" i="57"/>
  <c r="G37" i="57"/>
  <c r="G36" i="57"/>
  <c r="G35" i="57"/>
  <c r="G33" i="57"/>
  <c r="G32" i="57"/>
  <c r="G31" i="57"/>
  <c r="G30" i="57" s="1"/>
  <c r="G28" i="57" s="1"/>
  <c r="G26" i="57" s="1"/>
  <c r="G29" i="57"/>
  <c r="G25" i="57"/>
  <c r="G17" i="57"/>
  <c r="G14" i="57"/>
  <c r="G13" i="57"/>
  <c r="G12" i="57" s="1"/>
  <c r="G11" i="57" s="1"/>
  <c r="G10" i="57" s="1"/>
  <c r="G9" i="57" s="1"/>
  <c r="G8" i="57" s="1"/>
  <c r="F111" i="57"/>
  <c r="F109" i="57"/>
  <c r="F105" i="57"/>
  <c r="F104" i="57" s="1"/>
  <c r="F103" i="57" s="1"/>
  <c r="F101" i="57"/>
  <c r="F96" i="57"/>
  <c r="F95" i="57"/>
  <c r="F92" i="57"/>
  <c r="F91" i="57"/>
  <c r="F90" i="57"/>
  <c r="F84" i="57" s="1"/>
  <c r="F88" i="57"/>
  <c r="F87" i="57"/>
  <c r="F83" i="57"/>
  <c r="F71" i="57" s="1"/>
  <c r="F79" i="57"/>
  <c r="F75" i="57"/>
  <c r="F64" i="57"/>
  <c r="F59" i="57" s="1"/>
  <c r="F62" i="57"/>
  <c r="F61" i="57"/>
  <c r="F58" i="57"/>
  <c r="F54" i="57"/>
  <c r="F52" i="57"/>
  <c r="F47" i="57"/>
  <c r="F46" i="57"/>
  <c r="F42" i="57"/>
  <c r="F38" i="57"/>
  <c r="F37" i="57"/>
  <c r="F36" i="57"/>
  <c r="F35" i="57"/>
  <c r="F33" i="57"/>
  <c r="F32" i="57"/>
  <c r="F31" i="57"/>
  <c r="F30" i="57" s="1"/>
  <c r="F28" i="57" s="1"/>
  <c r="F26" i="57" s="1"/>
  <c r="F29" i="57"/>
  <c r="F25" i="57"/>
  <c r="F17" i="57"/>
  <c r="F14" i="57"/>
  <c r="F13" i="57"/>
  <c r="F12" i="57" s="1"/>
  <c r="F11" i="57" s="1"/>
  <c r="E111" i="57"/>
  <c r="E109" i="57"/>
  <c r="E106" i="57"/>
  <c r="E105" i="57"/>
  <c r="E104" i="57" s="1"/>
  <c r="E103" i="57" s="1"/>
  <c r="E101" i="57"/>
  <c r="E96" i="57"/>
  <c r="E95" i="57"/>
  <c r="E92" i="57"/>
  <c r="E90" i="57"/>
  <c r="E88" i="57"/>
  <c r="E84" i="57"/>
  <c r="E83" i="57"/>
  <c r="E79" i="57"/>
  <c r="E71" i="57" s="1"/>
  <c r="E75" i="57"/>
  <c r="E62" i="57"/>
  <c r="E59" i="57" s="1"/>
  <c r="E61" i="57"/>
  <c r="E58" i="57"/>
  <c r="E54" i="57"/>
  <c r="E52" i="57" s="1"/>
  <c r="E46" i="57" s="1"/>
  <c r="E47" i="57"/>
  <c r="E42" i="57"/>
  <c r="E38" i="57"/>
  <c r="E37" i="57"/>
  <c r="E36" i="57"/>
  <c r="E35" i="57"/>
  <c r="E33" i="57"/>
  <c r="E32" i="57"/>
  <c r="E30" i="57"/>
  <c r="E28" i="57" s="1"/>
  <c r="E26" i="57" s="1"/>
  <c r="E29" i="57"/>
  <c r="E25" i="57"/>
  <c r="E17" i="57"/>
  <c r="E14" i="57"/>
  <c r="E13" i="57"/>
  <c r="E12" i="57"/>
  <c r="E11" i="57" s="1"/>
  <c r="D127" i="57"/>
  <c r="I58" i="57"/>
  <c r="D58" i="57"/>
  <c r="E10" i="57" l="1"/>
  <c r="E9" i="57" s="1"/>
  <c r="E8" i="57" s="1"/>
  <c r="F10" i="57"/>
  <c r="F9" i="57" s="1"/>
  <c r="F8" i="57" s="1"/>
  <c r="BB81" i="82" l="1"/>
  <c r="BA81" i="82"/>
  <c r="D53" i="58"/>
  <c r="D68" i="83" l="1"/>
  <c r="D36" i="83"/>
  <c r="X50" i="82"/>
  <c r="F115" i="96"/>
  <c r="I62" i="57" l="1"/>
  <c r="I54" i="57"/>
  <c r="C38" i="101" l="1"/>
  <c r="B38" i="101"/>
  <c r="T20" i="101"/>
  <c r="R20" i="101"/>
  <c r="O20" i="101"/>
  <c r="N20" i="101"/>
  <c r="L20" i="101"/>
  <c r="H20" i="101"/>
  <c r="G20" i="101"/>
  <c r="F20" i="101"/>
  <c r="E20" i="101"/>
  <c r="D20" i="101"/>
  <c r="B20" i="101"/>
  <c r="O19" i="101"/>
  <c r="M19" i="101"/>
  <c r="M20" i="101" s="1"/>
  <c r="L19" i="101"/>
  <c r="P18" i="101"/>
  <c r="I18" i="101"/>
  <c r="P17" i="101"/>
  <c r="I17" i="101"/>
  <c r="P16" i="101"/>
  <c r="I16" i="101"/>
  <c r="P15" i="101"/>
  <c r="I15" i="101"/>
  <c r="P14" i="101"/>
  <c r="I14" i="101"/>
  <c r="P13" i="101"/>
  <c r="I13" i="101"/>
  <c r="P12" i="101"/>
  <c r="I12" i="101"/>
  <c r="P11" i="101"/>
  <c r="I11" i="101"/>
  <c r="P10" i="101"/>
  <c r="I10" i="101"/>
  <c r="P9" i="101"/>
  <c r="I9" i="101"/>
  <c r="P8" i="101"/>
  <c r="I8" i="101"/>
  <c r="P7" i="101"/>
  <c r="I7" i="101"/>
  <c r="K6" i="101"/>
  <c r="K20" i="101" s="1"/>
  <c r="I6" i="101"/>
  <c r="Q14" i="101" l="1"/>
  <c r="S14" i="101" s="1"/>
  <c r="Q18" i="101"/>
  <c r="S18" i="101" s="1"/>
  <c r="E21" i="101"/>
  <c r="P20" i="101"/>
  <c r="Q13" i="101"/>
  <c r="S13" i="101" s="1"/>
  <c r="Q8" i="101"/>
  <c r="S8" i="101" s="1"/>
  <c r="Q10" i="101"/>
  <c r="S10" i="101" s="1"/>
  <c r="Q17" i="101"/>
  <c r="S17" i="101" s="1"/>
  <c r="Q7" i="101"/>
  <c r="S7" i="101" s="1"/>
  <c r="Q9" i="101"/>
  <c r="S9" i="101" s="1"/>
  <c r="Q11" i="101"/>
  <c r="S11" i="101" s="1"/>
  <c r="Q12" i="101"/>
  <c r="S12" i="101" s="1"/>
  <c r="Q16" i="101"/>
  <c r="S16" i="101" s="1"/>
  <c r="I20" i="101"/>
  <c r="Q15" i="101"/>
  <c r="S15" i="101" s="1"/>
  <c r="P6" i="101"/>
  <c r="Q6" i="101" s="1"/>
  <c r="S6" i="101" s="1"/>
  <c r="P19" i="101"/>
  <c r="Q19" i="101" s="1"/>
  <c r="S19" i="101" s="1"/>
  <c r="F104" i="96"/>
  <c r="D32" i="83"/>
  <c r="D17" i="83"/>
  <c r="D14" i="83"/>
  <c r="D11" i="83"/>
  <c r="D49" i="83"/>
  <c r="D64" i="58"/>
  <c r="D82" i="83"/>
  <c r="D27" i="83"/>
  <c r="D28" i="83"/>
  <c r="D25" i="83"/>
  <c r="D13" i="83"/>
  <c r="S91" i="83"/>
  <c r="D72" i="83"/>
  <c r="D94" i="82"/>
  <c r="S30" i="82"/>
  <c r="X30" i="82"/>
  <c r="AW12" i="82"/>
  <c r="AR12" i="82"/>
  <c r="X12" i="82"/>
  <c r="C18" i="39"/>
  <c r="X94" i="82"/>
  <c r="X88" i="82"/>
  <c r="X86" i="82"/>
  <c r="X79" i="82"/>
  <c r="X66" i="82"/>
  <c r="S50" i="82"/>
  <c r="D128" i="57"/>
  <c r="D101" i="57"/>
  <c r="D31" i="58"/>
  <c r="C31" i="58"/>
  <c r="D83" i="57"/>
  <c r="D15" i="58"/>
  <c r="AW88" i="82"/>
  <c r="AW79" i="82"/>
  <c r="AW36" i="82"/>
  <c r="AW27" i="82"/>
  <c r="D52" i="58"/>
  <c r="D27" i="58"/>
  <c r="D76" i="58"/>
  <c r="D90" i="82"/>
  <c r="D88" i="82"/>
  <c r="D44" i="82"/>
  <c r="C98" i="83"/>
  <c r="Q20" i="101" l="1"/>
  <c r="S20" i="101" s="1"/>
  <c r="C49" i="39"/>
  <c r="D72" i="58" l="1"/>
  <c r="S88" i="83"/>
  <c r="D95" i="57"/>
  <c r="D92" i="57"/>
  <c r="D105" i="57"/>
  <c r="I114" i="57"/>
  <c r="D64" i="57" l="1"/>
  <c r="D35" i="57"/>
  <c r="C15" i="39" s="1"/>
  <c r="D54" i="57"/>
  <c r="AC88" i="82"/>
  <c r="AC48" i="82"/>
  <c r="F108" i="96"/>
  <c r="D31" i="57" l="1"/>
  <c r="J75" i="58"/>
  <c r="J73" i="58"/>
  <c r="I73" i="58"/>
  <c r="F68" i="96"/>
  <c r="BA48" i="82"/>
  <c r="C148" i="81" l="1"/>
  <c r="F22" i="80"/>
  <c r="S17" i="83"/>
  <c r="D78" i="36"/>
  <c r="D84" i="36"/>
  <c r="D86" i="36"/>
  <c r="D9" i="103"/>
  <c r="I27" i="83"/>
  <c r="I11" i="83"/>
  <c r="D67" i="83"/>
  <c r="D64" i="83"/>
  <c r="D61" i="83"/>
  <c r="D51" i="83"/>
  <c r="D43" i="83"/>
  <c r="D30" i="83"/>
  <c r="D29" i="83"/>
  <c r="D26" i="83"/>
  <c r="AW87" i="82"/>
  <c r="AW84" i="82"/>
  <c r="AW46" i="82"/>
  <c r="AW43" i="82"/>
  <c r="AW34" i="82"/>
  <c r="AW33" i="82"/>
  <c r="AW19" i="82"/>
  <c r="X84" i="82"/>
  <c r="X43" i="82"/>
  <c r="X34" i="82"/>
  <c r="X33" i="82"/>
  <c r="X19" i="82"/>
  <c r="S87" i="82"/>
  <c r="S84" i="82"/>
  <c r="S46" i="82"/>
  <c r="S43" i="82"/>
  <c r="S34" i="82"/>
  <c r="S33" i="82"/>
  <c r="N87" i="82"/>
  <c r="N84" i="82"/>
  <c r="C57" i="39"/>
  <c r="C53" i="39" s="1"/>
  <c r="C40" i="39"/>
  <c r="C37" i="39"/>
  <c r="C30" i="39"/>
  <c r="C16" i="39"/>
  <c r="D111" i="57"/>
  <c r="D109" i="57"/>
  <c r="D104" i="57"/>
  <c r="D96" i="57"/>
  <c r="D91" i="57"/>
  <c r="D90" i="57"/>
  <c r="D88" i="57"/>
  <c r="D87" i="57"/>
  <c r="D79" i="57"/>
  <c r="D75" i="57"/>
  <c r="D62" i="57"/>
  <c r="D61" i="57"/>
  <c r="D52" i="57"/>
  <c r="D47" i="57"/>
  <c r="D42" i="57"/>
  <c r="D38" i="57"/>
  <c r="D37" i="57" s="1"/>
  <c r="D36" i="57" s="1"/>
  <c r="D33" i="57"/>
  <c r="D32" i="57" s="1"/>
  <c r="D30" i="57"/>
  <c r="D29" i="57"/>
  <c r="D25" i="57"/>
  <c r="D17" i="57"/>
  <c r="D14" i="57"/>
  <c r="D13" i="57"/>
  <c r="D84" i="82"/>
  <c r="D56" i="82"/>
  <c r="D59" i="57" l="1"/>
  <c r="D39" i="83"/>
  <c r="D99" i="83"/>
  <c r="D47" i="83"/>
  <c r="D46" i="57"/>
  <c r="D84" i="57"/>
  <c r="D87" i="82"/>
  <c r="D12" i="57"/>
  <c r="D11" i="57" s="1"/>
  <c r="D71" i="57"/>
  <c r="D103" i="57"/>
  <c r="D82" i="36"/>
  <c r="D81" i="36" s="1"/>
  <c r="D28" i="57"/>
  <c r="D26" i="57" s="1"/>
  <c r="C42" i="39"/>
  <c r="C38" i="39" s="1"/>
  <c r="C36" i="39" s="1"/>
  <c r="D46" i="82"/>
  <c r="D43" i="82"/>
  <c r="D34" i="82"/>
  <c r="D32" i="82"/>
  <c r="D30" i="82"/>
  <c r="D23" i="82"/>
  <c r="D21" i="82"/>
  <c r="D95" i="58"/>
  <c r="D94" i="58" s="1"/>
  <c r="D92" i="58"/>
  <c r="D70" i="58"/>
  <c r="D68" i="58"/>
  <c r="C12" i="52" s="1"/>
  <c r="D63" i="58"/>
  <c r="D55" i="58"/>
  <c r="D50" i="58" s="1"/>
  <c r="D46" i="58"/>
  <c r="D41" i="58"/>
  <c r="D40" i="58" s="1"/>
  <c r="D39" i="58"/>
  <c r="D106" i="57" s="1"/>
  <c r="D38" i="58"/>
  <c r="D37" i="58"/>
  <c r="D36" i="58" s="1"/>
  <c r="D28" i="58"/>
  <c r="D25" i="58" s="1"/>
  <c r="D22" i="58"/>
  <c r="D14" i="58"/>
  <c r="D76" i="83" l="1"/>
  <c r="D33" i="82"/>
  <c r="D35" i="58"/>
  <c r="D10" i="57"/>
  <c r="D9" i="57" s="1"/>
  <c r="D8" i="57" s="1"/>
  <c r="D67" i="58"/>
  <c r="D66" i="58" s="1"/>
  <c r="D76" i="36" s="1"/>
  <c r="D19" i="82"/>
  <c r="C144" i="81"/>
  <c r="D17" i="103"/>
  <c r="D80" i="36"/>
  <c r="D77" i="36" s="1"/>
  <c r="D96" i="82"/>
  <c r="D13" i="58"/>
  <c r="D8" i="58" s="1"/>
  <c r="D45" i="58"/>
  <c r="D44" i="58" s="1"/>
  <c r="D87" i="58"/>
  <c r="D76" i="97"/>
  <c r="D75" i="97" s="1"/>
  <c r="D72" i="97" s="1"/>
  <c r="E76" i="97"/>
  <c r="E75" i="97" s="1"/>
  <c r="F76" i="97"/>
  <c r="F75" i="97" s="1"/>
  <c r="F72" i="97" s="1"/>
  <c r="F80" i="97"/>
  <c r="F79" i="97" s="1"/>
  <c r="D80" i="97"/>
  <c r="D79" i="97" s="1"/>
  <c r="E80" i="97"/>
  <c r="E79" i="97" s="1"/>
  <c r="C84" i="97"/>
  <c r="C82" i="97"/>
  <c r="C76" i="97"/>
  <c r="D43" i="58" l="1"/>
  <c r="D75" i="36"/>
  <c r="D74" i="36" s="1"/>
  <c r="C80" i="97"/>
  <c r="C79" i="97" s="1"/>
  <c r="E72" i="97"/>
  <c r="D16" i="103" l="1"/>
  <c r="D15" i="103" s="1"/>
  <c r="E16" i="103"/>
  <c r="E15" i="103" s="1"/>
  <c r="C9" i="103"/>
  <c r="D7" i="103"/>
  <c r="E7" i="103"/>
  <c r="C7" i="103"/>
  <c r="E2" i="103"/>
  <c r="B69" i="39"/>
  <c r="E8" i="103" l="1"/>
  <c r="D8" i="103"/>
  <c r="C72" i="83"/>
  <c r="E29" i="97" l="1"/>
  <c r="D29" i="97"/>
  <c r="L31" i="52"/>
  <c r="H40" i="97"/>
  <c r="AQ116" i="82" l="1"/>
  <c r="W88" i="82"/>
  <c r="C68" i="58" l="1"/>
  <c r="C56" i="82" l="1"/>
  <c r="W66" i="82"/>
  <c r="M125" i="82"/>
  <c r="H21" i="102" l="1"/>
  <c r="AQ113" i="82"/>
  <c r="B37" i="39"/>
  <c r="C68" i="83"/>
  <c r="C61" i="83"/>
  <c r="C32" i="83"/>
  <c r="C131" i="57" l="1"/>
  <c r="C147" i="81" s="1"/>
  <c r="C61" i="36"/>
  <c r="C111" i="57"/>
  <c r="C90" i="82" l="1"/>
  <c r="C92" i="58"/>
  <c r="C78" i="97" l="1"/>
  <c r="C75" i="97" s="1"/>
  <c r="C143" i="81"/>
  <c r="C17" i="103"/>
  <c r="C16" i="103" s="1"/>
  <c r="W94" i="82"/>
  <c r="C55" i="58"/>
  <c r="C15" i="103" l="1"/>
  <c r="C8" i="103" s="1"/>
  <c r="C61" i="57"/>
  <c r="C58" i="57"/>
  <c r="W50" i="82" l="1"/>
  <c r="B30" i="39"/>
  <c r="R88" i="83"/>
  <c r="C95" i="57"/>
  <c r="R17" i="83"/>
  <c r="C83" i="57" l="1"/>
  <c r="B16" i="39" l="1"/>
  <c r="C62" i="57" l="1"/>
  <c r="C103" i="83"/>
  <c r="X89" i="83"/>
  <c r="C105" i="57"/>
  <c r="C25" i="57" l="1"/>
  <c r="J25" i="57"/>
  <c r="C27" i="83"/>
  <c r="H27" i="83"/>
  <c r="H11" i="83"/>
  <c r="C11" i="83"/>
  <c r="C43" i="83"/>
  <c r="B9" i="52"/>
  <c r="K15" i="56"/>
  <c r="I15" i="56"/>
  <c r="R145" i="82"/>
  <c r="BA98" i="82"/>
  <c r="D8" i="102" l="1"/>
  <c r="D14" i="102"/>
  <c r="D20" i="102"/>
  <c r="D19" i="102" s="1"/>
  <c r="D18" i="102" s="1"/>
  <c r="I8" i="102"/>
  <c r="I14" i="102"/>
  <c r="I19" i="102"/>
  <c r="I18" i="102" s="1"/>
  <c r="H99" i="83"/>
  <c r="I7" i="102" l="1"/>
  <c r="I25" i="102" s="1"/>
  <c r="D7" i="102"/>
  <c r="D25" i="102" s="1"/>
  <c r="L89" i="83"/>
  <c r="AA81" i="83"/>
  <c r="AA85" i="83"/>
  <c r="AA86" i="83"/>
  <c r="AA90" i="83"/>
  <c r="AA91" i="83"/>
  <c r="AA92" i="83"/>
  <c r="AA93" i="83"/>
  <c r="F94" i="82"/>
  <c r="G94" i="82"/>
  <c r="C94" i="82"/>
  <c r="C155" i="82" s="1"/>
  <c r="F90" i="82" l="1"/>
  <c r="G90" i="82"/>
  <c r="BK55" i="82"/>
  <c r="BK50" i="82"/>
  <c r="BK53" i="82"/>
  <c r="BK54" i="82" s="1"/>
  <c r="BK48" i="82"/>
  <c r="C91" i="57"/>
  <c r="C38" i="57"/>
  <c r="C33" i="57"/>
  <c r="C31" i="57"/>
  <c r="C29" i="57"/>
  <c r="C13" i="57"/>
  <c r="AC155" i="82"/>
  <c r="AD155" i="82"/>
  <c r="AE155" i="82"/>
  <c r="AF155" i="82"/>
  <c r="AB155" i="82"/>
  <c r="K64" i="57" l="1"/>
  <c r="F68" i="83"/>
  <c r="G68" i="83"/>
  <c r="AW155" i="82" l="1"/>
  <c r="AX155" i="82"/>
  <c r="AY155" i="82"/>
  <c r="AZ155" i="82"/>
  <c r="AV155" i="82"/>
  <c r="C11" i="52" l="1"/>
  <c r="BH55" i="82" l="1"/>
  <c r="BH53" i="82"/>
  <c r="BH54" i="82" s="1"/>
  <c r="BH50" i="82"/>
  <c r="E37" i="39" l="1"/>
  <c r="F37" i="39"/>
  <c r="F28" i="58"/>
  <c r="G28" i="58"/>
  <c r="C28" i="58"/>
  <c r="J16" i="56"/>
  <c r="I16" i="56"/>
  <c r="H16" i="56"/>
  <c r="F16" i="56"/>
  <c r="E16" i="56"/>
  <c r="C16" i="56"/>
  <c r="Q13" i="56"/>
  <c r="K16" i="56" l="1"/>
  <c r="K20" i="56"/>
  <c r="K21" i="56" s="1"/>
  <c r="K22" i="56" s="1"/>
  <c r="K23" i="56" s="1"/>
  <c r="G16" i="56"/>
  <c r="N2" i="52"/>
  <c r="L30" i="52"/>
  <c r="J30" i="52"/>
  <c r="H30" i="52"/>
  <c r="F30" i="52"/>
  <c r="D30" i="52"/>
  <c r="J28" i="52"/>
  <c r="H28" i="52"/>
  <c r="F28" i="52"/>
  <c r="E28" i="52"/>
  <c r="C28" i="52"/>
  <c r="L27" i="52"/>
  <c r="M26" i="52"/>
  <c r="L26" i="52"/>
  <c r="D26" i="52"/>
  <c r="D24" i="52"/>
  <c r="B10" i="52"/>
  <c r="E8" i="52"/>
  <c r="D8" i="52"/>
  <c r="C8" i="52"/>
  <c r="B8" i="52"/>
  <c r="L28" i="52" l="1"/>
  <c r="M28" i="52"/>
  <c r="N24" i="52"/>
  <c r="D28" i="52"/>
  <c r="N27" i="52"/>
  <c r="C10" i="52"/>
  <c r="C15" i="52" s="1"/>
  <c r="B15" i="52"/>
  <c r="N26" i="52"/>
  <c r="N25" i="52"/>
  <c r="N28" i="52" l="1"/>
  <c r="F27" i="58" l="1"/>
  <c r="G27" i="58"/>
  <c r="C27" i="58"/>
  <c r="V159" i="82"/>
  <c r="Z66" i="82" l="1"/>
  <c r="AA66" i="82"/>
  <c r="Z50" i="82" l="1"/>
  <c r="AA50" i="82"/>
  <c r="BE80" i="82"/>
  <c r="BD80" i="82"/>
  <c r="BC80" i="82"/>
  <c r="BB80" i="82"/>
  <c r="BA80" i="82"/>
  <c r="R139" i="82"/>
  <c r="R140" i="82"/>
  <c r="R141" i="82"/>
  <c r="R142" i="82"/>
  <c r="R143" i="82"/>
  <c r="R144" i="82"/>
  <c r="R137" i="82"/>
  <c r="R136" i="82"/>
  <c r="Z79" i="82"/>
  <c r="AA79" i="82"/>
  <c r="R134" i="82"/>
  <c r="R132" i="82"/>
  <c r="R115" i="82"/>
  <c r="BF80" i="82" l="1"/>
  <c r="AB97" i="82"/>
  <c r="AR59" i="82" l="1"/>
  <c r="AT59" i="82"/>
  <c r="AU59" i="82"/>
  <c r="AQ59" i="82"/>
  <c r="BA24" i="82"/>
  <c r="BB24" i="82"/>
  <c r="BC24" i="82"/>
  <c r="BD24" i="82"/>
  <c r="BE24" i="82"/>
  <c r="F23" i="82"/>
  <c r="G23" i="82"/>
  <c r="C23" i="82"/>
  <c r="G37" i="58" l="1"/>
  <c r="F37" i="58"/>
  <c r="C37" i="58"/>
  <c r="C122" i="82" l="1"/>
  <c r="M15" i="56" s="1"/>
  <c r="K16" i="57" l="1"/>
  <c r="C41" i="58" l="1"/>
  <c r="M135" i="82" l="1"/>
  <c r="R135" i="82" s="1"/>
  <c r="R131" i="82" l="1"/>
  <c r="F74" i="58"/>
  <c r="G74" i="58"/>
  <c r="F56" i="82"/>
  <c r="G56" i="82"/>
  <c r="R114" i="82"/>
  <c r="W157" i="82"/>
  <c r="O71" i="58"/>
  <c r="P71" i="58" s="1"/>
  <c r="O68" i="58"/>
  <c r="P68" i="58" s="1"/>
  <c r="C57" i="36" l="1"/>
  <c r="M155" i="82" l="1"/>
  <c r="C88" i="57" l="1"/>
  <c r="G95" i="58"/>
  <c r="G94" i="58" s="1"/>
  <c r="G92" i="58"/>
  <c r="G87" i="58" s="1"/>
  <c r="G70" i="58"/>
  <c r="G67" i="58"/>
  <c r="G63" i="58"/>
  <c r="G50" i="58"/>
  <c r="G46" i="58"/>
  <c r="F95" i="58"/>
  <c r="F94" i="58" s="1"/>
  <c r="F92" i="58"/>
  <c r="F87" i="58" s="1"/>
  <c r="F70" i="58"/>
  <c r="F67" i="58"/>
  <c r="F63" i="58"/>
  <c r="F50" i="58"/>
  <c r="F46" i="58"/>
  <c r="AE97" i="82"/>
  <c r="D155" i="82"/>
  <c r="E155" i="82"/>
  <c r="F155" i="82"/>
  <c r="G155" i="82"/>
  <c r="Z94" i="82"/>
  <c r="AA94" i="82"/>
  <c r="F45" i="58" l="1"/>
  <c r="F44" i="58" s="1"/>
  <c r="G45" i="58"/>
  <c r="G44" i="58" s="1"/>
  <c r="F66" i="58"/>
  <c r="G66" i="58"/>
  <c r="U87" i="82"/>
  <c r="V87" i="82"/>
  <c r="BH48" i="82" l="1"/>
  <c r="BE79" i="82" l="1"/>
  <c r="BD79" i="82"/>
  <c r="BC79" i="82"/>
  <c r="BB79" i="82"/>
  <c r="BA79" i="82"/>
  <c r="BE78" i="82"/>
  <c r="BD78" i="82"/>
  <c r="BC78" i="82"/>
  <c r="BB78" i="82"/>
  <c r="BA78" i="82"/>
  <c r="BE77" i="82"/>
  <c r="BD77" i="82"/>
  <c r="BC77" i="82"/>
  <c r="BB77" i="82"/>
  <c r="BA77" i="82"/>
  <c r="BE76" i="82"/>
  <c r="BD76" i="82"/>
  <c r="BC76" i="82"/>
  <c r="BB76" i="82"/>
  <c r="BA76" i="82"/>
  <c r="BE75" i="82"/>
  <c r="BD75" i="82"/>
  <c r="BC75" i="82"/>
  <c r="BB75" i="82"/>
  <c r="BA75" i="82"/>
  <c r="BE74" i="82"/>
  <c r="BD74" i="82"/>
  <c r="BC74" i="82"/>
  <c r="BB74" i="82"/>
  <c r="BA74" i="82"/>
  <c r="BE73" i="82"/>
  <c r="BD73" i="82"/>
  <c r="BC73" i="82"/>
  <c r="BB73" i="82"/>
  <c r="BA73" i="82"/>
  <c r="BE72" i="82"/>
  <c r="BD72" i="82"/>
  <c r="BC72" i="82"/>
  <c r="BB72" i="82"/>
  <c r="BA72" i="82"/>
  <c r="BE70" i="82"/>
  <c r="BD70" i="82"/>
  <c r="BC70" i="82"/>
  <c r="BB70" i="82"/>
  <c r="BA70" i="82"/>
  <c r="BE69" i="82"/>
  <c r="BD69" i="82"/>
  <c r="BC69" i="82"/>
  <c r="BB69" i="82"/>
  <c r="BA69" i="82"/>
  <c r="BE68" i="82"/>
  <c r="BD68" i="82"/>
  <c r="BC68" i="82"/>
  <c r="BB68" i="82"/>
  <c r="BA68" i="82"/>
  <c r="BE67" i="82"/>
  <c r="BD67" i="82"/>
  <c r="BC67" i="82"/>
  <c r="BB67" i="82"/>
  <c r="BA67" i="82"/>
  <c r="BE65" i="82"/>
  <c r="BD65" i="82"/>
  <c r="BC65" i="82"/>
  <c r="BB65" i="82"/>
  <c r="BA65" i="82"/>
  <c r="BE64" i="82"/>
  <c r="BD64" i="82"/>
  <c r="BC64" i="82"/>
  <c r="BB64" i="82"/>
  <c r="BA64" i="82"/>
  <c r="BB48" i="82"/>
  <c r="BC48" i="82"/>
  <c r="BD48" i="82"/>
  <c r="BE48" i="82"/>
  <c r="BA49" i="82"/>
  <c r="BB49" i="82"/>
  <c r="BC49" i="82"/>
  <c r="BD49" i="82"/>
  <c r="BE49" i="82"/>
  <c r="BA50" i="82"/>
  <c r="BB50" i="82"/>
  <c r="BC50" i="82"/>
  <c r="BD50" i="82"/>
  <c r="BE50" i="82"/>
  <c r="BA51" i="82"/>
  <c r="BB51" i="82"/>
  <c r="BC51" i="82"/>
  <c r="BD51" i="82"/>
  <c r="BE51" i="82"/>
  <c r="BA52" i="82"/>
  <c r="BB52" i="82"/>
  <c r="BC52" i="82"/>
  <c r="BD52" i="82"/>
  <c r="BE52" i="82"/>
  <c r="BA53" i="82"/>
  <c r="BB53" i="82"/>
  <c r="BC53" i="82"/>
  <c r="BD53" i="82"/>
  <c r="BE53" i="82"/>
  <c r="BA54" i="82"/>
  <c r="BB54" i="82"/>
  <c r="BC54" i="82"/>
  <c r="BD54" i="82"/>
  <c r="BE54" i="82"/>
  <c r="BA55" i="82"/>
  <c r="BB55" i="82"/>
  <c r="BC55" i="82"/>
  <c r="BD55" i="82"/>
  <c r="BE55" i="82"/>
  <c r="BA56" i="82"/>
  <c r="BB56" i="82"/>
  <c r="BC56" i="82"/>
  <c r="BD56" i="82"/>
  <c r="BE56" i="82"/>
  <c r="BA57" i="82"/>
  <c r="BB57" i="82"/>
  <c r="BC57" i="82"/>
  <c r="BD57" i="82"/>
  <c r="BE57" i="82"/>
  <c r="BA58" i="82"/>
  <c r="BB58" i="82"/>
  <c r="BC58" i="82"/>
  <c r="BD58" i="82"/>
  <c r="BE58" i="82"/>
  <c r="BA59" i="82"/>
  <c r="BB59" i="82"/>
  <c r="BC59" i="82"/>
  <c r="BD59" i="82"/>
  <c r="BE59" i="82"/>
  <c r="BA60" i="82"/>
  <c r="BB60" i="82"/>
  <c r="BC60" i="82"/>
  <c r="BD60" i="82"/>
  <c r="BE60" i="82"/>
  <c r="BA61" i="82"/>
  <c r="BB61" i="82"/>
  <c r="BC61" i="82"/>
  <c r="BD61" i="82"/>
  <c r="BE61" i="82"/>
  <c r="BA62" i="82"/>
  <c r="BB62" i="82"/>
  <c r="BC62" i="82"/>
  <c r="BD62" i="82"/>
  <c r="BE62" i="82"/>
  <c r="BA63" i="82"/>
  <c r="BB63" i="82"/>
  <c r="BC63" i="82"/>
  <c r="BD63" i="82"/>
  <c r="BE63" i="82"/>
  <c r="BA35" i="82"/>
  <c r="BA36" i="82"/>
  <c r="BA37" i="82"/>
  <c r="BA38" i="82"/>
  <c r="AA43" i="82"/>
  <c r="Z43" i="82"/>
  <c r="U34" i="82"/>
  <c r="V34" i="82"/>
  <c r="V46" i="82"/>
  <c r="V43" i="82"/>
  <c r="U46" i="82"/>
  <c r="U43" i="82"/>
  <c r="BB12" i="82"/>
  <c r="BC12" i="82"/>
  <c r="BD12" i="82"/>
  <c r="BE12" i="82"/>
  <c r="BB13" i="82"/>
  <c r="BC13" i="82"/>
  <c r="BD13" i="82"/>
  <c r="BE13" i="82"/>
  <c r="BB14" i="82"/>
  <c r="BC14" i="82"/>
  <c r="BD14" i="82"/>
  <c r="BE14" i="82"/>
  <c r="BB15" i="82"/>
  <c r="BC15" i="82"/>
  <c r="BD15" i="82"/>
  <c r="BE15" i="82"/>
  <c r="BB16" i="82"/>
  <c r="BC16" i="82"/>
  <c r="BD16" i="82"/>
  <c r="BE16" i="82"/>
  <c r="BB17" i="82"/>
  <c r="BC17" i="82"/>
  <c r="BD17" i="82"/>
  <c r="BE17" i="82"/>
  <c r="BB18" i="82"/>
  <c r="BC18" i="82"/>
  <c r="BD18" i="82"/>
  <c r="BE18" i="82"/>
  <c r="BB20" i="82"/>
  <c r="BC20" i="82"/>
  <c r="BD20" i="82"/>
  <c r="BE20" i="82"/>
  <c r="BB22" i="82"/>
  <c r="BC22" i="82"/>
  <c r="BD22" i="82"/>
  <c r="BE22" i="82"/>
  <c r="BB23" i="82"/>
  <c r="BC23" i="82"/>
  <c r="BD23" i="82"/>
  <c r="BE23" i="82"/>
  <c r="BB25" i="82"/>
  <c r="BC25" i="82"/>
  <c r="BD25" i="82"/>
  <c r="BE25" i="82"/>
  <c r="BB26" i="82"/>
  <c r="BC26" i="82"/>
  <c r="BD26" i="82"/>
  <c r="BE26" i="82"/>
  <c r="BB27" i="82"/>
  <c r="BC27" i="82"/>
  <c r="BD27" i="82"/>
  <c r="BE27" i="82"/>
  <c r="U33" i="82"/>
  <c r="V33" i="82"/>
  <c r="U11" i="82"/>
  <c r="V11" i="82"/>
  <c r="U19" i="82"/>
  <c r="V19" i="82"/>
  <c r="G32" i="82"/>
  <c r="G30" i="82"/>
  <c r="F32" i="82"/>
  <c r="F30" i="82"/>
  <c r="C32" i="82"/>
  <c r="C30" i="82"/>
  <c r="BB66" i="82"/>
  <c r="BC66" i="82" l="1"/>
  <c r="BD66" i="82"/>
  <c r="BA66" i="82"/>
  <c r="BE66" i="82"/>
  <c r="V29" i="82"/>
  <c r="U29" i="82"/>
  <c r="C90" i="57"/>
  <c r="K90" i="57"/>
  <c r="R126" i="82"/>
  <c r="R127" i="82"/>
  <c r="R125" i="82"/>
  <c r="R124" i="82" l="1"/>
  <c r="N15" i="56" s="1"/>
  <c r="Q15" i="56" s="1"/>
  <c r="R123" i="82"/>
  <c r="N37" i="58" l="1"/>
  <c r="L58" i="57"/>
  <c r="H58" i="57"/>
  <c r="L61" i="57"/>
  <c r="E57" i="39"/>
  <c r="F57" i="39"/>
  <c r="B57" i="39"/>
  <c r="E40" i="39"/>
  <c r="F40" i="39"/>
  <c r="C17" i="39"/>
  <c r="E17" i="39"/>
  <c r="F17" i="39"/>
  <c r="C32" i="39"/>
  <c r="E32" i="39"/>
  <c r="F32" i="39"/>
  <c r="E15" i="39"/>
  <c r="F15" i="39"/>
  <c r="C92" i="57"/>
  <c r="F42" i="39" l="1"/>
  <c r="F38" i="39" s="1"/>
  <c r="F36" i="39" s="1"/>
  <c r="E42" i="39"/>
  <c r="E38" i="39" s="1"/>
  <c r="E36" i="39" s="1"/>
  <c r="I90" i="57"/>
  <c r="I89" i="57"/>
  <c r="C87" i="57"/>
  <c r="J90" i="57" s="1"/>
  <c r="I99" i="83" l="1"/>
  <c r="J99" i="83"/>
  <c r="K99" i="83"/>
  <c r="L99" i="83"/>
  <c r="G51" i="83" l="1"/>
  <c r="G99" i="83" s="1"/>
  <c r="F51" i="83"/>
  <c r="F99" i="83" s="1"/>
  <c r="E99" i="83"/>
  <c r="C51" i="83"/>
  <c r="C99" i="83" s="1"/>
  <c r="R41" i="83"/>
  <c r="AA41" i="83" s="1"/>
  <c r="S41" i="83"/>
  <c r="T41" i="83"/>
  <c r="U41" i="83"/>
  <c r="V41" i="83"/>
  <c r="R42" i="83"/>
  <c r="AA42" i="83" s="1"/>
  <c r="S42" i="83"/>
  <c r="T42" i="83"/>
  <c r="U42" i="83"/>
  <c r="V42" i="83"/>
  <c r="R43" i="83"/>
  <c r="AA43" i="83" s="1"/>
  <c r="S43" i="83"/>
  <c r="T43" i="83"/>
  <c r="U43" i="83"/>
  <c r="V43" i="83"/>
  <c r="R44" i="83"/>
  <c r="AA44" i="83" s="1"/>
  <c r="S44" i="83"/>
  <c r="T44" i="83"/>
  <c r="U44" i="83"/>
  <c r="V44" i="83"/>
  <c r="R37" i="83"/>
  <c r="AA37" i="83" s="1"/>
  <c r="S37" i="83"/>
  <c r="T37" i="83"/>
  <c r="U37" i="83"/>
  <c r="V37" i="83"/>
  <c r="R38" i="83"/>
  <c r="AA38" i="83" s="1"/>
  <c r="S38" i="83"/>
  <c r="T38" i="83"/>
  <c r="U38" i="83"/>
  <c r="V38" i="83"/>
  <c r="V88" i="83"/>
  <c r="U88" i="83"/>
  <c r="AA88" i="83"/>
  <c r="I26" i="83"/>
  <c r="K26" i="83"/>
  <c r="L26" i="83"/>
  <c r="R24" i="83"/>
  <c r="AA24" i="83" s="1"/>
  <c r="S24" i="83"/>
  <c r="T24" i="83"/>
  <c r="U24" i="83"/>
  <c r="V24" i="83"/>
  <c r="S11" i="83"/>
  <c r="T11" i="83"/>
  <c r="U11" i="83"/>
  <c r="V11" i="83"/>
  <c r="S12" i="83"/>
  <c r="T12" i="83"/>
  <c r="U12" i="83"/>
  <c r="V12" i="83"/>
  <c r="S13" i="83"/>
  <c r="T13" i="83"/>
  <c r="U13" i="83"/>
  <c r="V13" i="83"/>
  <c r="S14" i="83"/>
  <c r="T14" i="83"/>
  <c r="U14" i="83"/>
  <c r="V14" i="83"/>
  <c r="S15" i="83"/>
  <c r="T15" i="83"/>
  <c r="U15" i="83"/>
  <c r="V15" i="83"/>
  <c r="S16" i="83"/>
  <c r="T16" i="83"/>
  <c r="U16" i="83"/>
  <c r="V16" i="83"/>
  <c r="S18" i="83"/>
  <c r="T18" i="83"/>
  <c r="U18" i="83"/>
  <c r="V18" i="83"/>
  <c r="U19" i="83"/>
  <c r="V19" i="83"/>
  <c r="S20" i="83"/>
  <c r="T20" i="83"/>
  <c r="U20" i="83"/>
  <c r="V20" i="83"/>
  <c r="S21" i="83"/>
  <c r="T21" i="83"/>
  <c r="U21" i="83"/>
  <c r="V21" i="83"/>
  <c r="S22" i="83"/>
  <c r="T22" i="83"/>
  <c r="U22" i="83"/>
  <c r="V22" i="83"/>
  <c r="S23" i="83"/>
  <c r="T23" i="83"/>
  <c r="U23" i="83"/>
  <c r="V23" i="83"/>
  <c r="U25" i="83"/>
  <c r="V25" i="83"/>
  <c r="R12" i="83"/>
  <c r="AA12" i="83" s="1"/>
  <c r="R13" i="83"/>
  <c r="AA13" i="83" s="1"/>
  <c r="R14" i="83"/>
  <c r="AA14" i="83" s="1"/>
  <c r="R15" i="83"/>
  <c r="AA15" i="83" s="1"/>
  <c r="R16" i="83"/>
  <c r="AA16" i="83" s="1"/>
  <c r="R20" i="83"/>
  <c r="AA20" i="83" s="1"/>
  <c r="R21" i="83"/>
  <c r="AA21" i="83" s="1"/>
  <c r="R22" i="83"/>
  <c r="AA22" i="83" s="1"/>
  <c r="R23" i="83"/>
  <c r="AA23" i="83" s="1"/>
  <c r="X68" i="83" l="1"/>
  <c r="U89" i="83"/>
  <c r="V89" i="83"/>
  <c r="U87" i="83"/>
  <c r="V87" i="83"/>
  <c r="T9" i="83" l="1"/>
  <c r="U9" i="83"/>
  <c r="V9" i="83"/>
  <c r="J9" i="83"/>
  <c r="K9" i="83"/>
  <c r="L9" i="83"/>
  <c r="N22" i="53"/>
  <c r="BC2" i="82"/>
  <c r="Y2" i="82" s="1"/>
  <c r="E58" i="81"/>
  <c r="E122" i="81"/>
  <c r="E143" i="81"/>
  <c r="E136" i="81"/>
  <c r="B32" i="39"/>
  <c r="B40" i="39"/>
  <c r="H20" i="102"/>
  <c r="J6" i="102" l="1"/>
  <c r="I6" i="102"/>
  <c r="H6" i="102"/>
  <c r="C61" i="97" l="1"/>
  <c r="F34" i="80" l="1"/>
  <c r="R18" i="83" l="1"/>
  <c r="AA18" i="83" s="1"/>
  <c r="K61" i="57" l="1"/>
  <c r="K44" i="57" l="1"/>
  <c r="B15" i="39" l="1"/>
  <c r="W143" i="83" l="1"/>
  <c r="AQ118" i="82"/>
  <c r="X87" i="82" l="1"/>
  <c r="Y89" i="82"/>
  <c r="Y87" i="82" s="1"/>
  <c r="Z89" i="82"/>
  <c r="AA89" i="82"/>
  <c r="H155" i="82"/>
  <c r="I155" i="82"/>
  <c r="J155" i="82"/>
  <c r="K155" i="82"/>
  <c r="L155" i="82"/>
  <c r="N155" i="82"/>
  <c r="O155" i="82"/>
  <c r="R155" i="82"/>
  <c r="S155" i="82"/>
  <c r="T155" i="82"/>
  <c r="U155" i="82"/>
  <c r="V155" i="82"/>
  <c r="AG155" i="82"/>
  <c r="AH155" i="82"/>
  <c r="AI155" i="82"/>
  <c r="AJ155" i="82"/>
  <c r="AK155" i="82"/>
  <c r="AL155" i="82"/>
  <c r="AM155" i="82"/>
  <c r="AN155" i="82"/>
  <c r="AO155" i="82"/>
  <c r="AP155" i="82"/>
  <c r="AQ155" i="82"/>
  <c r="AR155" i="82"/>
  <c r="AS155" i="82"/>
  <c r="G36" i="58" l="1"/>
  <c r="G31" i="58"/>
  <c r="G25" i="58"/>
  <c r="G22" i="58"/>
  <c r="G14" i="58"/>
  <c r="F36" i="58"/>
  <c r="F31" i="58"/>
  <c r="F25" i="58"/>
  <c r="F22" i="58"/>
  <c r="F14" i="58"/>
  <c r="BB21" i="82"/>
  <c r="BC21" i="82"/>
  <c r="R130" i="82" l="1"/>
  <c r="R128" i="82"/>
  <c r="R122" i="82"/>
  <c r="R120" i="82"/>
  <c r="R119" i="82"/>
  <c r="R118" i="82"/>
  <c r="R117" i="82"/>
  <c r="C67" i="58"/>
  <c r="M14" i="56" l="1"/>
  <c r="S25" i="83" l="1"/>
  <c r="T25" i="83"/>
  <c r="R25" i="83"/>
  <c r="AA25" i="83" s="1"/>
  <c r="X28" i="83"/>
  <c r="S19" i="83" l="1"/>
  <c r="T19" i="83"/>
  <c r="R19" i="83"/>
  <c r="AA19" i="83" s="1"/>
  <c r="BB35" i="82" l="1"/>
  <c r="BC35" i="82"/>
  <c r="B17" i="39" l="1"/>
  <c r="C21" i="102" l="1"/>
  <c r="J11" i="57" l="1"/>
  <c r="K23" i="57" l="1"/>
  <c r="X27" i="83" l="1"/>
  <c r="Y68" i="83" l="1"/>
  <c r="X58" i="83"/>
  <c r="I47" i="57" l="1"/>
  <c r="C47" i="57"/>
  <c r="C17" i="57"/>
  <c r="C14" i="57"/>
  <c r="B42" i="39" l="1"/>
  <c r="BA22" i="82"/>
  <c r="BA23" i="82"/>
  <c r="BA25" i="82"/>
  <c r="BA26" i="82"/>
  <c r="BA27" i="82"/>
  <c r="BA13" i="82"/>
  <c r="BA14" i="82"/>
  <c r="BA15" i="82"/>
  <c r="BA16" i="82"/>
  <c r="BA17" i="82"/>
  <c r="BA18" i="82"/>
  <c r="R60" i="83" l="1"/>
  <c r="AA60" i="83" s="1"/>
  <c r="S60" i="83"/>
  <c r="T60" i="83"/>
  <c r="S59" i="83"/>
  <c r="R59" i="83"/>
  <c r="AA59" i="83" s="1"/>
  <c r="T59" i="83"/>
  <c r="T58" i="83"/>
  <c r="S58" i="83"/>
  <c r="R58" i="83"/>
  <c r="AA58" i="83" s="1"/>
  <c r="T57" i="83"/>
  <c r="S57" i="83"/>
  <c r="R57" i="83"/>
  <c r="AA57" i="83" s="1"/>
  <c r="T56" i="83"/>
  <c r="S56" i="83"/>
  <c r="R56" i="83"/>
  <c r="AA56" i="83" s="1"/>
  <c r="R35" i="83"/>
  <c r="AA35" i="83" s="1"/>
  <c r="T35" i="83"/>
  <c r="S35" i="83"/>
  <c r="J2" i="102"/>
  <c r="O2" i="56"/>
  <c r="F2" i="97"/>
  <c r="R87" i="82" l="1"/>
  <c r="R84" i="82"/>
  <c r="R46" i="82"/>
  <c r="R43" i="82"/>
  <c r="R34" i="82"/>
  <c r="S19" i="82"/>
  <c r="R19" i="82"/>
  <c r="T11" i="82"/>
  <c r="T29" i="82" s="1"/>
  <c r="T100" i="82" s="1"/>
  <c r="T102" i="82" s="1"/>
  <c r="S11" i="82"/>
  <c r="R11" i="82"/>
  <c r="R33" i="82"/>
  <c r="S10" i="82"/>
  <c r="T10" i="82"/>
  <c r="R10" i="82"/>
  <c r="AR87" i="82"/>
  <c r="AU87" i="82"/>
  <c r="AT87" i="82"/>
  <c r="AQ87" i="82"/>
  <c r="AU84" i="82"/>
  <c r="AT84" i="82"/>
  <c r="AR84" i="82"/>
  <c r="AQ84" i="82"/>
  <c r="AR46" i="82"/>
  <c r="AU46" i="82"/>
  <c r="AT46" i="82"/>
  <c r="AQ46" i="82"/>
  <c r="AR43" i="82"/>
  <c r="AU43" i="82"/>
  <c r="AT43" i="82"/>
  <c r="AQ43" i="82"/>
  <c r="AR34" i="82"/>
  <c r="AQ34" i="82"/>
  <c r="AU33" i="82"/>
  <c r="AT33" i="82"/>
  <c r="AR33" i="82"/>
  <c r="AQ33" i="82"/>
  <c r="AU19" i="82"/>
  <c r="AT19" i="82"/>
  <c r="AR19" i="82"/>
  <c r="AQ19" i="82"/>
  <c r="AU11" i="82"/>
  <c r="AT11" i="82"/>
  <c r="AS11" i="82"/>
  <c r="AS29" i="82" s="1"/>
  <c r="AS100" i="82" s="1"/>
  <c r="AS102" i="82" s="1"/>
  <c r="AR11" i="82"/>
  <c r="AQ11" i="82"/>
  <c r="A29" i="99"/>
  <c r="A42" i="99"/>
  <c r="A36" i="99"/>
  <c r="S29" i="82" l="1"/>
  <c r="AT34" i="82"/>
  <c r="AT96" i="82" s="1"/>
  <c r="AT155" i="82"/>
  <c r="AU34" i="82"/>
  <c r="AU96" i="82" s="1"/>
  <c r="AU155" i="82"/>
  <c r="R29" i="82"/>
  <c r="AQ29" i="82"/>
  <c r="AU29" i="82"/>
  <c r="AR29" i="82"/>
  <c r="AT29" i="82"/>
  <c r="AR96" i="82"/>
  <c r="AQ96" i="82"/>
  <c r="AQ100" i="82" l="1"/>
  <c r="AQ102" i="82" s="1"/>
  <c r="AT100" i="82"/>
  <c r="AT102" i="82" s="1"/>
  <c r="AU100" i="82"/>
  <c r="AU102" i="82" s="1"/>
  <c r="AR100" i="82"/>
  <c r="AR102" i="82" s="1"/>
  <c r="I17" i="80"/>
  <c r="I11" i="80" s="1"/>
  <c r="E30" i="80"/>
  <c r="G30" i="80"/>
  <c r="H30" i="80"/>
  <c r="I30" i="80"/>
  <c r="L30" i="80"/>
  <c r="M30" i="80"/>
  <c r="P30" i="80"/>
  <c r="A44" i="80"/>
  <c r="A30" i="80"/>
  <c r="A23" i="80"/>
  <c r="A17" i="80"/>
  <c r="P11" i="80"/>
  <c r="A11" i="80"/>
  <c r="A38" i="99"/>
  <c r="A36" i="80" s="1"/>
  <c r="P44" i="80" l="1"/>
  <c r="I44" i="80"/>
  <c r="E18" i="99" l="1"/>
  <c r="J23" i="80"/>
  <c r="O23" i="80" s="1"/>
  <c r="F44" i="96" l="1"/>
  <c r="F53" i="96"/>
  <c r="F52" i="96"/>
  <c r="C96" i="57"/>
  <c r="D18" i="99"/>
  <c r="F47" i="96"/>
  <c r="F97" i="96"/>
  <c r="F149" i="96"/>
  <c r="D16" i="99" l="1"/>
  <c r="H25" i="99"/>
  <c r="BC93" i="82"/>
  <c r="BC91" i="82"/>
  <c r="BC90" i="82"/>
  <c r="BC88" i="82"/>
  <c r="BC85" i="82"/>
  <c r="BC94" i="82"/>
  <c r="BC42" i="82"/>
  <c r="BC41" i="82"/>
  <c r="BC39" i="82"/>
  <c r="BC38" i="82"/>
  <c r="BC37" i="82"/>
  <c r="BC40" i="82"/>
  <c r="BC36" i="82"/>
  <c r="BC47" i="82"/>
  <c r="J46" i="82"/>
  <c r="J43" i="82"/>
  <c r="BC32" i="82"/>
  <c r="BC31" i="82"/>
  <c r="BC28" i="82"/>
  <c r="BC30" i="82"/>
  <c r="Y10" i="82"/>
  <c r="O10" i="82"/>
  <c r="J10" i="82"/>
  <c r="T75" i="83"/>
  <c r="T72" i="83"/>
  <c r="T71" i="83"/>
  <c r="T70" i="83"/>
  <c r="T69" i="83"/>
  <c r="T66" i="83"/>
  <c r="T65" i="83"/>
  <c r="T55" i="83"/>
  <c r="T54" i="83"/>
  <c r="T50" i="83"/>
  <c r="T49" i="83"/>
  <c r="T46" i="83"/>
  <c r="T45" i="83"/>
  <c r="T40" i="83"/>
  <c r="T36" i="83"/>
  <c r="T33" i="83"/>
  <c r="T32" i="83"/>
  <c r="O67" i="83"/>
  <c r="O64" i="83"/>
  <c r="O47" i="83"/>
  <c r="O39" i="83"/>
  <c r="T74" i="83"/>
  <c r="T73" i="83"/>
  <c r="T68" i="83"/>
  <c r="T63" i="83"/>
  <c r="T62" i="83"/>
  <c r="T61" i="83"/>
  <c r="T53" i="83"/>
  <c r="T52" i="83"/>
  <c r="T51" i="83"/>
  <c r="T48" i="83"/>
  <c r="T34" i="83"/>
  <c r="T31" i="83"/>
  <c r="C22" i="58"/>
  <c r="F114" i="96"/>
  <c r="F45" i="96"/>
  <c r="G42" i="99"/>
  <c r="M42" i="99" s="1"/>
  <c r="G43" i="99"/>
  <c r="M43" i="99" s="1"/>
  <c r="D31" i="99"/>
  <c r="D32" i="99"/>
  <c r="D33" i="99"/>
  <c r="D34" i="99"/>
  <c r="D35" i="99"/>
  <c r="L29" i="99"/>
  <c r="K25" i="99" l="1"/>
  <c r="K12" i="99" s="1"/>
  <c r="K46" i="99" s="1"/>
  <c r="I25" i="99"/>
  <c r="I12" i="99" s="1"/>
  <c r="I46" i="99" s="1"/>
  <c r="BH63" i="82"/>
  <c r="T64" i="83"/>
  <c r="BC44" i="82"/>
  <c r="BC45" i="82"/>
  <c r="BC86" i="82"/>
  <c r="T39" i="83"/>
  <c r="T67" i="83"/>
  <c r="C11" i="99"/>
  <c r="C12" i="99"/>
  <c r="D12" i="99"/>
  <c r="D46" i="99" s="1"/>
  <c r="E12" i="99"/>
  <c r="H12" i="99"/>
  <c r="H46" i="99" s="1"/>
  <c r="C13" i="99"/>
  <c r="B14" i="99"/>
  <c r="C14" i="99"/>
  <c r="D14" i="99"/>
  <c r="D48" i="99" s="1"/>
  <c r="E14" i="99"/>
  <c r="F14" i="99"/>
  <c r="H14" i="99"/>
  <c r="H48" i="99" s="1"/>
  <c r="I14" i="99"/>
  <c r="I48" i="99" s="1"/>
  <c r="J14" i="99"/>
  <c r="J48" i="99" s="1"/>
  <c r="K14" i="99"/>
  <c r="K48" i="99" s="1"/>
  <c r="C15" i="99"/>
  <c r="N2" i="53"/>
  <c r="F2" i="81"/>
  <c r="O2" i="80"/>
  <c r="M2" i="99"/>
  <c r="L25" i="99" l="1"/>
  <c r="M25" i="99" s="1"/>
  <c r="K17" i="80"/>
  <c r="K11" i="80" s="1"/>
  <c r="L17" i="80"/>
  <c r="L11" i="80" s="1"/>
  <c r="L44" i="80" s="1"/>
  <c r="T47" i="83"/>
  <c r="F136" i="96"/>
  <c r="F128" i="96"/>
  <c r="F127" i="96"/>
  <c r="F135" i="96"/>
  <c r="F101" i="96"/>
  <c r="F94" i="96"/>
  <c r="F102" i="96"/>
  <c r="F103" i="96"/>
  <c r="F174" i="96"/>
  <c r="F144" i="96"/>
  <c r="F140" i="96"/>
  <c r="F134" i="96"/>
  <c r="F126" i="96"/>
  <c r="F125" i="96"/>
  <c r="F124" i="96"/>
  <c r="F109" i="96"/>
  <c r="F110" i="96"/>
  <c r="F100" i="96"/>
  <c r="F152" i="96"/>
  <c r="F151" i="96"/>
  <c r="F173" i="96"/>
  <c r="F139" i="96"/>
  <c r="F138" i="96"/>
  <c r="BF69" i="82"/>
  <c r="BF70" i="82"/>
  <c r="BF67" i="82"/>
  <c r="C14" i="58"/>
  <c r="I59" i="57" l="1"/>
  <c r="K58" i="57"/>
  <c r="I52" i="57"/>
  <c r="I42" i="57"/>
  <c r="I37" i="57"/>
  <c r="I36" i="57" s="1"/>
  <c r="I32" i="57"/>
  <c r="I30" i="57"/>
  <c r="I12" i="57"/>
  <c r="I11" i="57" s="1"/>
  <c r="K14" i="57"/>
  <c r="K15" i="57"/>
  <c r="K17" i="57"/>
  <c r="K18" i="57"/>
  <c r="K19" i="57"/>
  <c r="K20" i="57"/>
  <c r="K21" i="57"/>
  <c r="K22" i="57"/>
  <c r="K24" i="57"/>
  <c r="K25" i="57"/>
  <c r="K27" i="57"/>
  <c r="K29" i="57"/>
  <c r="K31" i="57"/>
  <c r="K30" i="57" s="1"/>
  <c r="K33" i="57"/>
  <c r="K32" i="57" s="1"/>
  <c r="K34" i="57"/>
  <c r="K35" i="57"/>
  <c r="K38" i="57"/>
  <c r="K39" i="57"/>
  <c r="K40" i="57"/>
  <c r="K41" i="57"/>
  <c r="K43" i="57"/>
  <c r="K45" i="57"/>
  <c r="K48" i="57"/>
  <c r="K49" i="57"/>
  <c r="K50" i="57"/>
  <c r="K51" i="57"/>
  <c r="K53" i="57"/>
  <c r="K54" i="57"/>
  <c r="K55" i="57"/>
  <c r="K56" i="57"/>
  <c r="K57" i="57"/>
  <c r="K60" i="57"/>
  <c r="K62" i="57"/>
  <c r="K63" i="57"/>
  <c r="K65" i="57"/>
  <c r="K66" i="57"/>
  <c r="K67" i="57"/>
  <c r="K68" i="57"/>
  <c r="K70" i="57"/>
  <c r="K13" i="57"/>
  <c r="D188" i="96"/>
  <c r="D169" i="96" s="1"/>
  <c r="S9" i="83"/>
  <c r="N9" i="83"/>
  <c r="I9" i="83"/>
  <c r="X10" i="82"/>
  <c r="N10" i="82"/>
  <c r="I10" i="82"/>
  <c r="F84" i="36"/>
  <c r="G84" i="36"/>
  <c r="F86" i="36"/>
  <c r="G86" i="36"/>
  <c r="F78" i="36"/>
  <c r="G78" i="36"/>
  <c r="Q67" i="83"/>
  <c r="Q64" i="83"/>
  <c r="Q47" i="83"/>
  <c r="Q39" i="83"/>
  <c r="Q30" i="83"/>
  <c r="Q29" i="83"/>
  <c r="Q26" i="83"/>
  <c r="P67" i="83"/>
  <c r="P64" i="83"/>
  <c r="P47" i="83"/>
  <c r="P39" i="83"/>
  <c r="P30" i="83"/>
  <c r="P29" i="83"/>
  <c r="P26" i="83"/>
  <c r="O30" i="83"/>
  <c r="O29" i="83"/>
  <c r="O26" i="83"/>
  <c r="N67" i="83"/>
  <c r="N64" i="83"/>
  <c r="N47" i="83"/>
  <c r="N39" i="83"/>
  <c r="N30" i="83"/>
  <c r="N29" i="83"/>
  <c r="N26" i="83"/>
  <c r="L67" i="83"/>
  <c r="L64" i="83"/>
  <c r="L47" i="83"/>
  <c r="L39" i="83"/>
  <c r="L30" i="83"/>
  <c r="L29" i="83"/>
  <c r="K67" i="83"/>
  <c r="K64" i="83"/>
  <c r="K47" i="83"/>
  <c r="K39" i="83"/>
  <c r="K30" i="83"/>
  <c r="K29" i="83"/>
  <c r="I67" i="83"/>
  <c r="I64" i="83"/>
  <c r="I47" i="83"/>
  <c r="I39" i="83"/>
  <c r="I30" i="83"/>
  <c r="I29" i="83"/>
  <c r="G80" i="83"/>
  <c r="G67" i="83"/>
  <c r="G64" i="83"/>
  <c r="G47" i="83"/>
  <c r="G30" i="83"/>
  <c r="G29" i="83"/>
  <c r="G26" i="83"/>
  <c r="F80" i="83"/>
  <c r="F67" i="83"/>
  <c r="F64" i="83"/>
  <c r="F47" i="83"/>
  <c r="F30" i="83"/>
  <c r="F29" i="83"/>
  <c r="F26" i="83"/>
  <c r="D80" i="83"/>
  <c r="F13" i="39"/>
  <c r="F12" i="39"/>
  <c r="E13" i="39"/>
  <c r="E12" i="39"/>
  <c r="T87" i="83"/>
  <c r="C13" i="39"/>
  <c r="C12" i="39"/>
  <c r="S87" i="83"/>
  <c r="G40" i="58"/>
  <c r="G35" i="58" s="1"/>
  <c r="G39" i="58"/>
  <c r="G106" i="57" s="1"/>
  <c r="G38" i="58"/>
  <c r="F40" i="58"/>
  <c r="F35" i="58" s="1"/>
  <c r="F39" i="58"/>
  <c r="F106" i="57" s="1"/>
  <c r="F38" i="58"/>
  <c r="H24" i="99"/>
  <c r="H11" i="99" s="1"/>
  <c r="H45" i="99" s="1"/>
  <c r="F53" i="39"/>
  <c r="E53" i="39"/>
  <c r="BB88" i="82"/>
  <c r="BF88" i="82" s="1"/>
  <c r="BD88" i="82"/>
  <c r="BE88" i="82"/>
  <c r="BB90" i="82"/>
  <c r="BD90" i="82"/>
  <c r="BE90" i="82"/>
  <c r="BB91" i="82"/>
  <c r="BD91" i="82"/>
  <c r="BE91" i="82"/>
  <c r="BB93" i="82"/>
  <c r="BD93" i="82"/>
  <c r="BE93" i="82"/>
  <c r="BB94" i="82"/>
  <c r="BD94" i="82"/>
  <c r="BE94" i="82"/>
  <c r="L87" i="82"/>
  <c r="L84" i="82"/>
  <c r="K87" i="82"/>
  <c r="K84" i="82"/>
  <c r="J87" i="82"/>
  <c r="J84" i="82"/>
  <c r="I87" i="82"/>
  <c r="I84" i="82"/>
  <c r="G84" i="82"/>
  <c r="F84" i="82"/>
  <c r="W43" i="82"/>
  <c r="P155" i="82"/>
  <c r="Q155" i="82"/>
  <c r="L46" i="82"/>
  <c r="L43" i="82"/>
  <c r="L34" i="82"/>
  <c r="K46" i="82"/>
  <c r="K43" i="82"/>
  <c r="K34" i="82"/>
  <c r="J34" i="82"/>
  <c r="I46" i="82"/>
  <c r="I43" i="82"/>
  <c r="I34" i="82"/>
  <c r="G43" i="82"/>
  <c r="F43" i="82"/>
  <c r="AZ34" i="82"/>
  <c r="AZ33" i="82"/>
  <c r="AZ19" i="82"/>
  <c r="AZ11" i="82"/>
  <c r="AY34" i="82"/>
  <c r="AY33" i="82"/>
  <c r="AY19" i="82"/>
  <c r="AY11" i="82"/>
  <c r="AW11" i="82"/>
  <c r="AF34" i="82"/>
  <c r="AF33" i="82"/>
  <c r="AF19" i="82"/>
  <c r="AF11" i="82"/>
  <c r="AE34" i="82"/>
  <c r="AE33" i="82"/>
  <c r="AE19" i="82"/>
  <c r="AE11" i="82"/>
  <c r="AC34" i="82"/>
  <c r="AC33" i="82"/>
  <c r="AC19" i="82"/>
  <c r="AC11" i="82"/>
  <c r="AA34" i="82"/>
  <c r="AA33" i="82"/>
  <c r="AA19" i="82"/>
  <c r="AA11" i="82"/>
  <c r="Z34" i="82"/>
  <c r="Z33" i="82"/>
  <c r="Z19" i="82"/>
  <c r="Z11" i="82"/>
  <c r="X11" i="82"/>
  <c r="L33" i="82"/>
  <c r="L19" i="82"/>
  <c r="L11" i="82"/>
  <c r="K33" i="82"/>
  <c r="K19" i="82"/>
  <c r="K11" i="82"/>
  <c r="J33" i="82"/>
  <c r="J19" i="82"/>
  <c r="J11" i="82"/>
  <c r="I33" i="82"/>
  <c r="I19" i="82"/>
  <c r="I11" i="82"/>
  <c r="G33" i="82"/>
  <c r="G21" i="82"/>
  <c r="BE21" i="82" s="1"/>
  <c r="F33" i="82"/>
  <c r="F21" i="82"/>
  <c r="BD21" i="82" s="1"/>
  <c r="K37" i="57" l="1"/>
  <c r="K36" i="57" s="1"/>
  <c r="F39" i="83"/>
  <c r="F76" i="83" s="1"/>
  <c r="F79" i="83" s="1"/>
  <c r="G39" i="83"/>
  <c r="G76" i="83" s="1"/>
  <c r="G79" i="83" s="1"/>
  <c r="M17" i="80"/>
  <c r="K47" i="57"/>
  <c r="AY29" i="82"/>
  <c r="G80" i="36"/>
  <c r="G77" i="36" s="1"/>
  <c r="K12" i="57"/>
  <c r="K11" i="57" s="1"/>
  <c r="F80" i="36"/>
  <c r="F77" i="36" s="1"/>
  <c r="X29" i="82"/>
  <c r="Z29" i="82"/>
  <c r="AE29" i="82"/>
  <c r="AF29" i="82"/>
  <c r="I24" i="99"/>
  <c r="I11" i="99" s="1"/>
  <c r="I45" i="99" s="1"/>
  <c r="K52" i="57"/>
  <c r="D79" i="83"/>
  <c r="I76" i="83"/>
  <c r="I79" i="83" s="1"/>
  <c r="K76" i="83"/>
  <c r="K79" i="83" s="1"/>
  <c r="N76" i="83"/>
  <c r="O76" i="83"/>
  <c r="P76" i="83"/>
  <c r="Q76" i="83"/>
  <c r="F19" i="82"/>
  <c r="J29" i="82"/>
  <c r="G34" i="82"/>
  <c r="F34" i="82"/>
  <c r="K29" i="82"/>
  <c r="AA29" i="82"/>
  <c r="AC29" i="82"/>
  <c r="G19" i="82"/>
  <c r="I29" i="82"/>
  <c r="L29" i="82"/>
  <c r="AW29" i="82"/>
  <c r="AZ29" i="82"/>
  <c r="E16" i="36"/>
  <c r="F13" i="58"/>
  <c r="F16" i="36" s="1"/>
  <c r="G13" i="58"/>
  <c r="G16" i="36" s="1"/>
  <c r="I28" i="57"/>
  <c r="I26" i="57" s="1"/>
  <c r="K69" i="57"/>
  <c r="K59" i="57" s="1"/>
  <c r="I46" i="57"/>
  <c r="K42" i="57"/>
  <c r="K28" i="57"/>
  <c r="K26" i="57" s="1"/>
  <c r="E14" i="39"/>
  <c r="E11" i="39" s="1"/>
  <c r="E10" i="39" s="1"/>
  <c r="E9" i="39" s="1"/>
  <c r="C14" i="39"/>
  <c r="C11" i="39" s="1"/>
  <c r="C10" i="39" s="1"/>
  <c r="T89" i="83"/>
  <c r="S89" i="83"/>
  <c r="D11" i="81" s="1"/>
  <c r="G82" i="36"/>
  <c r="G81" i="36" s="1"/>
  <c r="F82" i="36"/>
  <c r="F81" i="36" s="1"/>
  <c r="L76" i="83"/>
  <c r="L79" i="83" s="1"/>
  <c r="F14" i="39"/>
  <c r="F11" i="39" s="1"/>
  <c r="F10" i="39" s="1"/>
  <c r="F9" i="39" s="1"/>
  <c r="E20" i="102"/>
  <c r="E19" i="102" s="1"/>
  <c r="E18" i="102" s="1"/>
  <c r="J19" i="102"/>
  <c r="J18" i="102" s="1"/>
  <c r="J14" i="102"/>
  <c r="E14" i="102"/>
  <c r="J8" i="102"/>
  <c r="E8" i="102"/>
  <c r="C9" i="39" l="1"/>
  <c r="J7" i="102"/>
  <c r="J25" i="102" s="1"/>
  <c r="T94" i="83"/>
  <c r="E7" i="102"/>
  <c r="E25" i="102" s="1"/>
  <c r="F8" i="58"/>
  <c r="F101" i="82"/>
  <c r="M11" i="80"/>
  <c r="N17" i="80"/>
  <c r="K46" i="57"/>
  <c r="K10" i="57" s="1"/>
  <c r="K9" i="57" s="1"/>
  <c r="F9" i="36"/>
  <c r="S94" i="83"/>
  <c r="H17" i="80"/>
  <c r="H11" i="80" s="1"/>
  <c r="H44" i="80" s="1"/>
  <c r="F43" i="58"/>
  <c r="D101" i="82"/>
  <c r="G43" i="58"/>
  <c r="G8" i="58"/>
  <c r="G101" i="82"/>
  <c r="I10" i="57"/>
  <c r="I9" i="57" s="1"/>
  <c r="H19" i="102"/>
  <c r="H18" i="102" s="1"/>
  <c r="E9" i="36"/>
  <c r="M44" i="80" l="1"/>
  <c r="N11" i="80"/>
  <c r="G9" i="36"/>
  <c r="D25" i="53" l="1"/>
  <c r="E25" i="53"/>
  <c r="H25" i="53"/>
  <c r="C25" i="53"/>
  <c r="F25" i="53"/>
  <c r="G25" i="53"/>
  <c r="I25" i="53"/>
  <c r="J25" i="53"/>
  <c r="K25" i="53"/>
  <c r="L25" i="53"/>
  <c r="M25" i="53"/>
  <c r="I15" i="80"/>
  <c r="F21" i="80"/>
  <c r="BA93" i="82" l="1"/>
  <c r="R89" i="83" l="1"/>
  <c r="R28" i="83"/>
  <c r="AA28" i="83" s="1"/>
  <c r="E46" i="36"/>
  <c r="E58" i="36"/>
  <c r="J18" i="99" s="1"/>
  <c r="D36" i="81"/>
  <c r="E62" i="36"/>
  <c r="E60" i="36" s="1"/>
  <c r="C60" i="81" s="1"/>
  <c r="F60" i="81" s="1"/>
  <c r="E50" i="36"/>
  <c r="D44" i="81"/>
  <c r="C38" i="99" s="1"/>
  <c r="C32" i="99" s="1"/>
  <c r="C46" i="99" s="1"/>
  <c r="T27" i="83"/>
  <c r="T28" i="83"/>
  <c r="T77" i="83"/>
  <c r="T78" i="83"/>
  <c r="F36" i="80" s="1"/>
  <c r="F30" i="80" s="1"/>
  <c r="O80" i="83"/>
  <c r="B14" i="39"/>
  <c r="C32" i="57"/>
  <c r="C37" i="57"/>
  <c r="C36" i="57" s="1"/>
  <c r="B13" i="39" s="1"/>
  <c r="C42" i="57"/>
  <c r="C52" i="57"/>
  <c r="C59" i="57"/>
  <c r="C75" i="57"/>
  <c r="C79" i="57"/>
  <c r="C84" i="57"/>
  <c r="C29" i="36" s="1"/>
  <c r="C25" i="58"/>
  <c r="I23" i="99" s="1"/>
  <c r="C46" i="36"/>
  <c r="C12" i="102" s="1"/>
  <c r="C36" i="58"/>
  <c r="C59" i="36"/>
  <c r="C40" i="58"/>
  <c r="R111" i="82"/>
  <c r="M13" i="56" s="1"/>
  <c r="N13" i="56" s="1"/>
  <c r="N16" i="56" s="1"/>
  <c r="R11" i="83"/>
  <c r="AA11" i="83" s="1"/>
  <c r="C26" i="83"/>
  <c r="C11" i="82"/>
  <c r="C21" i="82"/>
  <c r="BA21" i="82" s="1"/>
  <c r="H11" i="82"/>
  <c r="H19" i="82"/>
  <c r="M11" i="82"/>
  <c r="M19" i="82"/>
  <c r="W11" i="82"/>
  <c r="W19" i="82"/>
  <c r="AB11" i="82"/>
  <c r="AB19" i="82"/>
  <c r="AG11" i="82"/>
  <c r="AG19" i="82"/>
  <c r="AL11" i="82"/>
  <c r="AL19" i="82"/>
  <c r="AV11" i="82"/>
  <c r="AV19" i="82"/>
  <c r="BA32" i="82"/>
  <c r="H33" i="82"/>
  <c r="M33" i="82"/>
  <c r="W33" i="82"/>
  <c r="AB33" i="82"/>
  <c r="AG33" i="82"/>
  <c r="AL33" i="82"/>
  <c r="AV33" i="82"/>
  <c r="R27" i="83"/>
  <c r="AA27" i="83" s="1"/>
  <c r="C147" i="82"/>
  <c r="Y71" i="82" s="1"/>
  <c r="Y46" i="82" s="1"/>
  <c r="Y96" i="82" s="1"/>
  <c r="BA40" i="82"/>
  <c r="C43" i="82"/>
  <c r="C84" i="82"/>
  <c r="H34" i="82"/>
  <c r="H43" i="82"/>
  <c r="H46" i="82"/>
  <c r="H84" i="82"/>
  <c r="H87" i="82"/>
  <c r="M34" i="82"/>
  <c r="M43" i="82"/>
  <c r="M46" i="82"/>
  <c r="M84" i="82"/>
  <c r="M87" i="82"/>
  <c r="W34" i="82"/>
  <c r="W84" i="82"/>
  <c r="W87" i="82"/>
  <c r="AB34" i="82"/>
  <c r="AB43" i="82"/>
  <c r="AB46" i="82"/>
  <c r="AB84" i="82"/>
  <c r="AB87" i="82"/>
  <c r="AG34" i="82"/>
  <c r="AG43" i="82"/>
  <c r="AG46" i="82"/>
  <c r="AG84" i="82"/>
  <c r="AG87" i="82"/>
  <c r="AL34" i="82"/>
  <c r="AL43" i="82"/>
  <c r="AL84" i="82"/>
  <c r="AL87" i="82"/>
  <c r="AV34" i="82"/>
  <c r="AV43" i="82"/>
  <c r="AV46" i="82"/>
  <c r="AV84" i="82"/>
  <c r="AV87" i="82"/>
  <c r="H30" i="83"/>
  <c r="H39" i="83"/>
  <c r="H47" i="83"/>
  <c r="H64" i="83"/>
  <c r="H67" i="83"/>
  <c r="C30" i="83"/>
  <c r="C39" i="83"/>
  <c r="C47" i="83"/>
  <c r="C64" i="83"/>
  <c r="C67" i="83"/>
  <c r="M30" i="83"/>
  <c r="M39" i="83"/>
  <c r="M47" i="83"/>
  <c r="M64" i="83"/>
  <c r="M67" i="83"/>
  <c r="BA97" i="82"/>
  <c r="B12" i="39"/>
  <c r="B53" i="39"/>
  <c r="C130" i="57"/>
  <c r="C104" i="57"/>
  <c r="C103" i="57" s="1"/>
  <c r="C84" i="36"/>
  <c r="C86" i="36"/>
  <c r="R77" i="83"/>
  <c r="AA77" i="83" s="1"/>
  <c r="R78" i="83"/>
  <c r="H80" i="83"/>
  <c r="C80" i="83"/>
  <c r="M80" i="83"/>
  <c r="R87" i="83"/>
  <c r="C70" i="58"/>
  <c r="C46" i="58"/>
  <c r="C50" i="58"/>
  <c r="C78" i="36"/>
  <c r="T2" i="83"/>
  <c r="D2" i="39"/>
  <c r="C63" i="58"/>
  <c r="C95" i="58"/>
  <c r="C94" i="58" s="1"/>
  <c r="F145" i="81" s="1"/>
  <c r="A41" i="80"/>
  <c r="C63" i="81"/>
  <c r="F63" i="81" s="1"/>
  <c r="F93" i="96"/>
  <c r="F191" i="96"/>
  <c r="F112" i="96"/>
  <c r="F111" i="96"/>
  <c r="F130" i="96"/>
  <c r="F165" i="96"/>
  <c r="H167" i="96" s="1"/>
  <c r="F113" i="96"/>
  <c r="F56" i="96"/>
  <c r="F55" i="96" s="1"/>
  <c r="F40" i="96"/>
  <c r="F25" i="96"/>
  <c r="F95" i="96"/>
  <c r="F92" i="96"/>
  <c r="F89" i="96"/>
  <c r="E58" i="96"/>
  <c r="D58" i="96"/>
  <c r="D17" i="99"/>
  <c r="D11" i="99" s="1"/>
  <c r="D45" i="99" s="1"/>
  <c r="F60" i="96"/>
  <c r="F61" i="96"/>
  <c r="F59" i="96"/>
  <c r="N46" i="82"/>
  <c r="BB45" i="82"/>
  <c r="F145" i="96"/>
  <c r="S53" i="83"/>
  <c r="S52" i="83"/>
  <c r="S34" i="83"/>
  <c r="F87" i="96"/>
  <c r="D29" i="36"/>
  <c r="F88" i="96"/>
  <c r="F176" i="96"/>
  <c r="F177" i="96"/>
  <c r="BA94" i="82"/>
  <c r="BB95" i="82"/>
  <c r="BF79" i="82"/>
  <c r="F116" i="96"/>
  <c r="F107" i="96"/>
  <c r="BB30" i="82"/>
  <c r="F22" i="96"/>
  <c r="F150" i="96"/>
  <c r="D43" i="81"/>
  <c r="C37" i="99" s="1"/>
  <c r="C31" i="99" s="1"/>
  <c r="C45" i="99" s="1"/>
  <c r="AC43" i="82"/>
  <c r="BB39" i="82"/>
  <c r="BB38" i="82"/>
  <c r="D11" i="82"/>
  <c r="D29" i="82" s="1"/>
  <c r="BF74" i="82"/>
  <c r="BF75" i="82"/>
  <c r="BF76" i="82"/>
  <c r="BF77" i="82"/>
  <c r="BF78" i="82"/>
  <c r="BB85" i="82"/>
  <c r="BD85" i="82"/>
  <c r="BE85" i="82"/>
  <c r="BB86" i="82"/>
  <c r="BD86" i="82"/>
  <c r="BE86" i="82"/>
  <c r="BB97" i="82"/>
  <c r="BC97" i="82"/>
  <c r="BD97" i="82"/>
  <c r="F124" i="57" s="1"/>
  <c r="F70" i="97" s="1"/>
  <c r="F66" i="97" s="1"/>
  <c r="F65" i="97" s="1"/>
  <c r="F64" i="97" s="1"/>
  <c r="F87" i="97" s="1"/>
  <c r="BE97" i="82"/>
  <c r="G124" i="57" s="1"/>
  <c r="BB103" i="82"/>
  <c r="BC103" i="82"/>
  <c r="BD103" i="82"/>
  <c r="BE103" i="82"/>
  <c r="BF66" i="82"/>
  <c r="BF72" i="82"/>
  <c r="BF73" i="82"/>
  <c r="BB36" i="82"/>
  <c r="BB41" i="82"/>
  <c r="BD41" i="82"/>
  <c r="BE41" i="82"/>
  <c r="BB42" i="82"/>
  <c r="BF42" i="82" s="1"/>
  <c r="BD42" i="82"/>
  <c r="BE42" i="82"/>
  <c r="BD47" i="82"/>
  <c r="BE47" i="82"/>
  <c r="BB28" i="82"/>
  <c r="BD28" i="82"/>
  <c r="BE28" i="82"/>
  <c r="BB31" i="82"/>
  <c r="BD31" i="82"/>
  <c r="BE31" i="82"/>
  <c r="S39" i="83"/>
  <c r="S28" i="83"/>
  <c r="D138" i="57"/>
  <c r="D139" i="57"/>
  <c r="K24" i="99"/>
  <c r="K11" i="99" s="1"/>
  <c r="K45" i="99" s="1"/>
  <c r="C50" i="97"/>
  <c r="D40" i="36"/>
  <c r="C139" i="57"/>
  <c r="E13" i="100"/>
  <c r="F14" i="100" s="1"/>
  <c r="F12" i="100"/>
  <c r="G12" i="100" s="1"/>
  <c r="F11" i="100"/>
  <c r="G11" i="100" s="1"/>
  <c r="BA103" i="82"/>
  <c r="BA95" i="82"/>
  <c r="BA85" i="82"/>
  <c r="BA86" i="82"/>
  <c r="BA91" i="82"/>
  <c r="BA41" i="82"/>
  <c r="BA42" i="82"/>
  <c r="BA45" i="82"/>
  <c r="BA47" i="82"/>
  <c r="BA30" i="82"/>
  <c r="BA20" i="82"/>
  <c r="BA28" i="82"/>
  <c r="BA12" i="82"/>
  <c r="V28" i="83"/>
  <c r="V31" i="83"/>
  <c r="V32" i="83"/>
  <c r="V33" i="83"/>
  <c r="V35" i="83"/>
  <c r="V36" i="83"/>
  <c r="V40" i="83"/>
  <c r="V45" i="83"/>
  <c r="V46" i="83"/>
  <c r="V49" i="83"/>
  <c r="V50" i="83"/>
  <c r="V51" i="83"/>
  <c r="V52" i="83"/>
  <c r="V53" i="83"/>
  <c r="V54" i="83"/>
  <c r="V55" i="83"/>
  <c r="V57" i="83"/>
  <c r="V58" i="83"/>
  <c r="V59" i="83"/>
  <c r="V62" i="83"/>
  <c r="V63" i="83"/>
  <c r="V66" i="83"/>
  <c r="V69" i="83"/>
  <c r="V70" i="83"/>
  <c r="V71" i="83"/>
  <c r="V72" i="83"/>
  <c r="V73" i="83"/>
  <c r="V77" i="83"/>
  <c r="V78" i="83"/>
  <c r="V81" i="83"/>
  <c r="V82" i="83"/>
  <c r="V84" i="83"/>
  <c r="D39" i="81"/>
  <c r="F41" i="99" s="1"/>
  <c r="F35" i="99" s="1"/>
  <c r="D47" i="81"/>
  <c r="C41" i="99" s="1"/>
  <c r="C35" i="99" s="1"/>
  <c r="C49" i="99" s="1"/>
  <c r="D45" i="81"/>
  <c r="C39" i="99" s="1"/>
  <c r="C33" i="99" s="1"/>
  <c r="C47" i="99" s="1"/>
  <c r="G91" i="36"/>
  <c r="K28" i="99"/>
  <c r="K15" i="99" s="1"/>
  <c r="K49" i="99" s="1"/>
  <c r="G50" i="36"/>
  <c r="G40" i="36"/>
  <c r="K26" i="99"/>
  <c r="K13" i="99" s="1"/>
  <c r="K47" i="99" s="1"/>
  <c r="F50" i="36"/>
  <c r="BE95" i="82"/>
  <c r="BD95" i="82"/>
  <c r="AK87" i="82"/>
  <c r="AJ87" i="82"/>
  <c r="AF87" i="82"/>
  <c r="AE87" i="82"/>
  <c r="AA87" i="82"/>
  <c r="AA84" i="82"/>
  <c r="Z87" i="82"/>
  <c r="Z84" i="82"/>
  <c r="Q87" i="82"/>
  <c r="Q84" i="82"/>
  <c r="P87" i="82"/>
  <c r="P84" i="82"/>
  <c r="AZ46" i="82"/>
  <c r="AZ43" i="82"/>
  <c r="AY46" i="82"/>
  <c r="AY43" i="82"/>
  <c r="BD45" i="82"/>
  <c r="Q46" i="82"/>
  <c r="P46" i="82"/>
  <c r="BE40" i="82"/>
  <c r="BE39" i="82"/>
  <c r="BE38" i="82"/>
  <c r="BE37" i="82"/>
  <c r="BE36" i="82"/>
  <c r="BD39" i="82"/>
  <c r="BD38" i="82"/>
  <c r="BD37" i="82"/>
  <c r="BE32" i="82"/>
  <c r="G46" i="36"/>
  <c r="F46" i="36"/>
  <c r="D37" i="81"/>
  <c r="E37" i="81" s="1"/>
  <c r="D13" i="81"/>
  <c r="V75" i="83"/>
  <c r="V74" i="83"/>
  <c r="V64" i="83"/>
  <c r="V56" i="83"/>
  <c r="U74" i="83"/>
  <c r="U68" i="83"/>
  <c r="U61" i="83"/>
  <c r="U56" i="83"/>
  <c r="V48" i="83"/>
  <c r="V34" i="83"/>
  <c r="U48" i="83"/>
  <c r="U34" i="83"/>
  <c r="F164" i="96"/>
  <c r="F175" i="96"/>
  <c r="F143" i="96"/>
  <c r="I9" i="80"/>
  <c r="F160" i="96"/>
  <c r="A32" i="80"/>
  <c r="E32" i="80"/>
  <c r="G32" i="80"/>
  <c r="H32" i="80"/>
  <c r="I32" i="80"/>
  <c r="L32" i="80"/>
  <c r="M32" i="80"/>
  <c r="P32" i="80"/>
  <c r="A33" i="80"/>
  <c r="E33" i="80"/>
  <c r="G33" i="80"/>
  <c r="H33" i="80"/>
  <c r="I33" i="80"/>
  <c r="L33" i="80"/>
  <c r="M33" i="80"/>
  <c r="P33" i="80"/>
  <c r="P29" i="80"/>
  <c r="P28" i="80"/>
  <c r="P31" i="80"/>
  <c r="L29" i="80"/>
  <c r="M29" i="80"/>
  <c r="L28" i="80"/>
  <c r="M28" i="80"/>
  <c r="L31" i="80"/>
  <c r="M31" i="80"/>
  <c r="E29" i="80"/>
  <c r="G29" i="80"/>
  <c r="H29" i="80"/>
  <c r="I29" i="80"/>
  <c r="E28" i="80"/>
  <c r="G28" i="80"/>
  <c r="H28" i="80"/>
  <c r="I28" i="80"/>
  <c r="E31" i="80"/>
  <c r="G31" i="80"/>
  <c r="H31" i="80"/>
  <c r="I31" i="80"/>
  <c r="K38" i="80"/>
  <c r="K32" i="80" s="1"/>
  <c r="F38" i="80"/>
  <c r="F32" i="80" s="1"/>
  <c r="C38" i="80"/>
  <c r="C32" i="80" s="1"/>
  <c r="D38" i="80"/>
  <c r="D32" i="80" s="1"/>
  <c r="B38" i="80"/>
  <c r="B32" i="80" s="1"/>
  <c r="P10" i="80"/>
  <c r="P9" i="80"/>
  <c r="P12" i="80"/>
  <c r="P13" i="80"/>
  <c r="P14" i="80"/>
  <c r="K13" i="80"/>
  <c r="L13" i="80"/>
  <c r="M13" i="80"/>
  <c r="I13" i="80"/>
  <c r="G13" i="80"/>
  <c r="B13" i="80"/>
  <c r="C13" i="80"/>
  <c r="D13" i="80"/>
  <c r="E13" i="80"/>
  <c r="F13" i="80"/>
  <c r="H13" i="80"/>
  <c r="J25" i="80"/>
  <c r="A43" i="80"/>
  <c r="A42" i="80"/>
  <c r="A45" i="80"/>
  <c r="A46" i="80"/>
  <c r="A47" i="80"/>
  <c r="A38" i="80"/>
  <c r="A29" i="80"/>
  <c r="A28" i="80"/>
  <c r="A31" i="80"/>
  <c r="A27" i="80"/>
  <c r="A22" i="80"/>
  <c r="A21" i="80"/>
  <c r="A24" i="80"/>
  <c r="A25" i="80"/>
  <c r="A16" i="80"/>
  <c r="A15" i="80"/>
  <c r="A34" i="80" s="1"/>
  <c r="A18" i="80"/>
  <c r="A19" i="80"/>
  <c r="A20" i="80"/>
  <c r="A10" i="80"/>
  <c r="A9" i="80"/>
  <c r="A12" i="80"/>
  <c r="A13" i="80"/>
  <c r="A14" i="80"/>
  <c r="B40" i="99"/>
  <c r="C40" i="99"/>
  <c r="C34" i="99" s="1"/>
  <c r="C48" i="99" s="1"/>
  <c r="E40" i="99"/>
  <c r="E34" i="99" s="1"/>
  <c r="E48" i="99" s="1"/>
  <c r="F40" i="99"/>
  <c r="F34" i="99" s="1"/>
  <c r="F48" i="99" s="1"/>
  <c r="C10" i="99"/>
  <c r="E21" i="99"/>
  <c r="E15" i="99" s="1"/>
  <c r="E19" i="99"/>
  <c r="E13" i="99" s="1"/>
  <c r="E10" i="99"/>
  <c r="E17" i="99"/>
  <c r="E11" i="99" s="1"/>
  <c r="D21" i="99"/>
  <c r="D15" i="99" s="1"/>
  <c r="D49" i="99" s="1"/>
  <c r="D19" i="99"/>
  <c r="D13" i="99" s="1"/>
  <c r="D47" i="99" s="1"/>
  <c r="D10" i="99"/>
  <c r="A40" i="80"/>
  <c r="A41" i="99"/>
  <c r="A39" i="80" s="1"/>
  <c r="A39" i="99"/>
  <c r="A37" i="80" s="1"/>
  <c r="A37" i="99"/>
  <c r="A35" i="80" s="1"/>
  <c r="D30" i="99"/>
  <c r="G29" i="99"/>
  <c r="G28" i="99"/>
  <c r="A28" i="99"/>
  <c r="A26" i="80" s="1"/>
  <c r="G27" i="99"/>
  <c r="G26" i="99"/>
  <c r="G23" i="99"/>
  <c r="G24" i="99"/>
  <c r="L22" i="99"/>
  <c r="G22" i="99"/>
  <c r="D84" i="81"/>
  <c r="E84" i="81" s="1"/>
  <c r="E133" i="81"/>
  <c r="F133" i="81" s="1"/>
  <c r="F126" i="81"/>
  <c r="E119" i="81"/>
  <c r="F119" i="81" s="1"/>
  <c r="E105" i="81"/>
  <c r="F105" i="81" s="1"/>
  <c r="E98" i="81"/>
  <c r="F98" i="81" s="1"/>
  <c r="B67" i="81"/>
  <c r="B95" i="81" s="1"/>
  <c r="B102" i="81" s="1"/>
  <c r="B109" i="81" s="1"/>
  <c r="B116" i="81" s="1"/>
  <c r="B123" i="81" s="1"/>
  <c r="B130" i="81" s="1"/>
  <c r="B137" i="81" s="1"/>
  <c r="B144" i="81" s="1"/>
  <c r="B68" i="81"/>
  <c r="B96" i="81" s="1"/>
  <c r="B103" i="81" s="1"/>
  <c r="B110" i="81" s="1"/>
  <c r="B117" i="81" s="1"/>
  <c r="B124" i="81" s="1"/>
  <c r="B131" i="81" s="1"/>
  <c r="B138" i="81" s="1"/>
  <c r="B145" i="81" s="1"/>
  <c r="B69" i="81"/>
  <c r="B75" i="81" s="1"/>
  <c r="B89" i="81" s="1"/>
  <c r="B70" i="81"/>
  <c r="B98" i="81" s="1"/>
  <c r="B105" i="81" s="1"/>
  <c r="B112" i="81" s="1"/>
  <c r="B119" i="81" s="1"/>
  <c r="B126" i="81" s="1"/>
  <c r="B133" i="81" s="1"/>
  <c r="B140" i="81" s="1"/>
  <c r="B147" i="81" s="1"/>
  <c r="B71" i="81"/>
  <c r="B77" i="81" s="1"/>
  <c r="B91" i="81" s="1"/>
  <c r="B66" i="81"/>
  <c r="B80" i="81" s="1"/>
  <c r="D30" i="81"/>
  <c r="E30" i="81" s="1"/>
  <c r="B19" i="81"/>
  <c r="B27" i="81" s="1"/>
  <c r="B35" i="81" s="1"/>
  <c r="B43" i="81" s="1"/>
  <c r="B51" i="81" s="1"/>
  <c r="B59" i="81" s="1"/>
  <c r="B20" i="81"/>
  <c r="B28" i="81" s="1"/>
  <c r="B36" i="81" s="1"/>
  <c r="B44" i="81" s="1"/>
  <c r="B52" i="81" s="1"/>
  <c r="B60" i="81" s="1"/>
  <c r="B21" i="81"/>
  <c r="B29" i="81" s="1"/>
  <c r="B37" i="81" s="1"/>
  <c r="B45" i="81" s="1"/>
  <c r="B53" i="81" s="1"/>
  <c r="B61" i="81" s="1"/>
  <c r="B22" i="81"/>
  <c r="B30" i="81" s="1"/>
  <c r="B38" i="81" s="1"/>
  <c r="B46" i="81" s="1"/>
  <c r="B54" i="81" s="1"/>
  <c r="B62" i="81" s="1"/>
  <c r="B23" i="81"/>
  <c r="B31" i="81" s="1"/>
  <c r="B39" i="81" s="1"/>
  <c r="B47" i="81" s="1"/>
  <c r="B55" i="81" s="1"/>
  <c r="B63" i="81" s="1"/>
  <c r="BC95" i="82"/>
  <c r="F147" i="96"/>
  <c r="F19" i="96"/>
  <c r="F13" i="96"/>
  <c r="F156" i="96"/>
  <c r="F84" i="96"/>
  <c r="F79" i="96"/>
  <c r="F123" i="96"/>
  <c r="F122" i="96"/>
  <c r="F121" i="96"/>
  <c r="F133" i="96"/>
  <c r="F132" i="96"/>
  <c r="F131" i="96"/>
  <c r="F120" i="96"/>
  <c r="F129" i="96"/>
  <c r="F171" i="96"/>
  <c r="F172" i="96"/>
  <c r="F86" i="96"/>
  <c r="F18" i="96"/>
  <c r="F17" i="96"/>
  <c r="F16" i="96"/>
  <c r="F15" i="96"/>
  <c r="F10" i="96"/>
  <c r="F20" i="96"/>
  <c r="F178" i="96"/>
  <c r="F131" i="57"/>
  <c r="F130" i="57" s="1"/>
  <c r="G131" i="57"/>
  <c r="G130" i="57" s="1"/>
  <c r="D35" i="81"/>
  <c r="E35" i="81" s="1"/>
  <c r="S82" i="83"/>
  <c r="T82" i="83"/>
  <c r="U82" i="83"/>
  <c r="S84" i="83"/>
  <c r="T84" i="83"/>
  <c r="U84" i="83"/>
  <c r="S78" i="83"/>
  <c r="F35" i="80" s="1"/>
  <c r="F29" i="80" s="1"/>
  <c r="U78" i="83"/>
  <c r="D132" i="81" s="1"/>
  <c r="F37" i="80" s="1"/>
  <c r="F31" i="80" s="1"/>
  <c r="U77" i="83"/>
  <c r="S77" i="83"/>
  <c r="R66" i="83"/>
  <c r="AA66" i="83" s="1"/>
  <c r="S66" i="83"/>
  <c r="U66" i="83"/>
  <c r="R68" i="83"/>
  <c r="S68" i="83"/>
  <c r="R69" i="83"/>
  <c r="AA69" i="83" s="1"/>
  <c r="S69" i="83"/>
  <c r="U69" i="83"/>
  <c r="R70" i="83"/>
  <c r="AA70" i="83" s="1"/>
  <c r="S70" i="83"/>
  <c r="U70" i="83"/>
  <c r="R71" i="83"/>
  <c r="AA71" i="83" s="1"/>
  <c r="S71" i="83"/>
  <c r="U71" i="83"/>
  <c r="R72" i="83"/>
  <c r="AA72" i="83" s="1"/>
  <c r="S72" i="83"/>
  <c r="U72" i="83"/>
  <c r="R73" i="83"/>
  <c r="AA73" i="83" s="1"/>
  <c r="S73" i="83"/>
  <c r="U73" i="83"/>
  <c r="R74" i="83"/>
  <c r="AA74" i="83" s="1"/>
  <c r="S74" i="83"/>
  <c r="R75" i="83"/>
  <c r="AA75" i="83" s="1"/>
  <c r="S65" i="83"/>
  <c r="R65" i="83"/>
  <c r="AA65" i="83" s="1"/>
  <c r="R54" i="83"/>
  <c r="AA54" i="83" s="1"/>
  <c r="S54" i="83"/>
  <c r="U54" i="83"/>
  <c r="R55" i="83"/>
  <c r="AA55" i="83" s="1"/>
  <c r="S55" i="83"/>
  <c r="U55" i="83"/>
  <c r="U57" i="83"/>
  <c r="U58" i="83"/>
  <c r="U59" i="83"/>
  <c r="R61" i="83"/>
  <c r="AA61" i="83" s="1"/>
  <c r="R62" i="83"/>
  <c r="AA62" i="83" s="1"/>
  <c r="S62" i="83"/>
  <c r="U62" i="83"/>
  <c r="R63" i="83"/>
  <c r="AA63" i="83" s="1"/>
  <c r="S63" i="83"/>
  <c r="U63" i="83"/>
  <c r="R45" i="83"/>
  <c r="AA45" i="83" s="1"/>
  <c r="S45" i="83"/>
  <c r="U45" i="83"/>
  <c r="R46" i="83"/>
  <c r="AA46" i="83" s="1"/>
  <c r="S46" i="83"/>
  <c r="U46" i="83"/>
  <c r="R48" i="83"/>
  <c r="AA48" i="83" s="1"/>
  <c r="S48" i="83"/>
  <c r="R49" i="83"/>
  <c r="AA49" i="83" s="1"/>
  <c r="S49" i="83"/>
  <c r="U49" i="83"/>
  <c r="R50" i="83"/>
  <c r="AA50" i="83" s="1"/>
  <c r="S50" i="83"/>
  <c r="U50" i="83"/>
  <c r="R51" i="83"/>
  <c r="AA51" i="83" s="1"/>
  <c r="S51" i="83"/>
  <c r="U51" i="83"/>
  <c r="R52" i="83"/>
  <c r="AA52" i="83" s="1"/>
  <c r="U52" i="83"/>
  <c r="R53" i="83"/>
  <c r="AA53" i="83" s="1"/>
  <c r="U53" i="83"/>
  <c r="R40" i="83"/>
  <c r="AA40" i="83" s="1"/>
  <c r="S40" i="83"/>
  <c r="U40" i="83"/>
  <c r="R32" i="83"/>
  <c r="AA32" i="83" s="1"/>
  <c r="S32" i="83"/>
  <c r="U32" i="83"/>
  <c r="R33" i="83"/>
  <c r="AA33" i="83" s="1"/>
  <c r="S33" i="83"/>
  <c r="U33" i="83"/>
  <c r="R34" i="83"/>
  <c r="AA34" i="83" s="1"/>
  <c r="U35" i="83"/>
  <c r="R36" i="83"/>
  <c r="AA36" i="83" s="1"/>
  <c r="S36" i="83"/>
  <c r="U36" i="83"/>
  <c r="U31" i="83"/>
  <c r="S31" i="83"/>
  <c r="R31" i="83"/>
  <c r="AA31" i="83" s="1"/>
  <c r="U28" i="83"/>
  <c r="P80" i="83"/>
  <c r="N80" i="83"/>
  <c r="N83" i="83" s="1"/>
  <c r="P9" i="83"/>
  <c r="K80" i="83"/>
  <c r="I80" i="83"/>
  <c r="S75" i="83"/>
  <c r="S61" i="83"/>
  <c r="BA31" i="82"/>
  <c r="BB10" i="82"/>
  <c r="BC10" i="82"/>
  <c r="BD10" i="82"/>
  <c r="BE10" i="82"/>
  <c r="BA10" i="82"/>
  <c r="AW10" i="82"/>
  <c r="AX10" i="82"/>
  <c r="AY10" i="82"/>
  <c r="AZ10" i="82"/>
  <c r="AV10" i="82"/>
  <c r="AM84" i="82"/>
  <c r="AN84" i="82"/>
  <c r="AO84" i="82"/>
  <c r="AM87" i="82"/>
  <c r="AN87" i="82"/>
  <c r="AO87" i="82"/>
  <c r="AM46" i="82"/>
  <c r="AM43" i="82"/>
  <c r="AN43" i="82"/>
  <c r="AO43" i="82"/>
  <c r="AM33" i="82"/>
  <c r="AN33" i="82"/>
  <c r="AO33" i="82"/>
  <c r="AM34" i="82"/>
  <c r="AN34" i="82"/>
  <c r="AO34" i="82"/>
  <c r="AM11" i="82"/>
  <c r="AN11" i="82"/>
  <c r="AO11" i="82"/>
  <c r="AP11" i="82"/>
  <c r="AM19" i="82"/>
  <c r="AN19" i="82"/>
  <c r="AO19" i="82"/>
  <c r="AP19" i="82"/>
  <c r="AM10" i="82"/>
  <c r="AN10" i="82"/>
  <c r="AO10" i="82"/>
  <c r="AP10" i="82"/>
  <c r="AL10" i="82"/>
  <c r="AI87" i="82"/>
  <c r="AI84" i="82"/>
  <c r="AI43" i="82"/>
  <c r="AI46" i="82"/>
  <c r="AI33" i="82"/>
  <c r="AI34" i="82"/>
  <c r="AI11" i="82"/>
  <c r="AI19" i="82"/>
  <c r="AH10" i="82"/>
  <c r="AI10" i="82"/>
  <c r="AJ10" i="82"/>
  <c r="AK10" i="82"/>
  <c r="AG10" i="82"/>
  <c r="AJ11" i="82"/>
  <c r="AJ19" i="82"/>
  <c r="AJ33" i="82"/>
  <c r="AJ34" i="82"/>
  <c r="AJ43" i="82"/>
  <c r="AJ46" i="82"/>
  <c r="AJ84" i="82"/>
  <c r="AC10" i="82"/>
  <c r="AR10" i="82" s="1"/>
  <c r="AD10" i="82"/>
  <c r="AS10" i="82" s="1"/>
  <c r="AE10" i="82"/>
  <c r="AT10" i="82" s="1"/>
  <c r="AF10" i="82"/>
  <c r="AU10" i="82" s="1"/>
  <c r="AB10" i="82"/>
  <c r="AQ10" i="82" s="1"/>
  <c r="Z10" i="82"/>
  <c r="AA10" i="82"/>
  <c r="W10" i="82"/>
  <c r="P10" i="82"/>
  <c r="Q10" i="82"/>
  <c r="M10" i="82"/>
  <c r="BA90" i="82"/>
  <c r="BA39" i="82"/>
  <c r="K10" i="82"/>
  <c r="U10" i="82" s="1"/>
  <c r="L10" i="82"/>
  <c r="V10" i="82" s="1"/>
  <c r="H10" i="82"/>
  <c r="G11" i="82"/>
  <c r="G29" i="82" s="1"/>
  <c r="F11" i="82"/>
  <c r="F29" i="82" s="1"/>
  <c r="F8" i="39"/>
  <c r="C8" i="39"/>
  <c r="D8" i="39"/>
  <c r="E8" i="39"/>
  <c r="G7" i="58"/>
  <c r="D7" i="58"/>
  <c r="E7" i="58"/>
  <c r="F7" i="58"/>
  <c r="G7" i="57"/>
  <c r="D7" i="57"/>
  <c r="E7" i="57"/>
  <c r="F7" i="57"/>
  <c r="F117" i="96"/>
  <c r="F9" i="96"/>
  <c r="F11" i="96"/>
  <c r="F91" i="96"/>
  <c r="F96" i="96"/>
  <c r="F146" i="96"/>
  <c r="F162" i="96"/>
  <c r="F183" i="96"/>
  <c r="E38" i="81"/>
  <c r="F38" i="81" s="1"/>
  <c r="AY84" i="82"/>
  <c r="AZ84" i="82"/>
  <c r="AY87" i="82"/>
  <c r="AZ87" i="82"/>
  <c r="AP33" i="82"/>
  <c r="AP34" i="82"/>
  <c r="AP43" i="82"/>
  <c r="AP84" i="82"/>
  <c r="AP87" i="82"/>
  <c r="AH33" i="82"/>
  <c r="AK33" i="82"/>
  <c r="AH34" i="82"/>
  <c r="AK34" i="82"/>
  <c r="AH43" i="82"/>
  <c r="AK43" i="82"/>
  <c r="AH46" i="82"/>
  <c r="AK46" i="82"/>
  <c r="AH84" i="82"/>
  <c r="AK84" i="82"/>
  <c r="AH87" i="82"/>
  <c r="AE43" i="82"/>
  <c r="AF43" i="82"/>
  <c r="AE46" i="82"/>
  <c r="AC84" i="82"/>
  <c r="AE84" i="82"/>
  <c r="AF84" i="82"/>
  <c r="AC87" i="82"/>
  <c r="Q80" i="83"/>
  <c r="Q83" i="83" s="1"/>
  <c r="L80" i="83"/>
  <c r="L83" i="83" s="1"/>
  <c r="F159" i="96"/>
  <c r="F158" i="96"/>
  <c r="F155" i="96"/>
  <c r="F154" i="96"/>
  <c r="F51" i="96"/>
  <c r="F78" i="96"/>
  <c r="F153" i="96"/>
  <c r="D18" i="53"/>
  <c r="D26" i="53" s="1"/>
  <c r="M26" i="83"/>
  <c r="D34" i="81"/>
  <c r="E34" i="81" s="1"/>
  <c r="D10" i="95"/>
  <c r="G10" i="95"/>
  <c r="M10" i="95"/>
  <c r="J10" i="95"/>
  <c r="N10" i="95"/>
  <c r="O10" i="95"/>
  <c r="D11" i="95"/>
  <c r="G11" i="95"/>
  <c r="J11" i="95"/>
  <c r="M11" i="95"/>
  <c r="N11" i="95"/>
  <c r="O11" i="95"/>
  <c r="D12" i="95"/>
  <c r="G12" i="95"/>
  <c r="M12" i="95"/>
  <c r="J12" i="95"/>
  <c r="N12" i="95"/>
  <c r="O12" i="95"/>
  <c r="D13" i="95"/>
  <c r="G13" i="95"/>
  <c r="J13" i="95"/>
  <c r="M13" i="95"/>
  <c r="N13" i="95"/>
  <c r="O13" i="95"/>
  <c r="D14" i="95"/>
  <c r="G14" i="95"/>
  <c r="M14" i="95"/>
  <c r="J14" i="95"/>
  <c r="N14" i="95"/>
  <c r="O14" i="95"/>
  <c r="B15" i="95"/>
  <c r="C15" i="95"/>
  <c r="E15" i="95"/>
  <c r="E27" i="95"/>
  <c r="F15" i="95"/>
  <c r="H15" i="95"/>
  <c r="I15" i="95"/>
  <c r="K15" i="95"/>
  <c r="K27" i="95"/>
  <c r="L15" i="95"/>
  <c r="D16" i="95"/>
  <c r="G16" i="95"/>
  <c r="J16" i="95"/>
  <c r="M16" i="95"/>
  <c r="N16" i="95"/>
  <c r="O16" i="95"/>
  <c r="B17" i="95"/>
  <c r="C17" i="95"/>
  <c r="C27" i="95" s="1"/>
  <c r="G17" i="95"/>
  <c r="H17" i="95"/>
  <c r="H27" i="95" s="1"/>
  <c r="I17" i="95"/>
  <c r="M17" i="95"/>
  <c r="D18" i="95"/>
  <c r="M18" i="95"/>
  <c r="J18" i="95"/>
  <c r="G18" i="95"/>
  <c r="N18" i="95"/>
  <c r="O18" i="95"/>
  <c r="D19" i="95"/>
  <c r="G19" i="95"/>
  <c r="J19" i="95"/>
  <c r="M19" i="95"/>
  <c r="N19" i="95"/>
  <c r="O19" i="95"/>
  <c r="D20" i="95"/>
  <c r="G20" i="95"/>
  <c r="J20" i="95"/>
  <c r="M20" i="95"/>
  <c r="N20" i="95"/>
  <c r="O20" i="95"/>
  <c r="D21" i="95"/>
  <c r="F21" i="95"/>
  <c r="O21" i="95" s="1"/>
  <c r="J21" i="95"/>
  <c r="M21" i="95"/>
  <c r="N21" i="95"/>
  <c r="D22" i="95"/>
  <c r="F22" i="95"/>
  <c r="G22" i="95" s="1"/>
  <c r="I22" i="95"/>
  <c r="M22" i="95"/>
  <c r="N22" i="95"/>
  <c r="D23" i="95"/>
  <c r="G23" i="95"/>
  <c r="J23" i="95"/>
  <c r="M23" i="95"/>
  <c r="N23" i="95"/>
  <c r="O23" i="95"/>
  <c r="D24" i="95"/>
  <c r="G24" i="95"/>
  <c r="J24" i="95"/>
  <c r="M24" i="95"/>
  <c r="N24" i="95"/>
  <c r="O24" i="95"/>
  <c r="D25" i="95"/>
  <c r="G25" i="95"/>
  <c r="J25" i="95"/>
  <c r="M25" i="95"/>
  <c r="N25" i="95"/>
  <c r="O25" i="95"/>
  <c r="D26" i="95"/>
  <c r="F26" i="95"/>
  <c r="G26" i="95" s="1"/>
  <c r="I26" i="95"/>
  <c r="J26" i="95" s="1"/>
  <c r="M26" i="95"/>
  <c r="N26" i="95"/>
  <c r="E35" i="95"/>
  <c r="F35" i="95" s="1"/>
  <c r="L27" i="95"/>
  <c r="D28" i="95"/>
  <c r="P28" i="95" s="1"/>
  <c r="N28" i="95"/>
  <c r="O28" i="95"/>
  <c r="P31" i="95"/>
  <c r="B35" i="95"/>
  <c r="C35" i="95" s="1"/>
  <c r="H35" i="95"/>
  <c r="I35" i="95" s="1"/>
  <c r="K35" i="95"/>
  <c r="L35" i="95" s="1"/>
  <c r="P35" i="95"/>
  <c r="N35" i="95" s="1"/>
  <c r="O35" i="95" s="1"/>
  <c r="D8" i="97"/>
  <c r="E8" i="97"/>
  <c r="F8" i="97"/>
  <c r="D56" i="97"/>
  <c r="E56" i="97"/>
  <c r="F56" i="97"/>
  <c r="C59" i="97"/>
  <c r="D59" i="97"/>
  <c r="E59" i="97"/>
  <c r="F59" i="97"/>
  <c r="D60" i="97"/>
  <c r="E60" i="97"/>
  <c r="F60" i="97"/>
  <c r="N9" i="53"/>
  <c r="H18" i="53"/>
  <c r="H26" i="53" s="1"/>
  <c r="K18" i="53"/>
  <c r="N11" i="53"/>
  <c r="M18" i="53"/>
  <c r="N13" i="53"/>
  <c r="N14" i="53"/>
  <c r="N15" i="53"/>
  <c r="N20" i="53"/>
  <c r="N21" i="53"/>
  <c r="N23" i="53"/>
  <c r="Q9" i="83"/>
  <c r="H9" i="83"/>
  <c r="M9" i="83" s="1"/>
  <c r="R9" i="83"/>
  <c r="M29" i="83"/>
  <c r="R82" i="83"/>
  <c r="AA82" i="83" s="1"/>
  <c r="R84" i="83"/>
  <c r="AA84" i="83" s="1"/>
  <c r="N11" i="82"/>
  <c r="O11" i="82"/>
  <c r="P11" i="82"/>
  <c r="Q11" i="82"/>
  <c r="AH11" i="82"/>
  <c r="AK11" i="82"/>
  <c r="N19" i="82"/>
  <c r="O19" i="82"/>
  <c r="P19" i="82"/>
  <c r="Q19" i="82"/>
  <c r="AH19" i="82"/>
  <c r="AK19" i="82"/>
  <c r="N33" i="82"/>
  <c r="O33" i="82"/>
  <c r="P33" i="82"/>
  <c r="Q33" i="82"/>
  <c r="N34" i="82"/>
  <c r="O34" i="82"/>
  <c r="O96" i="82" s="1"/>
  <c r="P34" i="82"/>
  <c r="Q34" i="82"/>
  <c r="N43" i="82"/>
  <c r="P43" i="82"/>
  <c r="Q43" i="82"/>
  <c r="B18" i="81"/>
  <c r="B26" i="81" s="1"/>
  <c r="B34" i="81" s="1"/>
  <c r="B42" i="81" s="1"/>
  <c r="B50" i="81" s="1"/>
  <c r="B58" i="81" s="1"/>
  <c r="E19" i="81"/>
  <c r="E20" i="81"/>
  <c r="E21" i="81"/>
  <c r="E22" i="81"/>
  <c r="F22" i="81" s="1"/>
  <c r="E23" i="81"/>
  <c r="B86" i="81"/>
  <c r="B94" i="81"/>
  <c r="B101" i="81" s="1"/>
  <c r="B108" i="81" s="1"/>
  <c r="B115" i="81" s="1"/>
  <c r="B122" i="81" s="1"/>
  <c r="B129" i="81" s="1"/>
  <c r="B136" i="81" s="1"/>
  <c r="B143" i="81" s="1"/>
  <c r="N18" i="80"/>
  <c r="N19" i="80"/>
  <c r="B8" i="39"/>
  <c r="C7" i="58"/>
  <c r="C38" i="58"/>
  <c r="C39" i="58"/>
  <c r="C106" i="57" s="1"/>
  <c r="C7" i="57"/>
  <c r="B104" i="57"/>
  <c r="B105" i="57"/>
  <c r="C109" i="57"/>
  <c r="D131" i="57"/>
  <c r="D130" i="57" s="1"/>
  <c r="F57" i="36"/>
  <c r="G57" i="36"/>
  <c r="F58" i="36"/>
  <c r="J19" i="99" s="1"/>
  <c r="J13" i="99" s="1"/>
  <c r="J47" i="99" s="1"/>
  <c r="G58" i="36"/>
  <c r="J21" i="99" s="1"/>
  <c r="D59" i="36"/>
  <c r="E59" i="36"/>
  <c r="F59" i="36"/>
  <c r="G59" i="36"/>
  <c r="E8" i="96"/>
  <c r="F12" i="96"/>
  <c r="F14" i="96"/>
  <c r="F21" i="96"/>
  <c r="F23" i="96"/>
  <c r="F24" i="96"/>
  <c r="F26" i="96"/>
  <c r="F28" i="96"/>
  <c r="F29" i="96"/>
  <c r="F30" i="96"/>
  <c r="D31" i="96"/>
  <c r="E31" i="96"/>
  <c r="F32" i="96"/>
  <c r="F33" i="96"/>
  <c r="F34" i="96"/>
  <c r="F35" i="96"/>
  <c r="F36" i="96"/>
  <c r="D37" i="96"/>
  <c r="E37" i="96"/>
  <c r="F38" i="96"/>
  <c r="F39" i="96"/>
  <c r="F41" i="96"/>
  <c r="D42" i="96"/>
  <c r="E42" i="96"/>
  <c r="F43" i="96"/>
  <c r="F46" i="96"/>
  <c r="F48" i="96"/>
  <c r="F50" i="96"/>
  <c r="E55" i="96"/>
  <c r="D62" i="96"/>
  <c r="E62" i="96"/>
  <c r="F63" i="96"/>
  <c r="F62" i="96" s="1"/>
  <c r="D66" i="96"/>
  <c r="D65" i="96" s="1"/>
  <c r="E66" i="96"/>
  <c r="E65" i="96" s="1"/>
  <c r="F67" i="96"/>
  <c r="F66" i="96" s="1"/>
  <c r="F69" i="96"/>
  <c r="D70" i="96"/>
  <c r="E70" i="96"/>
  <c r="F71" i="96"/>
  <c r="F70" i="96" s="1"/>
  <c r="F75" i="96"/>
  <c r="F81" i="96"/>
  <c r="F82" i="96"/>
  <c r="F83" i="96"/>
  <c r="F98" i="96"/>
  <c r="F99" i="96"/>
  <c r="F105" i="96"/>
  <c r="F106" i="96"/>
  <c r="F118" i="96"/>
  <c r="F119" i="96"/>
  <c r="F137" i="96"/>
  <c r="F142" i="96"/>
  <c r="F148" i="96"/>
  <c r="F157" i="96"/>
  <c r="F163" i="96"/>
  <c r="F168" i="96"/>
  <c r="F170" i="96"/>
  <c r="F180" i="96"/>
  <c r="F181" i="96"/>
  <c r="F182" i="96"/>
  <c r="F184" i="96"/>
  <c r="F185" i="96"/>
  <c r="F186" i="96"/>
  <c r="F187" i="96"/>
  <c r="E188" i="96"/>
  <c r="E169" i="96" s="1"/>
  <c r="F189" i="96"/>
  <c r="F190" i="96"/>
  <c r="F192" i="96"/>
  <c r="D193" i="96"/>
  <c r="E193" i="96"/>
  <c r="F194" i="96"/>
  <c r="F193" i="96" s="1"/>
  <c r="E18" i="53"/>
  <c r="E26" i="53" s="1"/>
  <c r="L18" i="53"/>
  <c r="L26" i="53" s="1"/>
  <c r="J18" i="53"/>
  <c r="J26" i="53" s="1"/>
  <c r="N12" i="53"/>
  <c r="B25" i="53"/>
  <c r="D8" i="96"/>
  <c r="F27" i="96"/>
  <c r="F18" i="53"/>
  <c r="N25" i="80"/>
  <c r="I18" i="53"/>
  <c r="I26" i="53" s="1"/>
  <c r="G18" i="53"/>
  <c r="G26" i="53" s="1"/>
  <c r="F147" i="81"/>
  <c r="C18" i="53"/>
  <c r="C26" i="53" s="1"/>
  <c r="F179" i="96"/>
  <c r="F161" i="96"/>
  <c r="N20" i="80"/>
  <c r="E46" i="81"/>
  <c r="F46" i="81" s="1"/>
  <c r="E54" i="81"/>
  <c r="F54" i="81" s="1"/>
  <c r="E112" i="81"/>
  <c r="N10" i="53"/>
  <c r="L27" i="99"/>
  <c r="L20" i="99"/>
  <c r="G20" i="99"/>
  <c r="J19" i="80"/>
  <c r="C84" i="81"/>
  <c r="F140" i="81"/>
  <c r="U75" i="83"/>
  <c r="S64" i="83"/>
  <c r="V65" i="83"/>
  <c r="V68" i="83"/>
  <c r="V60" i="83"/>
  <c r="U64" i="83"/>
  <c r="U65" i="83"/>
  <c r="C29" i="83"/>
  <c r="H26" i="83"/>
  <c r="S27" i="83"/>
  <c r="V27" i="83"/>
  <c r="AN46" i="82"/>
  <c r="D58" i="36"/>
  <c r="J17" i="99" s="1"/>
  <c r="J11" i="99" s="1"/>
  <c r="J45" i="99" s="1"/>
  <c r="S30" i="83"/>
  <c r="S67" i="83"/>
  <c r="F85" i="96"/>
  <c r="AO46" i="82"/>
  <c r="I20" i="80"/>
  <c r="I14" i="80" s="1"/>
  <c r="G22" i="36"/>
  <c r="D22" i="36"/>
  <c r="I16" i="80"/>
  <c r="I10" i="80" s="1"/>
  <c r="V67" i="83"/>
  <c r="V39" i="83"/>
  <c r="U47" i="83"/>
  <c r="D46" i="36"/>
  <c r="I18" i="80"/>
  <c r="I12" i="80" s="1"/>
  <c r="V61" i="83"/>
  <c r="Q79" i="83"/>
  <c r="D57" i="36"/>
  <c r="H29" i="83"/>
  <c r="N79" i="83"/>
  <c r="BA88" i="82"/>
  <c r="U67" i="83"/>
  <c r="G29" i="36"/>
  <c r="S47" i="83"/>
  <c r="D55" i="96"/>
  <c r="D74" i="96"/>
  <c r="F90" i="96"/>
  <c r="G62" i="36"/>
  <c r="G60" i="36" s="1"/>
  <c r="C62" i="81" s="1"/>
  <c r="H191" i="96"/>
  <c r="BB32" i="82"/>
  <c r="AP46" i="82"/>
  <c r="F141" i="96"/>
  <c r="D50" i="36"/>
  <c r="D62" i="36"/>
  <c r="D60" i="36" s="1"/>
  <c r="C59" i="81" s="1"/>
  <c r="I96" i="82"/>
  <c r="I100" i="82" s="1"/>
  <c r="I102" i="82" s="1"/>
  <c r="BB44" i="82"/>
  <c r="BD40" i="82"/>
  <c r="I28" i="99"/>
  <c r="I15" i="99" s="1"/>
  <c r="I49" i="99" s="1"/>
  <c r="M16" i="80"/>
  <c r="BD35" i="82"/>
  <c r="BE45" i="82"/>
  <c r="BB37" i="82"/>
  <c r="AC46" i="82"/>
  <c r="T30" i="83"/>
  <c r="C35" i="39"/>
  <c r="B37" i="99"/>
  <c r="B31" i="99" s="1"/>
  <c r="U30" i="83"/>
  <c r="F29" i="36"/>
  <c r="BD30" i="82"/>
  <c r="AF46" i="82"/>
  <c r="F18" i="80"/>
  <c r="BE44" i="82"/>
  <c r="F77" i="96"/>
  <c r="BA89" i="82"/>
  <c r="V47" i="83"/>
  <c r="N17" i="53"/>
  <c r="E124" i="57" l="1"/>
  <c r="E70" i="36" s="1"/>
  <c r="O19" i="80"/>
  <c r="J22" i="80"/>
  <c r="O22" i="80" s="1"/>
  <c r="C64" i="39"/>
  <c r="C123" i="81"/>
  <c r="F123" i="81" s="1"/>
  <c r="D124" i="57"/>
  <c r="C50" i="36"/>
  <c r="C17" i="102" s="1"/>
  <c r="I16" i="99"/>
  <c r="C146" i="81"/>
  <c r="F146" i="81" s="1"/>
  <c r="AA87" i="83"/>
  <c r="D42" i="81"/>
  <c r="E42" i="81" s="1"/>
  <c r="F42" i="81" s="1"/>
  <c r="C82" i="36"/>
  <c r="H15" i="80" s="1"/>
  <c r="H9" i="80" s="1"/>
  <c r="H42" i="80" s="1"/>
  <c r="AA89" i="83"/>
  <c r="D10" i="81"/>
  <c r="AA68" i="83"/>
  <c r="E129" i="81"/>
  <c r="AA78" i="83"/>
  <c r="AN29" i="82"/>
  <c r="D134" i="81"/>
  <c r="E134" i="81" s="1"/>
  <c r="N38" i="80"/>
  <c r="B83" i="81"/>
  <c r="B97" i="81"/>
  <c r="B104" i="81" s="1"/>
  <c r="B111" i="81" s="1"/>
  <c r="B118" i="81" s="1"/>
  <c r="B125" i="81" s="1"/>
  <c r="B132" i="81" s="1"/>
  <c r="B139" i="81" s="1"/>
  <c r="B146" i="81" s="1"/>
  <c r="G13" i="100"/>
  <c r="C29" i="95"/>
  <c r="O25" i="80"/>
  <c r="BC19" i="82"/>
  <c r="G21" i="95"/>
  <c r="P21" i="95" s="1"/>
  <c r="G15" i="95"/>
  <c r="D15" i="95"/>
  <c r="P25" i="95"/>
  <c r="B82" i="81"/>
  <c r="I27" i="95"/>
  <c r="I36" i="95" s="1"/>
  <c r="P19" i="95"/>
  <c r="H36" i="95"/>
  <c r="P47" i="80"/>
  <c r="M27" i="95"/>
  <c r="M36" i="95" s="1"/>
  <c r="O26" i="95"/>
  <c r="H29" i="95"/>
  <c r="L36" i="95"/>
  <c r="M15" i="95"/>
  <c r="M33" i="95" s="1"/>
  <c r="F27" i="95"/>
  <c r="F29" i="95" s="1"/>
  <c r="B73" i="81"/>
  <c r="B87" i="81" s="1"/>
  <c r="J22" i="95"/>
  <c r="P22" i="95" s="1"/>
  <c r="AA71" i="82"/>
  <c r="Z71" i="82"/>
  <c r="BB19" i="82"/>
  <c r="BE19" i="82"/>
  <c r="BD19" i="82"/>
  <c r="C11" i="102"/>
  <c r="O15" i="95"/>
  <c r="BE43" i="82"/>
  <c r="F55" i="97"/>
  <c r="F54" i="97" s="1"/>
  <c r="F63" i="97" s="1"/>
  <c r="L46" i="80"/>
  <c r="E46" i="80"/>
  <c r="P42" i="80"/>
  <c r="X46" i="82"/>
  <c r="BC43" i="82"/>
  <c r="R94" i="83"/>
  <c r="AA94" i="83" s="1"/>
  <c r="F39" i="99"/>
  <c r="F33" i="99" s="1"/>
  <c r="F38" i="99"/>
  <c r="F32" i="99" s="1"/>
  <c r="F18" i="99"/>
  <c r="F12" i="99" s="1"/>
  <c r="R64" i="83"/>
  <c r="AA64" i="83" s="1"/>
  <c r="I43" i="80"/>
  <c r="C62" i="36"/>
  <c r="C60" i="36" s="1"/>
  <c r="K23" i="99"/>
  <c r="K10" i="99" s="1"/>
  <c r="K44" i="99" s="1"/>
  <c r="L18" i="99"/>
  <c r="L12" i="99" s="1"/>
  <c r="L46" i="99" s="1"/>
  <c r="J12" i="99"/>
  <c r="J46" i="99" s="1"/>
  <c r="I46" i="80"/>
  <c r="J13" i="80"/>
  <c r="P43" i="80"/>
  <c r="I45" i="80"/>
  <c r="I47" i="80"/>
  <c r="G14" i="99"/>
  <c r="F76" i="81"/>
  <c r="F90" i="81" s="1"/>
  <c r="D70" i="81"/>
  <c r="E70" i="81" s="1"/>
  <c r="G54" i="81" s="1"/>
  <c r="B76" i="81"/>
  <c r="B90" i="81" s="1"/>
  <c r="B99" i="81"/>
  <c r="B106" i="81" s="1"/>
  <c r="B113" i="81" s="1"/>
  <c r="B120" i="81" s="1"/>
  <c r="B127" i="81" s="1"/>
  <c r="B134" i="81" s="1"/>
  <c r="B141" i="81" s="1"/>
  <c r="B148" i="81" s="1"/>
  <c r="D46" i="80"/>
  <c r="B84" i="81"/>
  <c r="M27" i="99"/>
  <c r="P18" i="95"/>
  <c r="O17" i="95"/>
  <c r="N17" i="95"/>
  <c r="N27" i="95" s="1"/>
  <c r="P16" i="95"/>
  <c r="K36" i="95"/>
  <c r="P11" i="95"/>
  <c r="BC84" i="82"/>
  <c r="BC34" i="82"/>
  <c r="R47" i="83"/>
  <c r="AA47" i="83" s="1"/>
  <c r="P24" i="95"/>
  <c r="U80" i="83"/>
  <c r="L29" i="95"/>
  <c r="BC89" i="82"/>
  <c r="BC87" i="82"/>
  <c r="E36" i="81"/>
  <c r="F21" i="99"/>
  <c r="F15" i="99" s="1"/>
  <c r="F49" i="99" s="1"/>
  <c r="E47" i="81"/>
  <c r="F47" i="81" s="1"/>
  <c r="E132" i="81"/>
  <c r="BB47" i="82"/>
  <c r="BE34" i="82"/>
  <c r="P26" i="95"/>
  <c r="G40" i="99"/>
  <c r="M40" i="99" s="1"/>
  <c r="B34" i="99"/>
  <c r="B48" i="99" s="1"/>
  <c r="BD84" i="82"/>
  <c r="M10" i="80"/>
  <c r="M43" i="80" s="1"/>
  <c r="L21" i="99"/>
  <c r="J15" i="99"/>
  <c r="J49" i="99" s="1"/>
  <c r="K29" i="95"/>
  <c r="P12" i="95"/>
  <c r="AM29" i="82"/>
  <c r="AN96" i="82"/>
  <c r="M22" i="99"/>
  <c r="P46" i="80"/>
  <c r="J17" i="95"/>
  <c r="F144" i="81"/>
  <c r="C103" i="58"/>
  <c r="M46" i="80"/>
  <c r="G46" i="80"/>
  <c r="N32" i="80"/>
  <c r="P45" i="80"/>
  <c r="C46" i="80"/>
  <c r="F46" i="80"/>
  <c r="B46" i="80"/>
  <c r="H46" i="80"/>
  <c r="N13" i="80"/>
  <c r="L14" i="99"/>
  <c r="K46" i="80"/>
  <c r="B81" i="81"/>
  <c r="B74" i="81"/>
  <c r="B88" i="81" s="1"/>
  <c r="M29" i="99"/>
  <c r="J38" i="80"/>
  <c r="B85" i="81"/>
  <c r="F84" i="81"/>
  <c r="R30" i="83"/>
  <c r="AA30" i="83" s="1"/>
  <c r="E45" i="81"/>
  <c r="F45" i="81" s="1"/>
  <c r="V80" i="83"/>
  <c r="E43" i="81"/>
  <c r="F43" i="81" s="1"/>
  <c r="E130" i="81"/>
  <c r="R39" i="83"/>
  <c r="AA39" i="83" s="1"/>
  <c r="F17" i="99"/>
  <c r="F11" i="99" s="1"/>
  <c r="F37" i="99"/>
  <c r="F31" i="99" s="1"/>
  <c r="R80" i="83"/>
  <c r="AA80" i="83" s="1"/>
  <c r="F19" i="99"/>
  <c r="F13" i="99" s="1"/>
  <c r="E39" i="81"/>
  <c r="F58" i="96"/>
  <c r="F65" i="96"/>
  <c r="F64" i="96" s="1"/>
  <c r="AV29" i="82"/>
  <c r="O29" i="82"/>
  <c r="O100" i="82" s="1"/>
  <c r="O102" i="82" s="1"/>
  <c r="AI29" i="82"/>
  <c r="AJ29" i="82"/>
  <c r="BF84" i="82"/>
  <c r="D64" i="96"/>
  <c r="F188" i="96"/>
  <c r="F169" i="96" s="1"/>
  <c r="E64" i="96"/>
  <c r="BA84" i="82"/>
  <c r="P29" i="82"/>
  <c r="AF96" i="82"/>
  <c r="AF100" i="82" s="1"/>
  <c r="AF102" i="82" s="1"/>
  <c r="C124" i="81"/>
  <c r="C125" i="81"/>
  <c r="E18" i="80" s="1"/>
  <c r="E12" i="80" s="1"/>
  <c r="E45" i="80" s="1"/>
  <c r="AD102" i="82"/>
  <c r="AO96" i="82"/>
  <c r="AE96" i="82"/>
  <c r="AE100" i="82" s="1"/>
  <c r="AE102" i="82" s="1"/>
  <c r="P96" i="82"/>
  <c r="AG29" i="82"/>
  <c r="M29" i="82"/>
  <c r="AJ96" i="82"/>
  <c r="BF33" i="82"/>
  <c r="C34" i="82"/>
  <c r="C87" i="82"/>
  <c r="BA87" i="82" s="1"/>
  <c r="AY96" i="82"/>
  <c r="AY100" i="82" s="1"/>
  <c r="AY102" i="82" s="1"/>
  <c r="BF87" i="82"/>
  <c r="AI96" i="82"/>
  <c r="C66" i="58"/>
  <c r="C74" i="97" s="1"/>
  <c r="C71" i="57"/>
  <c r="C22" i="36" s="1"/>
  <c r="D56" i="36"/>
  <c r="C29" i="97"/>
  <c r="C46" i="97"/>
  <c r="C12" i="57"/>
  <c r="C11" i="57" s="1"/>
  <c r="C30" i="57"/>
  <c r="C28" i="57" s="1"/>
  <c r="C26" i="57" s="1"/>
  <c r="D73" i="96"/>
  <c r="D195" i="96" s="1"/>
  <c r="F8" i="96"/>
  <c r="S29" i="83"/>
  <c r="D120" i="57" s="1"/>
  <c r="V29" i="83"/>
  <c r="V26" i="83"/>
  <c r="F28" i="80"/>
  <c r="E131" i="81"/>
  <c r="D15" i="81"/>
  <c r="E13" i="81"/>
  <c r="B39" i="99"/>
  <c r="M26" i="80"/>
  <c r="M14" i="80" s="1"/>
  <c r="M47" i="80" s="1"/>
  <c r="C46" i="57"/>
  <c r="I83" i="83"/>
  <c r="E11" i="81"/>
  <c r="H84" i="81"/>
  <c r="F112" i="81"/>
  <c r="G84" i="81" s="1"/>
  <c r="D7" i="96"/>
  <c r="F42" i="96"/>
  <c r="F37" i="96"/>
  <c r="F31" i="96"/>
  <c r="E7" i="96"/>
  <c r="P20" i="95"/>
  <c r="S26" i="83"/>
  <c r="D117" i="57" s="1"/>
  <c r="E36" i="95"/>
  <c r="S80" i="83"/>
  <c r="AO29" i="82"/>
  <c r="M20" i="99"/>
  <c r="AK29" i="82"/>
  <c r="Q29" i="82"/>
  <c r="E55" i="97"/>
  <c r="E54" i="97" s="1"/>
  <c r="E63" i="97" s="1"/>
  <c r="D17" i="95"/>
  <c r="B27" i="95"/>
  <c r="B36" i="95" s="1"/>
  <c r="AH29" i="82"/>
  <c r="N29" i="82"/>
  <c r="D55" i="97"/>
  <c r="D54" i="97" s="1"/>
  <c r="D63" i="97" s="1"/>
  <c r="P23" i="95"/>
  <c r="O22" i="95"/>
  <c r="E29" i="95"/>
  <c r="J15" i="95"/>
  <c r="N15" i="95"/>
  <c r="H16" i="80"/>
  <c r="H10" i="80" s="1"/>
  <c r="H43" i="80" s="1"/>
  <c r="AH96" i="82"/>
  <c r="AP96" i="82"/>
  <c r="AZ96" i="82"/>
  <c r="AZ100" i="82" s="1"/>
  <c r="AZ102" i="82" s="1"/>
  <c r="I42" i="80"/>
  <c r="K96" i="82"/>
  <c r="K100" i="82" s="1"/>
  <c r="K102" i="82" s="1"/>
  <c r="F35" i="39"/>
  <c r="F26" i="80" s="1"/>
  <c r="J26" i="80" s="1"/>
  <c r="C13" i="58"/>
  <c r="AK96" i="82"/>
  <c r="U60" i="83"/>
  <c r="BE30" i="82"/>
  <c r="BE84" i="82"/>
  <c r="E35" i="39"/>
  <c r="F24" i="80" s="1"/>
  <c r="J24" i="80" s="1"/>
  <c r="N96" i="82"/>
  <c r="B38" i="99"/>
  <c r="P14" i="95"/>
  <c r="P10" i="95"/>
  <c r="AM96" i="82"/>
  <c r="D44" i="99"/>
  <c r="BE35" i="82"/>
  <c r="C76" i="83"/>
  <c r="C83" i="83" s="1"/>
  <c r="C58" i="36"/>
  <c r="J16" i="99"/>
  <c r="AC96" i="82"/>
  <c r="AC100" i="82" s="1"/>
  <c r="AC102" i="82" s="1"/>
  <c r="BA43" i="82"/>
  <c r="K26" i="53"/>
  <c r="F26" i="53"/>
  <c r="G56" i="36"/>
  <c r="C39" i="81" s="1"/>
  <c r="C31" i="81" s="1"/>
  <c r="D42" i="58"/>
  <c r="D16" i="36"/>
  <c r="C19" i="81" s="1"/>
  <c r="F19" i="81" s="1"/>
  <c r="C118" i="81"/>
  <c r="M24" i="80"/>
  <c r="M12" i="80" s="1"/>
  <c r="M45" i="80" s="1"/>
  <c r="C35" i="58"/>
  <c r="F62" i="36"/>
  <c r="F60" i="36" s="1"/>
  <c r="C61" i="81" s="1"/>
  <c r="F61" i="81" s="1"/>
  <c r="G76" i="36"/>
  <c r="C45" i="58"/>
  <c r="C44" i="58" s="1"/>
  <c r="C30" i="81"/>
  <c r="F30" i="81" s="1"/>
  <c r="F62" i="81"/>
  <c r="F148" i="81"/>
  <c r="L16" i="80"/>
  <c r="L26" i="80"/>
  <c r="L14" i="80" s="1"/>
  <c r="L47" i="80" s="1"/>
  <c r="H28" i="99"/>
  <c r="H15" i="99" s="1"/>
  <c r="H49" i="99" s="1"/>
  <c r="G42" i="58"/>
  <c r="C23" i="81"/>
  <c r="F23" i="81" s="1"/>
  <c r="K26" i="80"/>
  <c r="D100" i="58"/>
  <c r="F40" i="36"/>
  <c r="I26" i="99"/>
  <c r="I13" i="99" s="1"/>
  <c r="I47" i="99" s="1"/>
  <c r="C40" i="36"/>
  <c r="E40" i="36"/>
  <c r="C20" i="81" s="1"/>
  <c r="F20" i="81" s="1"/>
  <c r="L17" i="99"/>
  <c r="C62" i="97"/>
  <c r="C60" i="97" s="1"/>
  <c r="F56" i="36"/>
  <c r="H20" i="80"/>
  <c r="H14" i="80" s="1"/>
  <c r="H47" i="80" s="1"/>
  <c r="AB29" i="82"/>
  <c r="BA11" i="82"/>
  <c r="BD36" i="82"/>
  <c r="BD34" i="82"/>
  <c r="AW96" i="82"/>
  <c r="AW100" i="82" s="1"/>
  <c r="AW102" i="82" s="1"/>
  <c r="J96" i="82"/>
  <c r="C124" i="57"/>
  <c r="C70" i="97" s="1"/>
  <c r="C122" i="81"/>
  <c r="H96" i="82"/>
  <c r="BB33" i="82"/>
  <c r="BD44" i="82"/>
  <c r="BB11" i="82"/>
  <c r="BB34" i="82"/>
  <c r="BB40" i="82"/>
  <c r="S96" i="82"/>
  <c r="S100" i="82" s="1"/>
  <c r="S102" i="82" s="1"/>
  <c r="AG96" i="82"/>
  <c r="BB84" i="82"/>
  <c r="BD32" i="82"/>
  <c r="BD33" i="82"/>
  <c r="F119" i="57" s="1"/>
  <c r="C104" i="81" s="1"/>
  <c r="C18" i="80" s="1"/>
  <c r="C12" i="80" s="1"/>
  <c r="BE33" i="82"/>
  <c r="G119" i="57" s="1"/>
  <c r="C106" i="81" s="1"/>
  <c r="BF19" i="82"/>
  <c r="C19" i="82"/>
  <c r="BA44" i="82"/>
  <c r="BF43" i="82" s="1"/>
  <c r="Q96" i="82"/>
  <c r="AP29" i="82"/>
  <c r="V96" i="82"/>
  <c r="V100" i="82" s="1"/>
  <c r="V102" i="82" s="1"/>
  <c r="L96" i="82"/>
  <c r="U96" i="82"/>
  <c r="U100" i="82" s="1"/>
  <c r="U102" i="82" s="1"/>
  <c r="BB43" i="82"/>
  <c r="AL46" i="82"/>
  <c r="AL96" i="82" s="1"/>
  <c r="BF34" i="82"/>
  <c r="H29" i="82"/>
  <c r="W29" i="82"/>
  <c r="M96" i="82"/>
  <c r="AL29" i="82"/>
  <c r="BF11" i="82"/>
  <c r="C127" i="81"/>
  <c r="F127" i="81" s="1"/>
  <c r="R67" i="83"/>
  <c r="R29" i="83"/>
  <c r="B11" i="39"/>
  <c r="B10" i="39" s="1"/>
  <c r="B9" i="39" s="1"/>
  <c r="F36" i="99"/>
  <c r="F16" i="99" s="1"/>
  <c r="F10" i="99" s="1"/>
  <c r="D9" i="36"/>
  <c r="D113" i="57"/>
  <c r="F20" i="80"/>
  <c r="H26" i="99"/>
  <c r="H13" i="99" s="1"/>
  <c r="H47" i="99" s="1"/>
  <c r="F42" i="58"/>
  <c r="J21" i="80"/>
  <c r="F22" i="36"/>
  <c r="F59" i="81"/>
  <c r="BB101" i="82"/>
  <c r="K16" i="80"/>
  <c r="K10" i="80" s="1"/>
  <c r="C116" i="81"/>
  <c r="K24" i="80"/>
  <c r="U39" i="83"/>
  <c r="G8" i="36"/>
  <c r="D83" i="83"/>
  <c r="S76" i="83"/>
  <c r="D123" i="57" s="1"/>
  <c r="P13" i="95"/>
  <c r="L19" i="99"/>
  <c r="C36" i="95"/>
  <c r="E57" i="36"/>
  <c r="E56" i="36" s="1"/>
  <c r="E55" i="36" s="1"/>
  <c r="E54" i="36" s="1"/>
  <c r="C80" i="36"/>
  <c r="C87" i="58"/>
  <c r="U27" i="83"/>
  <c r="U29" i="83" s="1"/>
  <c r="E74" i="96"/>
  <c r="E73" i="96" s="1"/>
  <c r="E195" i="96" s="1"/>
  <c r="F76" i="96"/>
  <c r="F74" i="96" s="1"/>
  <c r="AV96" i="82"/>
  <c r="C33" i="82"/>
  <c r="BA33" i="82" s="1"/>
  <c r="C119" i="57" s="1"/>
  <c r="C101" i="81" s="1"/>
  <c r="C15" i="80" s="1"/>
  <c r="F13" i="100"/>
  <c r="E44" i="81"/>
  <c r="H76" i="83"/>
  <c r="AB96" i="82"/>
  <c r="R26" i="83"/>
  <c r="AA26" i="83" s="1"/>
  <c r="M147" i="82"/>
  <c r="W155" i="82" s="1"/>
  <c r="T29" i="83"/>
  <c r="E120" i="57" s="1"/>
  <c r="E29" i="36"/>
  <c r="E22" i="36"/>
  <c r="M76" i="83"/>
  <c r="M79" i="83" s="1"/>
  <c r="C57" i="97"/>
  <c r="T80" i="83"/>
  <c r="D117" i="81" s="1"/>
  <c r="K36" i="80" s="1"/>
  <c r="R96" i="82"/>
  <c r="C46" i="82"/>
  <c r="E70" i="97" l="1"/>
  <c r="E66" i="97" s="1"/>
  <c r="E65" i="97" s="1"/>
  <c r="E64" i="97" s="1"/>
  <c r="E87" i="97" s="1"/>
  <c r="AN100" i="82"/>
  <c r="AN102" i="82" s="1"/>
  <c r="E16" i="80"/>
  <c r="E10" i="80" s="1"/>
  <c r="E43" i="80" s="1"/>
  <c r="C35" i="81"/>
  <c r="F35" i="81" s="1"/>
  <c r="D70" i="36"/>
  <c r="D70" i="97"/>
  <c r="D66" i="97" s="1"/>
  <c r="D65" i="97" s="1"/>
  <c r="D64" i="97" s="1"/>
  <c r="D87" i="97" s="1"/>
  <c r="H15" i="102"/>
  <c r="C73" i="97"/>
  <c r="C72" i="97" s="1"/>
  <c r="F16" i="80"/>
  <c r="D126" i="57"/>
  <c r="D119" i="57"/>
  <c r="D118" i="57" s="1"/>
  <c r="D68" i="36" s="1"/>
  <c r="H12" i="102"/>
  <c r="C70" i="36"/>
  <c r="C16" i="102"/>
  <c r="C24" i="102"/>
  <c r="C16" i="36"/>
  <c r="C16" i="97" s="1"/>
  <c r="H16" i="99"/>
  <c r="H10" i="99" s="1"/>
  <c r="H44" i="99" s="1"/>
  <c r="N31" i="52"/>
  <c r="AA67" i="83"/>
  <c r="F39" i="80"/>
  <c r="F33" i="80" s="1"/>
  <c r="D101" i="81"/>
  <c r="C34" i="80" s="1"/>
  <c r="AA29" i="83"/>
  <c r="D99" i="81"/>
  <c r="E99" i="81" s="1"/>
  <c r="G120" i="57"/>
  <c r="G118" i="57" s="1"/>
  <c r="D120" i="81"/>
  <c r="K39" i="80" s="1"/>
  <c r="N39" i="80" s="1"/>
  <c r="X155" i="82"/>
  <c r="Z155" i="82"/>
  <c r="Y155" i="82"/>
  <c r="AA155" i="82"/>
  <c r="G33" i="95"/>
  <c r="B29" i="95"/>
  <c r="D33" i="95" s="1"/>
  <c r="G27" i="95"/>
  <c r="G36" i="95" s="1"/>
  <c r="M29" i="95"/>
  <c r="J27" i="95"/>
  <c r="J36" i="95" s="1"/>
  <c r="I29" i="95"/>
  <c r="J30" i="95" s="1"/>
  <c r="J32" i="95" s="1"/>
  <c r="O27" i="95"/>
  <c r="O29" i="95" s="1"/>
  <c r="F36" i="95"/>
  <c r="O36" i="95" s="1"/>
  <c r="G30" i="95"/>
  <c r="G32" i="95" s="1"/>
  <c r="N29" i="95"/>
  <c r="AJ100" i="82"/>
  <c r="AJ102" i="82" s="1"/>
  <c r="BB71" i="82"/>
  <c r="X96" i="82"/>
  <c r="X100" i="82" s="1"/>
  <c r="X102" i="82" s="1"/>
  <c r="BD71" i="82"/>
  <c r="Z46" i="82"/>
  <c r="Z96" i="82" s="1"/>
  <c r="Z100" i="82" s="1"/>
  <c r="Z102" i="82" s="1"/>
  <c r="P15" i="95"/>
  <c r="W46" i="82"/>
  <c r="W96" i="82" s="1"/>
  <c r="W100" i="82" s="1"/>
  <c r="W102" i="82" s="1"/>
  <c r="BA71" i="82"/>
  <c r="BF46" i="82" s="1"/>
  <c r="BE71" i="82"/>
  <c r="AA46" i="82"/>
  <c r="AA96" i="82" s="1"/>
  <c r="AA100" i="82" s="1"/>
  <c r="AA102" i="82" s="1"/>
  <c r="BC71" i="82"/>
  <c r="M15" i="80"/>
  <c r="M9" i="80" s="1"/>
  <c r="M42" i="80" s="1"/>
  <c r="H17" i="102"/>
  <c r="L15" i="80"/>
  <c r="L9" i="80" s="1"/>
  <c r="L42" i="80" s="1"/>
  <c r="H16" i="102"/>
  <c r="C56" i="36"/>
  <c r="C22" i="102"/>
  <c r="C20" i="102" s="1"/>
  <c r="C19" i="102" s="1"/>
  <c r="C10" i="102"/>
  <c r="B38" i="39"/>
  <c r="B36" i="39" s="1"/>
  <c r="R147" i="82"/>
  <c r="C104" i="58" s="1"/>
  <c r="AV100" i="82"/>
  <c r="AV102" i="82" s="1"/>
  <c r="M100" i="82"/>
  <c r="M102" i="82" s="1"/>
  <c r="C58" i="81"/>
  <c r="F58" i="81" s="1"/>
  <c r="C76" i="36"/>
  <c r="M30" i="95"/>
  <c r="M32" i="95" s="1"/>
  <c r="N36" i="95"/>
  <c r="F47" i="99"/>
  <c r="C36" i="99"/>
  <c r="C30" i="99" s="1"/>
  <c r="C44" i="99" s="1"/>
  <c r="AL100" i="82"/>
  <c r="AL102" i="82" s="1"/>
  <c r="AM100" i="82"/>
  <c r="AM102" i="82" s="1"/>
  <c r="C79" i="83"/>
  <c r="D118" i="81"/>
  <c r="K37" i="80" s="1"/>
  <c r="F46" i="99"/>
  <c r="N36" i="80"/>
  <c r="K30" i="80"/>
  <c r="E15" i="80"/>
  <c r="E9" i="80" s="1"/>
  <c r="E42" i="80" s="1"/>
  <c r="E17" i="80"/>
  <c r="E11" i="80" s="1"/>
  <c r="E44" i="80" s="1"/>
  <c r="BC29" i="82"/>
  <c r="E116" i="57" s="1"/>
  <c r="G34" i="99"/>
  <c r="G48" i="99" s="1"/>
  <c r="N46" i="80"/>
  <c r="E10" i="81"/>
  <c r="B36" i="99"/>
  <c r="B30" i="99" s="1"/>
  <c r="C8" i="58"/>
  <c r="C42" i="58" s="1"/>
  <c r="F125" i="81"/>
  <c r="P100" i="82"/>
  <c r="P102" i="82" s="1"/>
  <c r="M14" i="99"/>
  <c r="L48" i="99"/>
  <c r="B32" i="99"/>
  <c r="B33" i="99"/>
  <c r="F45" i="99"/>
  <c r="L10" i="80"/>
  <c r="N10" i="80" s="1"/>
  <c r="C81" i="36"/>
  <c r="C22" i="97"/>
  <c r="O13" i="80"/>
  <c r="O38" i="80"/>
  <c r="J32" i="80"/>
  <c r="D106" i="81"/>
  <c r="C39" i="80" s="1"/>
  <c r="C33" i="80" s="1"/>
  <c r="C120" i="57"/>
  <c r="C118" i="57" s="1"/>
  <c r="C68" i="97" s="1"/>
  <c r="D102" i="81"/>
  <c r="E102" i="81" s="1"/>
  <c r="D115" i="81"/>
  <c r="D95" i="81"/>
  <c r="B35" i="80" s="1"/>
  <c r="D72" i="96"/>
  <c r="D197" i="96" s="1"/>
  <c r="BA34" i="82"/>
  <c r="F73" i="96"/>
  <c r="F195" i="96" s="1"/>
  <c r="F7" i="96"/>
  <c r="F72" i="96" s="1"/>
  <c r="AG100" i="82"/>
  <c r="AG102" i="82" s="1"/>
  <c r="AO100" i="82"/>
  <c r="AO102" i="82" s="1"/>
  <c r="AI100" i="82"/>
  <c r="AI102" i="82" s="1"/>
  <c r="Q100" i="82"/>
  <c r="Q102" i="82" s="1"/>
  <c r="E72" i="96"/>
  <c r="E198" i="96" s="1"/>
  <c r="D101" i="58"/>
  <c r="F124" i="81"/>
  <c r="R148" i="82"/>
  <c r="R100" i="82"/>
  <c r="R102" i="82" s="1"/>
  <c r="AB100" i="82"/>
  <c r="AB102" i="82" s="1"/>
  <c r="N100" i="82"/>
  <c r="N102" i="82" s="1"/>
  <c r="BB89" i="82"/>
  <c r="AP100" i="82"/>
  <c r="AP102" i="82" s="1"/>
  <c r="E20" i="80"/>
  <c r="E14" i="80" s="1"/>
  <c r="E47" i="80" s="1"/>
  <c r="C10" i="57"/>
  <c r="F64" i="39"/>
  <c r="G126" i="57" s="1"/>
  <c r="D55" i="36"/>
  <c r="D54" i="36" s="1"/>
  <c r="D8" i="36"/>
  <c r="J10" i="99"/>
  <c r="J44" i="99" s="1"/>
  <c r="F39" i="81"/>
  <c r="G117" i="57"/>
  <c r="T26" i="83"/>
  <c r="E117" i="57" s="1"/>
  <c r="AH100" i="82"/>
  <c r="AH102" i="82" s="1"/>
  <c r="E15" i="81"/>
  <c r="C15" i="81" s="1"/>
  <c r="B41" i="99"/>
  <c r="F8" i="36"/>
  <c r="E12" i="81"/>
  <c r="C12" i="81" s="1"/>
  <c r="B18" i="99" s="1"/>
  <c r="H18" i="80"/>
  <c r="H12" i="80" s="1"/>
  <c r="H45" i="80" s="1"/>
  <c r="C36" i="81"/>
  <c r="C28" i="81" s="1"/>
  <c r="L24" i="99"/>
  <c r="F12" i="80"/>
  <c r="F45" i="80" s="1"/>
  <c r="E64" i="39"/>
  <c r="F126" i="57" s="1"/>
  <c r="F14" i="80"/>
  <c r="BE101" i="82"/>
  <c r="C120" i="81"/>
  <c r="BC101" i="82"/>
  <c r="C11" i="81"/>
  <c r="F11" i="81" s="1"/>
  <c r="F30" i="99"/>
  <c r="F44" i="99" s="1"/>
  <c r="F76" i="36"/>
  <c r="C58" i="97"/>
  <c r="C56" i="97" s="1"/>
  <c r="C55" i="97" s="1"/>
  <c r="C54" i="97" s="1"/>
  <c r="J33" i="95"/>
  <c r="AK100" i="82"/>
  <c r="AK102" i="82" s="1"/>
  <c r="E113" i="57"/>
  <c r="K83" i="83"/>
  <c r="D27" i="95"/>
  <c r="P17" i="95"/>
  <c r="P27" i="95" s="1"/>
  <c r="D116" i="81"/>
  <c r="C40" i="97"/>
  <c r="C115" i="81"/>
  <c r="K15" i="80"/>
  <c r="I10" i="99"/>
  <c r="I44" i="99" s="1"/>
  <c r="G55" i="36"/>
  <c r="G54" i="36" s="1"/>
  <c r="G63" i="36" s="1"/>
  <c r="C21" i="81"/>
  <c r="F21" i="81" s="1"/>
  <c r="L24" i="80"/>
  <c r="L12" i="80" s="1"/>
  <c r="L45" i="80" s="1"/>
  <c r="F100" i="58"/>
  <c r="F101" i="58" s="1"/>
  <c r="F75" i="36"/>
  <c r="BD101" i="82"/>
  <c r="C70" i="81"/>
  <c r="F70" i="81" s="1"/>
  <c r="K14" i="80"/>
  <c r="N14" i="80" s="1"/>
  <c r="N26" i="80"/>
  <c r="O26" i="80" s="1"/>
  <c r="N21" i="80"/>
  <c r="O21" i="80" s="1"/>
  <c r="C37" i="81"/>
  <c r="F55" i="36"/>
  <c r="F54" i="36" s="1"/>
  <c r="E8" i="36"/>
  <c r="E63" i="36" s="1"/>
  <c r="L28" i="99"/>
  <c r="L15" i="99" s="1"/>
  <c r="L49" i="99" s="1"/>
  <c r="G75" i="36"/>
  <c r="G74" i="36" s="1"/>
  <c r="G100" i="58"/>
  <c r="G101" i="58" s="1"/>
  <c r="BD29" i="82"/>
  <c r="F116" i="57" s="1"/>
  <c r="C97" i="81" s="1"/>
  <c r="B18" i="80" s="1"/>
  <c r="BE29" i="82"/>
  <c r="G116" i="57" s="1"/>
  <c r="C99" i="81" s="1"/>
  <c r="H100" i="82"/>
  <c r="H102" i="82" s="1"/>
  <c r="BE11" i="82"/>
  <c r="BD43" i="82"/>
  <c r="F122" i="81"/>
  <c r="L100" i="82"/>
  <c r="L102" i="82" s="1"/>
  <c r="BC11" i="82"/>
  <c r="C29" i="82"/>
  <c r="BA29" i="82" s="1"/>
  <c r="C116" i="57" s="1"/>
  <c r="C94" i="81" s="1"/>
  <c r="B15" i="80" s="1"/>
  <c r="BA19" i="82"/>
  <c r="BF29" i="82" s="1"/>
  <c r="BD11" i="82"/>
  <c r="D94" i="81"/>
  <c r="B34" i="80" s="1"/>
  <c r="C117" i="57"/>
  <c r="K34" i="80"/>
  <c r="E117" i="81"/>
  <c r="F117" i="81" s="1"/>
  <c r="K12" i="80"/>
  <c r="F44" i="81"/>
  <c r="G83" i="83"/>
  <c r="V76" i="83"/>
  <c r="N24" i="53"/>
  <c r="D109" i="81"/>
  <c r="N16" i="80"/>
  <c r="L26" i="99"/>
  <c r="M26" i="99" s="1"/>
  <c r="O79" i="83"/>
  <c r="O83" i="83"/>
  <c r="J100" i="82"/>
  <c r="J102" i="82" s="1"/>
  <c r="BC33" i="82"/>
  <c r="E119" i="57" s="1"/>
  <c r="E118" i="57" s="1"/>
  <c r="E68" i="36" s="1"/>
  <c r="R76" i="83"/>
  <c r="H79" i="83"/>
  <c r="D104" i="81"/>
  <c r="F120" i="57"/>
  <c r="F118" i="57" s="1"/>
  <c r="C101" i="82"/>
  <c r="BA101" i="82" s="1"/>
  <c r="V30" i="83"/>
  <c r="G113" i="57"/>
  <c r="C13" i="81"/>
  <c r="F113" i="57"/>
  <c r="D103" i="81"/>
  <c r="C36" i="80" s="1"/>
  <c r="C30" i="80" s="1"/>
  <c r="C77" i="36"/>
  <c r="F143" i="81" s="1"/>
  <c r="T76" i="83"/>
  <c r="E123" i="57" s="1"/>
  <c r="C75" i="36"/>
  <c r="C43" i="58"/>
  <c r="C100" i="58" s="1"/>
  <c r="P79" i="83"/>
  <c r="P83" i="83"/>
  <c r="U26" i="83"/>
  <c r="H83" i="83"/>
  <c r="S79" i="83"/>
  <c r="BB29" i="82"/>
  <c r="D116" i="57" s="1"/>
  <c r="U76" i="83"/>
  <c r="F83" i="83"/>
  <c r="M83" i="83"/>
  <c r="C20" i="80"/>
  <c r="C14" i="80" s="1"/>
  <c r="G46" i="82"/>
  <c r="F46" i="82"/>
  <c r="C96" i="82"/>
  <c r="E115" i="57" l="1"/>
  <c r="E67" i="36" s="1"/>
  <c r="M34" i="99"/>
  <c r="C27" i="81"/>
  <c r="C67" i="81" s="1"/>
  <c r="E101" i="81"/>
  <c r="F101" i="81" s="1"/>
  <c r="E120" i="81"/>
  <c r="F120" i="81" s="1"/>
  <c r="K33" i="80"/>
  <c r="N33" i="80" s="1"/>
  <c r="B39" i="80"/>
  <c r="B33" i="80" s="1"/>
  <c r="BA96" i="82"/>
  <c r="C130" i="81"/>
  <c r="D125" i="57"/>
  <c r="D71" i="36" s="1"/>
  <c r="C102" i="81"/>
  <c r="C16" i="80" s="1"/>
  <c r="C10" i="80" s="1"/>
  <c r="H10" i="102"/>
  <c r="C68" i="36"/>
  <c r="C18" i="102"/>
  <c r="C15" i="102"/>
  <c r="C14" i="102" s="1"/>
  <c r="C18" i="81"/>
  <c r="F18" i="81" s="1"/>
  <c r="C55" i="36"/>
  <c r="C54" i="36" s="1"/>
  <c r="L16" i="99"/>
  <c r="B35" i="39"/>
  <c r="B64" i="39" s="1"/>
  <c r="F47" i="80"/>
  <c r="R79" i="83"/>
  <c r="AA76" i="83"/>
  <c r="D30" i="95"/>
  <c r="D32" i="95" s="1"/>
  <c r="P34" i="95" s="1"/>
  <c r="G29" i="95"/>
  <c r="P30" i="95"/>
  <c r="P32" i="95" s="1"/>
  <c r="J29" i="95"/>
  <c r="BB46" i="82"/>
  <c r="BF71" i="82"/>
  <c r="BF89" i="82" s="1"/>
  <c r="P33" i="95"/>
  <c r="E106" i="81"/>
  <c r="F106" i="81" s="1"/>
  <c r="BA46" i="82"/>
  <c r="BF96" i="82" s="1"/>
  <c r="P29" i="95"/>
  <c r="H14" i="102"/>
  <c r="BB96" i="82"/>
  <c r="D122" i="57" s="1"/>
  <c r="D121" i="57" s="1"/>
  <c r="D69" i="36" s="1"/>
  <c r="C138" i="57"/>
  <c r="C34" i="81"/>
  <c r="F34" i="81" s="1"/>
  <c r="I100" i="58"/>
  <c r="F99" i="82"/>
  <c r="BD99" i="82" s="1"/>
  <c r="F125" i="57"/>
  <c r="G99" i="82"/>
  <c r="BE99" i="82" s="1"/>
  <c r="G125" i="57"/>
  <c r="BC46" i="82"/>
  <c r="C101" i="58"/>
  <c r="E118" i="81"/>
  <c r="F118" i="81" s="1"/>
  <c r="C9" i="57"/>
  <c r="C8" i="57" s="1"/>
  <c r="K31" i="80"/>
  <c r="N31" i="80" s="1"/>
  <c r="N37" i="80"/>
  <c r="N30" i="80"/>
  <c r="N44" i="80" s="1"/>
  <c r="K44" i="80"/>
  <c r="BC99" i="82"/>
  <c r="F11" i="80"/>
  <c r="F44" i="80" s="1"/>
  <c r="M48" i="99"/>
  <c r="G18" i="99"/>
  <c r="B12" i="99"/>
  <c r="B46" i="99" s="1"/>
  <c r="T79" i="83"/>
  <c r="T83" i="83" s="1"/>
  <c r="D96" i="81"/>
  <c r="B36" i="80" s="1"/>
  <c r="C35" i="80"/>
  <c r="C29" i="80" s="1"/>
  <c r="C103" i="81"/>
  <c r="C17" i="80" s="1"/>
  <c r="C11" i="80" s="1"/>
  <c r="C44" i="80" s="1"/>
  <c r="C134" i="81"/>
  <c r="F134" i="81" s="1"/>
  <c r="L43" i="80"/>
  <c r="B35" i="99"/>
  <c r="M24" i="99"/>
  <c r="L11" i="99"/>
  <c r="L13" i="99"/>
  <c r="L47" i="99" s="1"/>
  <c r="J46" i="80"/>
  <c r="O32" i="80"/>
  <c r="O46" i="80" s="1"/>
  <c r="E95" i="81"/>
  <c r="D81" i="81"/>
  <c r="E81" i="81" s="1"/>
  <c r="E115" i="81"/>
  <c r="F115" i="81" s="1"/>
  <c r="L23" i="99"/>
  <c r="F197" i="96"/>
  <c r="G195" i="96"/>
  <c r="G72" i="96"/>
  <c r="E197" i="96"/>
  <c r="BB87" i="82"/>
  <c r="F87" i="82"/>
  <c r="BD87" i="82" s="1"/>
  <c r="BD89" i="82"/>
  <c r="BE89" i="82"/>
  <c r="G87" i="82"/>
  <c r="BE87" i="82" s="1"/>
  <c r="N24" i="80"/>
  <c r="O24" i="80" s="1"/>
  <c r="F63" i="36"/>
  <c r="D63" i="36"/>
  <c r="I63" i="36" s="1"/>
  <c r="B17" i="99"/>
  <c r="B11" i="99" s="1"/>
  <c r="B45" i="99" s="1"/>
  <c r="F36" i="81"/>
  <c r="C47" i="80"/>
  <c r="C132" i="81"/>
  <c r="F132" i="81" s="1"/>
  <c r="E101" i="58"/>
  <c r="F74" i="36"/>
  <c r="G115" i="57"/>
  <c r="E116" i="81"/>
  <c r="F116" i="81" s="1"/>
  <c r="K35" i="80"/>
  <c r="N15" i="80"/>
  <c r="K9" i="80"/>
  <c r="N9" i="80" s="1"/>
  <c r="D36" i="95"/>
  <c r="P36" i="95" s="1"/>
  <c r="D29" i="95"/>
  <c r="C102" i="58"/>
  <c r="M28" i="99"/>
  <c r="C29" i="81"/>
  <c r="C69" i="81" s="1"/>
  <c r="F37" i="81"/>
  <c r="Y100" i="82"/>
  <c r="Y102" i="82" s="1"/>
  <c r="F131" i="81"/>
  <c r="D115" i="57"/>
  <c r="D67" i="36" s="1"/>
  <c r="C95" i="81"/>
  <c r="B29" i="80"/>
  <c r="F123" i="57"/>
  <c r="D111" i="81"/>
  <c r="S83" i="83"/>
  <c r="C68" i="81"/>
  <c r="F12" i="81"/>
  <c r="D110" i="81"/>
  <c r="D36" i="80" s="1"/>
  <c r="D30" i="80" s="1"/>
  <c r="C28" i="80"/>
  <c r="E103" i="81"/>
  <c r="B9" i="80"/>
  <c r="C123" i="57"/>
  <c r="D108" i="81"/>
  <c r="D34" i="80" s="1"/>
  <c r="F99" i="81"/>
  <c r="B20" i="80"/>
  <c r="B14" i="80" s="1"/>
  <c r="E94" i="81"/>
  <c r="C74" i="36"/>
  <c r="E104" i="81"/>
  <c r="F104" i="81" s="1"/>
  <c r="C37" i="80"/>
  <c r="C31" i="80" s="1"/>
  <c r="C45" i="80" s="1"/>
  <c r="M26" i="53"/>
  <c r="N25" i="53"/>
  <c r="C115" i="57"/>
  <c r="C67" i="97" s="1"/>
  <c r="F117" i="57"/>
  <c r="F115" i="57" s="1"/>
  <c r="D97" i="81"/>
  <c r="U79" i="83"/>
  <c r="F13" i="81"/>
  <c r="B19" i="99"/>
  <c r="B13" i="99" s="1"/>
  <c r="B47" i="99" s="1"/>
  <c r="D113" i="81"/>
  <c r="G123" i="57"/>
  <c r="V79" i="83"/>
  <c r="N12" i="80"/>
  <c r="C71" i="81"/>
  <c r="F15" i="81"/>
  <c r="B21" i="99"/>
  <c r="B15" i="99" s="1"/>
  <c r="C9" i="80"/>
  <c r="D35" i="80"/>
  <c r="D29" i="80" s="1"/>
  <c r="E109" i="81"/>
  <c r="K28" i="80"/>
  <c r="N34" i="80"/>
  <c r="B12" i="80"/>
  <c r="K47" i="80" l="1"/>
  <c r="B47" i="80"/>
  <c r="F15" i="80"/>
  <c r="G64" i="39"/>
  <c r="D66" i="36"/>
  <c r="C43" i="80"/>
  <c r="F102" i="81"/>
  <c r="D114" i="57"/>
  <c r="D136" i="57" s="1"/>
  <c r="D99" i="82"/>
  <c r="L10" i="99"/>
  <c r="L44" i="99" s="1"/>
  <c r="H9" i="102"/>
  <c r="C67" i="36"/>
  <c r="R83" i="83"/>
  <c r="AA79" i="83"/>
  <c r="C109" i="81"/>
  <c r="D16" i="80" s="1"/>
  <c r="D10" i="80" s="1"/>
  <c r="D43" i="80" s="1"/>
  <c r="K45" i="80"/>
  <c r="C9" i="36"/>
  <c r="C26" i="81"/>
  <c r="N45" i="80"/>
  <c r="E96" i="81"/>
  <c r="D82" i="81"/>
  <c r="E82" i="81" s="1"/>
  <c r="B30" i="80"/>
  <c r="J36" i="80"/>
  <c r="M18" i="99"/>
  <c r="G12" i="99"/>
  <c r="M23" i="99"/>
  <c r="F103" i="81"/>
  <c r="B49" i="99"/>
  <c r="C96" i="81"/>
  <c r="L45" i="99"/>
  <c r="F10" i="80"/>
  <c r="F43" i="80" s="1"/>
  <c r="G17" i="99"/>
  <c r="G11" i="99" s="1"/>
  <c r="S95" i="83"/>
  <c r="T95" i="83"/>
  <c r="F130" i="81"/>
  <c r="N35" i="80"/>
  <c r="K29" i="80"/>
  <c r="H81" i="81"/>
  <c r="D80" i="81"/>
  <c r="E80" i="81" s="1"/>
  <c r="C42" i="80"/>
  <c r="N47" i="80"/>
  <c r="D85" i="81"/>
  <c r="E85" i="81" s="1"/>
  <c r="E113" i="81"/>
  <c r="H85" i="81" s="1"/>
  <c r="D39" i="80"/>
  <c r="D37" i="80"/>
  <c r="D31" i="80" s="1"/>
  <c r="E111" i="81"/>
  <c r="J35" i="80"/>
  <c r="J34" i="80"/>
  <c r="B28" i="80"/>
  <c r="B42" i="80" s="1"/>
  <c r="G19" i="99"/>
  <c r="G13" i="99" s="1"/>
  <c r="M13" i="99" s="1"/>
  <c r="N16" i="53"/>
  <c r="N18" i="53" s="1"/>
  <c r="N26" i="53" s="1"/>
  <c r="N27" i="53" s="1"/>
  <c r="B18" i="53"/>
  <c r="B26" i="53" s="1"/>
  <c r="B27" i="53" s="1"/>
  <c r="C27" i="53" s="1"/>
  <c r="D27" i="53" s="1"/>
  <c r="E27" i="53" s="1"/>
  <c r="F27" i="53" s="1"/>
  <c r="G27" i="53" s="1"/>
  <c r="H27" i="53" s="1"/>
  <c r="I27" i="53" s="1"/>
  <c r="J27" i="53" s="1"/>
  <c r="K27" i="53" s="1"/>
  <c r="L27" i="53" s="1"/>
  <c r="M27" i="53" s="1"/>
  <c r="C113" i="57"/>
  <c r="C10" i="81"/>
  <c r="B16" i="99" s="1"/>
  <c r="N28" i="80"/>
  <c r="K42" i="80"/>
  <c r="V83" i="83"/>
  <c r="G72" i="36"/>
  <c r="U83" i="83"/>
  <c r="U94" i="83" s="1"/>
  <c r="U95" i="83" s="1"/>
  <c r="F72" i="36"/>
  <c r="F94" i="81"/>
  <c r="B16" i="80"/>
  <c r="F95" i="81"/>
  <c r="G21" i="99"/>
  <c r="G15" i="99" s="1"/>
  <c r="M15" i="99" s="1"/>
  <c r="D83" i="81"/>
  <c r="E83" i="81" s="1"/>
  <c r="E97" i="81"/>
  <c r="B37" i="80"/>
  <c r="E108" i="81"/>
  <c r="H80" i="81" s="1"/>
  <c r="D28" i="80"/>
  <c r="E110" i="81"/>
  <c r="C122" i="57"/>
  <c r="BE46" i="82"/>
  <c r="G96" i="82"/>
  <c r="BD46" i="82"/>
  <c r="F96" i="82"/>
  <c r="D65" i="36" l="1"/>
  <c r="G16" i="99"/>
  <c r="AA83" i="83"/>
  <c r="R95" i="83"/>
  <c r="V94" i="83"/>
  <c r="C8" i="36"/>
  <c r="C63" i="36" s="1"/>
  <c r="C9" i="97"/>
  <c r="C8" i="97" s="1"/>
  <c r="C63" i="97" s="1"/>
  <c r="F109" i="81"/>
  <c r="C9" i="102"/>
  <c r="C8" i="102" s="1"/>
  <c r="C7" i="102" s="1"/>
  <c r="C25" i="102" s="1"/>
  <c r="H82" i="81"/>
  <c r="U96" i="83"/>
  <c r="O36" i="80"/>
  <c r="J30" i="80"/>
  <c r="O30" i="80" s="1"/>
  <c r="F96" i="81"/>
  <c r="B17" i="80"/>
  <c r="M12" i="99"/>
  <c r="BC100" i="82"/>
  <c r="BC96" i="82"/>
  <c r="E122" i="57" s="1"/>
  <c r="E121" i="57" s="1"/>
  <c r="D52" i="81"/>
  <c r="E52" i="81" s="1"/>
  <c r="T96" i="83"/>
  <c r="M17" i="99"/>
  <c r="M11" i="99"/>
  <c r="D51" i="81"/>
  <c r="E37" i="99" s="1"/>
  <c r="E31" i="99" s="1"/>
  <c r="E45" i="99" s="1"/>
  <c r="S96" i="83"/>
  <c r="D137" i="57"/>
  <c r="D140" i="57" s="1"/>
  <c r="B10" i="99"/>
  <c r="B44" i="99" s="1"/>
  <c r="I94" i="81"/>
  <c r="BB99" i="82"/>
  <c r="D100" i="82"/>
  <c r="N29" i="80"/>
  <c r="N43" i="80" s="1"/>
  <c r="K43" i="80"/>
  <c r="B31" i="80"/>
  <c r="B45" i="80" s="1"/>
  <c r="J37" i="80"/>
  <c r="H83" i="81"/>
  <c r="F97" i="81"/>
  <c r="M21" i="99"/>
  <c r="J29" i="80"/>
  <c r="O35" i="80"/>
  <c r="J28" i="80"/>
  <c r="O28" i="80" s="1"/>
  <c r="O34" i="80"/>
  <c r="D55" i="81"/>
  <c r="N42" i="80"/>
  <c r="M19" i="99"/>
  <c r="B10" i="80"/>
  <c r="D53" i="81"/>
  <c r="F10" i="81"/>
  <c r="C66" i="81"/>
  <c r="D33" i="80"/>
  <c r="J39" i="80"/>
  <c r="G100" i="82"/>
  <c r="BE96" i="82"/>
  <c r="G122" i="57" s="1"/>
  <c r="BD96" i="82"/>
  <c r="F122" i="57" s="1"/>
  <c r="F100" i="82"/>
  <c r="D15" i="80"/>
  <c r="C121" i="57"/>
  <c r="C69" i="97" s="1"/>
  <c r="E69" i="36" l="1"/>
  <c r="E66" i="36" s="1"/>
  <c r="E65" i="36" s="1"/>
  <c r="E64" i="36" s="1"/>
  <c r="E89" i="36" s="1"/>
  <c r="E95" i="36" s="1"/>
  <c r="E114" i="57"/>
  <c r="K63" i="36"/>
  <c r="H11" i="102"/>
  <c r="C69" i="36"/>
  <c r="G10" i="99"/>
  <c r="M10" i="99" s="1"/>
  <c r="M16" i="99"/>
  <c r="AA95" i="83"/>
  <c r="R96" i="83"/>
  <c r="D50" i="81"/>
  <c r="V95" i="83"/>
  <c r="C110" i="81"/>
  <c r="BH96" i="82"/>
  <c r="F74" i="81"/>
  <c r="M50" i="99" s="1"/>
  <c r="G17" i="80"/>
  <c r="G11" i="80" s="1"/>
  <c r="G44" i="80" s="1"/>
  <c r="B11" i="80"/>
  <c r="D28" i="81"/>
  <c r="D68" i="81" s="1"/>
  <c r="E68" i="81" s="1"/>
  <c r="G52" i="81" s="1"/>
  <c r="BC102" i="82"/>
  <c r="E38" i="99"/>
  <c r="G38" i="99" s="1"/>
  <c r="M38" i="99" s="1"/>
  <c r="O29" i="80"/>
  <c r="D27" i="81"/>
  <c r="E27" i="81" s="1"/>
  <c r="F27" i="81" s="1"/>
  <c r="E51" i="81"/>
  <c r="F51" i="81" s="1"/>
  <c r="G37" i="99"/>
  <c r="G31" i="99" s="1"/>
  <c r="G45" i="99" s="1"/>
  <c r="F52" i="81"/>
  <c r="BB100" i="82"/>
  <c r="D64" i="36" s="1"/>
  <c r="D102" i="82"/>
  <c r="BB102" i="82" s="1"/>
  <c r="B43" i="80"/>
  <c r="O39" i="80"/>
  <c r="J33" i="80"/>
  <c r="O33" i="80" s="1"/>
  <c r="E53" i="81"/>
  <c r="E39" i="99"/>
  <c r="D29" i="81"/>
  <c r="D31" i="81"/>
  <c r="E41" i="99"/>
  <c r="E55" i="81"/>
  <c r="J31" i="80"/>
  <c r="O31" i="80" s="1"/>
  <c r="O37" i="80"/>
  <c r="G102" i="82"/>
  <c r="BE102" i="82" s="1"/>
  <c r="BE100" i="82"/>
  <c r="G66" i="36" s="1"/>
  <c r="G65" i="36" s="1"/>
  <c r="G64" i="36" s="1"/>
  <c r="G89" i="36" s="1"/>
  <c r="F102" i="82"/>
  <c r="BD102" i="82" s="1"/>
  <c r="BD100" i="82"/>
  <c r="F66" i="36" s="1"/>
  <c r="F65" i="36" s="1"/>
  <c r="F64" i="36" s="1"/>
  <c r="F89" i="36" s="1"/>
  <c r="C113" i="81"/>
  <c r="G121" i="57"/>
  <c r="F108" i="81"/>
  <c r="C111" i="81"/>
  <c r="F121" i="57"/>
  <c r="E92" i="36" l="1"/>
  <c r="D89" i="36"/>
  <c r="I89" i="36" s="1"/>
  <c r="AA96" i="83"/>
  <c r="D26" i="81"/>
  <c r="E50" i="81"/>
  <c r="E36" i="99"/>
  <c r="V96" i="83"/>
  <c r="E136" i="57"/>
  <c r="C138" i="81"/>
  <c r="F138" i="81" s="1"/>
  <c r="F88" i="81"/>
  <c r="O48" i="80" s="1"/>
  <c r="F110" i="81"/>
  <c r="D17" i="80"/>
  <c r="B44" i="80"/>
  <c r="F68" i="81"/>
  <c r="F78" i="81" s="1"/>
  <c r="E28" i="81"/>
  <c r="F28" i="81" s="1"/>
  <c r="E32" i="99"/>
  <c r="E46" i="99" s="1"/>
  <c r="G32" i="99"/>
  <c r="E33" i="99"/>
  <c r="E47" i="99" s="1"/>
  <c r="G39" i="99"/>
  <c r="M39" i="99" s="1"/>
  <c r="M31" i="99"/>
  <c r="M45" i="99"/>
  <c r="E35" i="99"/>
  <c r="E49" i="99" s="1"/>
  <c r="G41" i="99"/>
  <c r="M41" i="99" s="1"/>
  <c r="G16" i="80"/>
  <c r="G10" i="80" s="1"/>
  <c r="G43" i="80" s="1"/>
  <c r="D67" i="81"/>
  <c r="E67" i="81" s="1"/>
  <c r="G51" i="81" s="1"/>
  <c r="F73" i="81"/>
  <c r="M37" i="99"/>
  <c r="D69" i="81"/>
  <c r="E69" i="81" s="1"/>
  <c r="E29" i="81"/>
  <c r="F29" i="81" s="1"/>
  <c r="F77" i="81"/>
  <c r="G20" i="80"/>
  <c r="G14" i="80" s="1"/>
  <c r="G47" i="80" s="1"/>
  <c r="F55" i="81"/>
  <c r="F53" i="81"/>
  <c r="F75" i="81"/>
  <c r="G18" i="80"/>
  <c r="G12" i="80" s="1"/>
  <c r="G45" i="80" s="1"/>
  <c r="E31" i="81"/>
  <c r="F31" i="81" s="1"/>
  <c r="D71" i="81"/>
  <c r="E71" i="81" s="1"/>
  <c r="F111" i="81"/>
  <c r="D18" i="80"/>
  <c r="G114" i="57"/>
  <c r="G136" i="57" s="1"/>
  <c r="G137" i="57"/>
  <c r="D9" i="80"/>
  <c r="D20" i="80"/>
  <c r="F113" i="81"/>
  <c r="F95" i="36"/>
  <c r="F92" i="36"/>
  <c r="G95" i="36"/>
  <c r="G92" i="36"/>
  <c r="G90" i="36"/>
  <c r="F114" i="57"/>
  <c r="F136" i="57" s="1"/>
  <c r="F137" i="57"/>
  <c r="H63" i="36" l="1"/>
  <c r="D92" i="36"/>
  <c r="H89" i="36"/>
  <c r="E30" i="99"/>
  <c r="E44" i="99" s="1"/>
  <c r="G36" i="99"/>
  <c r="F72" i="81"/>
  <c r="F50" i="81"/>
  <c r="G15" i="80" s="1"/>
  <c r="E26" i="81"/>
  <c r="F26" i="81" s="1"/>
  <c r="D66" i="81"/>
  <c r="E66" i="81" s="1"/>
  <c r="E137" i="57"/>
  <c r="G82" i="81"/>
  <c r="C82" i="81"/>
  <c r="F82" i="81" s="1"/>
  <c r="F92" i="81" s="1"/>
  <c r="M32" i="99"/>
  <c r="G46" i="99"/>
  <c r="M46" i="99" s="1"/>
  <c r="M51" i="99" s="1"/>
  <c r="D11" i="80"/>
  <c r="J17" i="80"/>
  <c r="O17" i="80" s="1"/>
  <c r="G35" i="99"/>
  <c r="G49" i="99" s="1"/>
  <c r="M49" i="99" s="1"/>
  <c r="G33" i="99"/>
  <c r="G47" i="99" s="1"/>
  <c r="M47" i="99" s="1"/>
  <c r="F87" i="81"/>
  <c r="J16" i="80"/>
  <c r="O16" i="80" s="1"/>
  <c r="J10" i="80"/>
  <c r="F67" i="81"/>
  <c r="C137" i="81"/>
  <c r="G53" i="81"/>
  <c r="F69" i="81"/>
  <c r="F89" i="81"/>
  <c r="C139" i="81"/>
  <c r="G55" i="81"/>
  <c r="F71" i="81"/>
  <c r="F91" i="81"/>
  <c r="C141" i="81"/>
  <c r="D14" i="80"/>
  <c r="J20" i="80"/>
  <c r="O20" i="80" s="1"/>
  <c r="D42" i="80"/>
  <c r="D12" i="80"/>
  <c r="J18" i="80"/>
  <c r="O18" i="80" s="1"/>
  <c r="G9" i="80" l="1"/>
  <c r="F86" i="81"/>
  <c r="C136" i="81"/>
  <c r="G50" i="81"/>
  <c r="F66" i="81"/>
  <c r="G30" i="99"/>
  <c r="M36" i="99"/>
  <c r="M35" i="99"/>
  <c r="D44" i="80"/>
  <c r="J11" i="80"/>
  <c r="M33" i="99"/>
  <c r="J43" i="80"/>
  <c r="O10" i="80"/>
  <c r="O43" i="80" s="1"/>
  <c r="F137" i="81"/>
  <c r="G81" i="81" s="1"/>
  <c r="C81" i="81"/>
  <c r="F81" i="81" s="1"/>
  <c r="F141" i="81"/>
  <c r="G85" i="81" s="1"/>
  <c r="C85" i="81"/>
  <c r="F85" i="81" s="1"/>
  <c r="F139" i="81"/>
  <c r="G83" i="81" s="1"/>
  <c r="C83" i="81"/>
  <c r="F83" i="81" s="1"/>
  <c r="D45" i="80"/>
  <c r="J12" i="80"/>
  <c r="D47" i="80"/>
  <c r="J14" i="80"/>
  <c r="M30" i="99" l="1"/>
  <c r="G44" i="99"/>
  <c r="M44" i="99" s="1"/>
  <c r="F136" i="81"/>
  <c r="G42" i="80"/>
  <c r="J44" i="80"/>
  <c r="O11" i="80"/>
  <c r="O44" i="80" s="1"/>
  <c r="O49" i="80" s="1"/>
  <c r="O14" i="80"/>
  <c r="O47" i="80" s="1"/>
  <c r="J47" i="80"/>
  <c r="O12" i="80"/>
  <c r="O45" i="80" s="1"/>
  <c r="J45" i="80"/>
  <c r="M16" i="56" l="1"/>
  <c r="F9" i="80" l="1"/>
  <c r="J15" i="80"/>
  <c r="O15" i="80" s="1"/>
  <c r="C126" i="57"/>
  <c r="C99" i="82"/>
  <c r="C129" i="81" l="1"/>
  <c r="F129" i="81" s="1"/>
  <c r="C125" i="57"/>
  <c r="C137" i="57"/>
  <c r="C140" i="57" s="1"/>
  <c r="BA99" i="82"/>
  <c r="C100" i="82"/>
  <c r="J9" i="80"/>
  <c r="F42" i="80"/>
  <c r="C80" i="81" l="1"/>
  <c r="F80" i="81" s="1"/>
  <c r="C71" i="36"/>
  <c r="C66" i="36" s="1"/>
  <c r="C65" i="36" s="1"/>
  <c r="C71" i="97"/>
  <c r="C66" i="97" s="1"/>
  <c r="C65" i="97" s="1"/>
  <c r="C64" i="97" s="1"/>
  <c r="C87" i="97" s="1"/>
  <c r="O9" i="80"/>
  <c r="O42" i="80" s="1"/>
  <c r="J42" i="80"/>
  <c r="G80" i="81"/>
  <c r="I80" i="81"/>
  <c r="C102" i="82"/>
  <c r="BA102" i="82" s="1"/>
  <c r="BA100" i="82"/>
  <c r="C114" i="57"/>
  <c r="C136" i="57" s="1"/>
  <c r="H13" i="102"/>
  <c r="H8" i="102" s="1"/>
  <c r="H7" i="102" s="1"/>
  <c r="H25" i="102" s="1"/>
  <c r="BF102" i="82"/>
  <c r="BF100" i="82"/>
  <c r="C64" i="36" l="1"/>
  <c r="C89" i="36" s="1"/>
  <c r="H72" i="96" l="1"/>
  <c r="C91" i="36"/>
  <c r="J89" i="36" l="1"/>
  <c r="H195" i="96"/>
</calcChain>
</file>

<file path=xl/sharedStrings.xml><?xml version="1.0" encoding="utf-8"?>
<sst xmlns="http://schemas.openxmlformats.org/spreadsheetml/2006/main" count="1833" uniqueCount="1207">
  <si>
    <t>ezer Ft-ban</t>
  </si>
  <si>
    <t>II. Felújítások</t>
  </si>
  <si>
    <t xml:space="preserve">     1. Európai Uniós támogatásból megvalósuló felújítások</t>
  </si>
  <si>
    <t xml:space="preserve">    1. Többcélú kistérségi társulásnak és költségvetési szerveinek</t>
  </si>
  <si>
    <t xml:space="preserve">    1. Vállalkozásoknak</t>
  </si>
  <si>
    <t>I. Beruházások</t>
  </si>
  <si>
    <t>Működési célú bevételek összesen</t>
  </si>
  <si>
    <t>Költségvetési kiadások összesen</t>
  </si>
  <si>
    <t xml:space="preserve">I. Működési kiadások </t>
  </si>
  <si>
    <t>Működési célú kiadások összesen</t>
  </si>
  <si>
    <t>Felhalmozási célú bevételek összesen</t>
  </si>
  <si>
    <t>Felhalmozási célú kiadások összesen</t>
  </si>
  <si>
    <t>III.  Egyéb felhalmozási célú kiadások</t>
  </si>
  <si>
    <t>Működési célú támogatások, pénzeszközátadások</t>
  </si>
  <si>
    <t xml:space="preserve">               Óvodai nevelés</t>
  </si>
  <si>
    <t xml:space="preserve">               Családsegítés, gyermekjóléti feladatok</t>
  </si>
  <si>
    <t xml:space="preserve">               Házi segítségnyújtás</t>
  </si>
  <si>
    <t xml:space="preserve">               Jelzőrendszeres házi segítésnyújtás</t>
  </si>
  <si>
    <t xml:space="preserve">               Pénzügyi Gondnokság iroda működtetés</t>
  </si>
  <si>
    <t xml:space="preserve">               Háziorvosi ügyeleti ellátás</t>
  </si>
  <si>
    <t xml:space="preserve">               Egészségügyi laboratóriumi szolgáltatás</t>
  </si>
  <si>
    <t xml:space="preserve">               Kistérségi TV működtetés</t>
  </si>
  <si>
    <t xml:space="preserve">               Kistérségi Társulás tagdíj (500 Ft/fő)</t>
  </si>
  <si>
    <t xml:space="preserve">    3. Civil szervezeteknek </t>
  </si>
  <si>
    <t xml:space="preserve">Balatonföldvár Város Önkormányzatának </t>
  </si>
  <si>
    <t xml:space="preserve">                      ezer Ft-ban</t>
  </si>
  <si>
    <t>Kiadások</t>
  </si>
  <si>
    <t xml:space="preserve">    Szociális hozzájárulási adó</t>
  </si>
  <si>
    <t>Dologi kiadások összesen</t>
  </si>
  <si>
    <t>Működési kiadások összesen</t>
  </si>
  <si>
    <t xml:space="preserve">    Cafeteria</t>
  </si>
  <si>
    <t>Személyi jellegű kiadások</t>
  </si>
  <si>
    <t>Működési célú kiadások</t>
  </si>
  <si>
    <t>Működési célú kiadások mind
összesen</t>
  </si>
  <si>
    <t>Felhalmozási célú kiadások</t>
  </si>
  <si>
    <t>Személyi juttatás</t>
  </si>
  <si>
    <t>Dologi kiadások</t>
  </si>
  <si>
    <t>Egyéb működési célú kiadások</t>
  </si>
  <si>
    <t>Beruházás</t>
  </si>
  <si>
    <t>Felújítás</t>
  </si>
  <si>
    <t>Egyéb felhalmozási célú kiadás</t>
  </si>
  <si>
    <t>Önkormányzat</t>
  </si>
  <si>
    <t>Intézmények</t>
  </si>
  <si>
    <t>Bevételek / kiadások</t>
  </si>
  <si>
    <t>Összesen</t>
  </si>
  <si>
    <t>Önkormányzat 
mindösszesen</t>
  </si>
  <si>
    <t>Önkormányzati
 hivatal</t>
  </si>
  <si>
    <t>Finanszírozási bevételek</t>
  </si>
  <si>
    <t>Intézményfinanszírozás 
önkormányzati saját bevételből</t>
  </si>
  <si>
    <t xml:space="preserve">Bevételek összesen </t>
  </si>
  <si>
    <t xml:space="preserve">Intézményfinanszírozás </t>
  </si>
  <si>
    <t xml:space="preserve">Bevételek nettósítva összesen </t>
  </si>
  <si>
    <t>Kiadások összesen</t>
  </si>
  <si>
    <t>Kiadások nettósítva összesen</t>
  </si>
  <si>
    <t>Finanszírozási kiadások</t>
  </si>
  <si>
    <t xml:space="preserve">    Egyéb dologi kiadások</t>
  </si>
  <si>
    <t>Létszám (fő)</t>
  </si>
  <si>
    <t xml:space="preserve">    Közlekedési költségtérítés</t>
  </si>
  <si>
    <t xml:space="preserve">     Reprezentáció</t>
  </si>
  <si>
    <t>Működési célú bevételek</t>
  </si>
  <si>
    <t>Bevételek mindösszesen</t>
  </si>
  <si>
    <t>1. Beruházások</t>
  </si>
  <si>
    <t>2. Felújítások</t>
  </si>
  <si>
    <t>-</t>
  </si>
  <si>
    <t>3. Egyéb felhalmozási kiadások</t>
  </si>
  <si>
    <t>Felvétel éve</t>
  </si>
  <si>
    <t>Összege</t>
  </si>
  <si>
    <t>Mindösszesen: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</si>
  <si>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</si>
  <si>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</si>
  <si>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</si>
  <si>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</si>
  <si>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</si>
  <si>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</si>
  <si>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</si>
  <si>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</si>
  <si>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</si>
  <si>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</si>
  <si>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Okt.</t>
  </si>
  <si>
    <t>Nov.</t>
  </si>
  <si>
    <t>Dec.</t>
  </si>
  <si>
    <t>1.Bevételek</t>
  </si>
  <si>
    <t xml:space="preserve">   Bevételek összesen</t>
  </si>
  <si>
    <t>2.Kiadások</t>
  </si>
  <si>
    <t xml:space="preserve">   Működési célú kiadások</t>
  </si>
  <si>
    <t xml:space="preserve">   Beruházás, fejlesztés</t>
  </si>
  <si>
    <t xml:space="preserve">   Kiadások összesen</t>
  </si>
  <si>
    <t>Havi egyenleg</t>
  </si>
  <si>
    <t>Göngyölített egyenleg</t>
  </si>
  <si>
    <t>Balatonföldvár Város Önkormányzata</t>
  </si>
  <si>
    <t>Ellátottak térítési díjának méltányossági alapon elengedett összege</t>
  </si>
  <si>
    <t>Lakosság részére lakásépítéshez, felújításhoz nyújtott kölcsön elengedése</t>
  </si>
  <si>
    <t>Egyéb nyújtott kedvezmény vagy kölcsön elengedésének összege</t>
  </si>
  <si>
    <t>Intézmények 
összesen</t>
  </si>
  <si>
    <t>Munkaadót terhelő járulékok és szociális hozzájárulási adó</t>
  </si>
  <si>
    <t>III. Közhatalmi bevételek</t>
  </si>
  <si>
    <t>EU-s projekt, program megnevezése</t>
  </si>
  <si>
    <t>Projekt azonosító</t>
  </si>
  <si>
    <t>Igényelt támogatás összege</t>
  </si>
  <si>
    <t>Megítélt támogatás összege</t>
  </si>
  <si>
    <t>Projekthez kapcsolódó kiadások</t>
  </si>
  <si>
    <t>Projekt megvalósításhoz kapcsolódó egyéb költségek</t>
  </si>
  <si>
    <t>Projekt megvalósítás során felmerült költségek</t>
  </si>
  <si>
    <t>Elszámolható</t>
  </si>
  <si>
    <t>Nem elszámolható</t>
  </si>
  <si>
    <t>Tám.-i intenzitás
%</t>
  </si>
  <si>
    <r>
      <t>Balatonföldvár Város</t>
    </r>
    <r>
      <rPr>
        <b/>
        <i/>
        <u/>
        <sz val="12"/>
        <rFont val="Arial CE"/>
        <family val="2"/>
        <charset val="238"/>
      </rPr>
      <t xml:space="preserve">Önkormányzatának </t>
    </r>
  </si>
  <si>
    <t xml:space="preserve">    Munkáltatót terhelő szja</t>
  </si>
  <si>
    <t>064010 Közvilágítás</t>
  </si>
  <si>
    <t>Rovat</t>
  </si>
  <si>
    <t>B1-B7</t>
  </si>
  <si>
    <t>B1</t>
  </si>
  <si>
    <t>B11</t>
  </si>
  <si>
    <t>B13</t>
  </si>
  <si>
    <t>B14</t>
  </si>
  <si>
    <t>B15</t>
  </si>
  <si>
    <t>B16</t>
  </si>
  <si>
    <t xml:space="preserve">      1.3. Működési és garancia- és kezességvállalásból származó bevételek</t>
  </si>
  <si>
    <t xml:space="preserve">      1.4. Működési célú visszatérítendő támogatások, kölcsönök visszatérülése</t>
  </si>
  <si>
    <t xml:space="preserve">      1.5. Működési célú visszatérítendő támogatások, kölcsönök igénybevétele</t>
  </si>
  <si>
    <t xml:space="preserve">      1.1. Önkormányzatok működési támogatásai</t>
  </si>
  <si>
    <t xml:space="preserve">      1.6. Egyéb működési célú támogatások</t>
  </si>
  <si>
    <t>B2</t>
  </si>
  <si>
    <t>B21</t>
  </si>
  <si>
    <t>B23</t>
  </si>
  <si>
    <t>B24</t>
  </si>
  <si>
    <t>B25</t>
  </si>
  <si>
    <t xml:space="preserve">      2.3. Felhalmozási célú visszatérítendő támogatások, kölcsönök visszatérülése</t>
  </si>
  <si>
    <t xml:space="preserve">      2.4. Felhalmozási célú visszatérítendő támogatások, kölcsönök igénybevétele</t>
  </si>
  <si>
    <t xml:space="preserve">      2.5. Egyéb felhalmozási célú támogatások</t>
  </si>
  <si>
    <t xml:space="preserve">      2.1. Felhalmozási célú önkormányzati támogatások</t>
  </si>
  <si>
    <t>B3</t>
  </si>
  <si>
    <t>B31</t>
  </si>
  <si>
    <t>B32</t>
  </si>
  <si>
    <t>B33</t>
  </si>
  <si>
    <t>B34</t>
  </si>
  <si>
    <t>B35</t>
  </si>
  <si>
    <t>B36</t>
  </si>
  <si>
    <t xml:space="preserve">      3.1. Jövedelemadók</t>
  </si>
  <si>
    <t xml:space="preserve">      3.2. Szociális hozzájárulási adók és járulékok</t>
  </si>
  <si>
    <t xml:space="preserve">      3.3. Bérhez és foglalkoztatáshoz kapcsolódó adók</t>
  </si>
  <si>
    <t xml:space="preserve">      3.6. Egyéb közhatalmi bevételek</t>
  </si>
  <si>
    <t>B4</t>
  </si>
  <si>
    <t xml:space="preserve">      4.1. Készletértékesítés ellenértéke</t>
  </si>
  <si>
    <t xml:space="preserve">      4.2. Szolgáltatások ellenértéke</t>
  </si>
  <si>
    <t>B401</t>
  </si>
  <si>
    <t>B402</t>
  </si>
  <si>
    <t>B403</t>
  </si>
  <si>
    <t>B404</t>
  </si>
  <si>
    <t>B405</t>
  </si>
  <si>
    <t xml:space="preserve">      4.3. Közvetített szolgáltatások ellenértéke</t>
  </si>
  <si>
    <t xml:space="preserve">      4.4. Tulajdonosi bevételek</t>
  </si>
  <si>
    <t xml:space="preserve">      4.5. Ellátási díjak</t>
  </si>
  <si>
    <t>B406</t>
  </si>
  <si>
    <t xml:space="preserve">      4.6. Kiszámlázott ÁFA</t>
  </si>
  <si>
    <t>B407</t>
  </si>
  <si>
    <t xml:space="preserve">      4.7. ÁFA visszatérítése</t>
  </si>
  <si>
    <t>B408</t>
  </si>
  <si>
    <t xml:space="preserve">      4.8. Kamatbevételek</t>
  </si>
  <si>
    <t>B409</t>
  </si>
  <si>
    <t xml:space="preserve">      4.9. Egyéb pénzügyi műveletek bevételei</t>
  </si>
  <si>
    <t>B12-16</t>
  </si>
  <si>
    <t xml:space="preserve">      1.2. Egyéb működési célú támogatások</t>
  </si>
  <si>
    <t>B22-25</t>
  </si>
  <si>
    <t xml:space="preserve">      2.2. Egyéb felhalmozási célú támogatások</t>
  </si>
  <si>
    <t>B410</t>
  </si>
  <si>
    <t xml:space="preserve">      4.10. Egyéb működési bevételek</t>
  </si>
  <si>
    <t xml:space="preserve">      3.4. Vagyoni típusú adók (építményadó, telekadó)</t>
  </si>
  <si>
    <t xml:space="preserve">      3.5. Termékek és szolgáltatások adói (iparűzési adó, gépjárműadó)</t>
  </si>
  <si>
    <t>B5</t>
  </si>
  <si>
    <t>B51</t>
  </si>
  <si>
    <t>B52</t>
  </si>
  <si>
    <t>B53</t>
  </si>
  <si>
    <t>B54</t>
  </si>
  <si>
    <t>B55</t>
  </si>
  <si>
    <t xml:space="preserve">      5.1. Immateriális javak értékesítése</t>
  </si>
  <si>
    <t xml:space="preserve">      5.2. Ingatlanok értékesítése</t>
  </si>
  <si>
    <t xml:space="preserve">      5.3. Egyéb tárgyi eszközök értékesítése</t>
  </si>
  <si>
    <t xml:space="preserve">      5.4. Részesedések értékesítése</t>
  </si>
  <si>
    <t xml:space="preserve">      5.5. Részesedések megszűnéséhez kapcsolódó bevételek</t>
  </si>
  <si>
    <t>B6</t>
  </si>
  <si>
    <t>B7</t>
  </si>
  <si>
    <r>
      <t xml:space="preserve">B8
</t>
    </r>
    <r>
      <rPr>
        <sz val="6"/>
        <rFont val="Times New Roman"/>
        <family val="1"/>
        <charset val="238"/>
      </rPr>
      <t>(B81-B83)</t>
    </r>
  </si>
  <si>
    <t xml:space="preserve">      6.1. Működési célú garancia- és kezességvállalásból származó megtérülések</t>
  </si>
  <si>
    <t xml:space="preserve">      6.2. Működési célú visszatérítendő támogatások, kölcsönök visszatérülése</t>
  </si>
  <si>
    <t xml:space="preserve">      6.3. Egyéb működési célú átvett pénzeszközök</t>
  </si>
  <si>
    <t>B61</t>
  </si>
  <si>
    <t>B62</t>
  </si>
  <si>
    <t>B63</t>
  </si>
  <si>
    <t>B71</t>
  </si>
  <si>
    <t>B72</t>
  </si>
  <si>
    <t>B73</t>
  </si>
  <si>
    <t xml:space="preserve">      7.1. Felhalmozási célú garancia- és kezességvállalásból származó megtérülések</t>
  </si>
  <si>
    <t xml:space="preserve">      7.2. Felhalmozási célú visszatérítendő támogatások, kölcsönök visszatérülése</t>
  </si>
  <si>
    <t xml:space="preserve">      7.3. Felhalmozási célú átvett pénzeszközök</t>
  </si>
  <si>
    <t>K1-K5</t>
  </si>
  <si>
    <t>K6-K8</t>
  </si>
  <si>
    <t>K9</t>
  </si>
  <si>
    <t>Működési bevételek - kiadások</t>
  </si>
  <si>
    <t>Felhalmozási bevételek - kiadások</t>
  </si>
  <si>
    <t>B111</t>
  </si>
  <si>
    <t>B112</t>
  </si>
  <si>
    <t>B113</t>
  </si>
  <si>
    <t>B114</t>
  </si>
  <si>
    <t>B115</t>
  </si>
  <si>
    <t xml:space="preserve">B116 </t>
  </si>
  <si>
    <t>K1</t>
  </si>
  <si>
    <t>K2</t>
  </si>
  <si>
    <t>K3</t>
  </si>
  <si>
    <t>K4</t>
  </si>
  <si>
    <t>K5</t>
  </si>
  <si>
    <t>I. Működési célú támogatások államháztartáson belülről</t>
  </si>
  <si>
    <t>II. Felhalmozási célú támogatások államháztartáson belülről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</si>
  <si>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</si>
  <si>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</si>
  <si>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</si>
  <si>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</si>
  <si>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 xml:space="preserve">II. Felhalmozási kiadások </t>
  </si>
  <si>
    <t>II. Közhatalmi bevételek</t>
  </si>
  <si>
    <t xml:space="preserve">     2. Termékek és szolgáltatások adói</t>
  </si>
  <si>
    <t xml:space="preserve">          2.1. Iparűzési adó</t>
  </si>
  <si>
    <t>III. Működési bevételek</t>
  </si>
  <si>
    <t xml:space="preserve">      1. Készletértékesítés ellenértéke</t>
  </si>
  <si>
    <t xml:space="preserve">      2. Szolgáltatások ellenértéke</t>
  </si>
  <si>
    <t xml:space="preserve">      3. Közvetített szolgáltatások ellenértéke</t>
  </si>
  <si>
    <t xml:space="preserve">      4. Tulajdonosi bevételek</t>
  </si>
  <si>
    <t xml:space="preserve">      5. Ellátási díjak</t>
  </si>
  <si>
    <t xml:space="preserve">      6. Kiszámlázott ÁFA</t>
  </si>
  <si>
    <t xml:space="preserve">      7. ÁFA visszatérítése</t>
  </si>
  <si>
    <t xml:space="preserve">      9. Egyéb pénzügyi műveletek bevételei</t>
  </si>
  <si>
    <t>IV. Működési célú átvett pénzeszközök</t>
  </si>
  <si>
    <t xml:space="preserve">      1. Működési célú garancia- és kezességvállalásból származó megtérülések</t>
  </si>
  <si>
    <t xml:space="preserve">      2. Működési célú visszatérítendő támogatások, kölcsönök visszatérülése</t>
  </si>
  <si>
    <t xml:space="preserve">      3. Egyéb működési célú átvett pénzeszközök</t>
  </si>
  <si>
    <t>I. Személyi juttatások</t>
  </si>
  <si>
    <t>II. Munkaadót terhelő járulékok és szociális hozzájárulási adó</t>
  </si>
  <si>
    <t>III. Dologi kiadások</t>
  </si>
  <si>
    <t>I. Felhalmozási célú támogatások államháztartáson belülről</t>
  </si>
  <si>
    <t>II. Felhalmozási bevételek</t>
  </si>
  <si>
    <t xml:space="preserve">      4. Részesedések értékesítése</t>
  </si>
  <si>
    <t xml:space="preserve">      5. Részesedések megszűnéséhez kapcsolódó bevételek</t>
  </si>
  <si>
    <t>K6</t>
  </si>
  <si>
    <t xml:space="preserve">    1. Költségvetési hiány belső finanszírozására szolgáló eszközök</t>
  </si>
  <si>
    <t xml:space="preserve">    2. Költségvetési hiány külső finanszírozására szolgáló eszközök</t>
  </si>
  <si>
    <t>5. melléklet</t>
  </si>
  <si>
    <t>6. melléklet</t>
  </si>
  <si>
    <t>7. melléklet</t>
  </si>
  <si>
    <t>Kiküldetések, reklám- és propagandakiadások</t>
  </si>
  <si>
    <t>Különféle befizetések és egyéb dologi kiadások</t>
  </si>
  <si>
    <t>K 31</t>
  </si>
  <si>
    <t>K 32</t>
  </si>
  <si>
    <t>K 33</t>
  </si>
  <si>
    <t>K 331</t>
  </si>
  <si>
    <t>K 34</t>
  </si>
  <si>
    <t>K 35</t>
  </si>
  <si>
    <t>Készletbeszerzés</t>
  </si>
  <si>
    <t xml:space="preserve">     Üzemeltetési anyagok</t>
  </si>
  <si>
    <t>Kommunikációs szolgáltatások</t>
  </si>
  <si>
    <t xml:space="preserve">      Informatikai szolgáltatások</t>
  </si>
  <si>
    <t>Szolgáltatási kiadások</t>
  </si>
  <si>
    <t xml:space="preserve">    Működési célú előzetesen felszámított ÁFA</t>
  </si>
  <si>
    <t xml:space="preserve">    Fizetendő ÁFA</t>
  </si>
  <si>
    <t xml:space="preserve">    Kamatkiadások</t>
  </si>
  <si>
    <t xml:space="preserve">    Egyéb pénzügyi műveletek kiadásai</t>
  </si>
  <si>
    <t xml:space="preserve">K4 </t>
  </si>
  <si>
    <t xml:space="preserve">K3 </t>
  </si>
  <si>
    <t>Személyi juttatások összesen</t>
  </si>
  <si>
    <t>K11</t>
  </si>
  <si>
    <t>Foglalkoztatottak személyi juttatásai</t>
  </si>
  <si>
    <t>K12</t>
  </si>
  <si>
    <t xml:space="preserve">     Kiküldetések </t>
  </si>
  <si>
    <t xml:space="preserve">     Egyéb szolgáltatások</t>
  </si>
  <si>
    <t xml:space="preserve">     Szakmai tevékenységet segítő szolgáltatások</t>
  </si>
  <si>
    <t xml:space="preserve">     Közvetített szolgáltatások</t>
  </si>
  <si>
    <t xml:space="preserve">     Karbantartás, kisjavítás</t>
  </si>
  <si>
    <t xml:space="preserve">     Bérleti és lízingdíjak</t>
  </si>
  <si>
    <t xml:space="preserve">     Közüzemi díjak</t>
  </si>
  <si>
    <t xml:space="preserve">        Festékpatron</t>
  </si>
  <si>
    <t xml:space="preserve">        Hajtó- és kenőanyagok</t>
  </si>
  <si>
    <t xml:space="preserve">        Tisztítószer</t>
  </si>
  <si>
    <t xml:space="preserve">        Könyvvizsgálat</t>
  </si>
  <si>
    <t xml:space="preserve">        Főépítészi szolgáltatás</t>
  </si>
  <si>
    <t xml:space="preserve">     Reklám- és propagandakiadások </t>
  </si>
  <si>
    <t xml:space="preserve">        Betegszállítás</t>
  </si>
  <si>
    <t>áfa</t>
  </si>
  <si>
    <t>013350 Önk.-i vagyonnal való gazdálkodással kapcs. fel.</t>
  </si>
  <si>
    <t>(önkormányzat)</t>
  </si>
  <si>
    <t xml:space="preserve">     Vásárolt élelmezés</t>
  </si>
  <si>
    <t xml:space="preserve">        Munkaruha</t>
  </si>
  <si>
    <t xml:space="preserve">K5 </t>
  </si>
  <si>
    <t xml:space="preserve">K6 </t>
  </si>
  <si>
    <t xml:space="preserve">        Foglalkozás- egészségügyi alapellátás</t>
  </si>
  <si>
    <t>011220 Adó-, vám- és jövedéki igazgatás</t>
  </si>
  <si>
    <t xml:space="preserve">        Jogi szolgáltatás</t>
  </si>
  <si>
    <t xml:space="preserve">         Telefonközpont szolgáltatás</t>
  </si>
  <si>
    <t xml:space="preserve">         Telefonközpont eseti díj</t>
  </si>
  <si>
    <r>
      <t xml:space="preserve">     Szakmai anyagok beszerzése </t>
    </r>
    <r>
      <rPr>
        <sz val="8"/>
        <rFont val="Times New Roman"/>
        <family val="1"/>
        <charset val="238"/>
      </rPr>
      <t>(könyv, folyóirat, napilap, egyéb)</t>
    </r>
  </si>
  <si>
    <t xml:space="preserve">      1. Hazai forrásból származó bevételek</t>
  </si>
  <si>
    <t xml:space="preserve">      2. Európai Uniós forrásból származó bevételek</t>
  </si>
  <si>
    <t xml:space="preserve">               Óvodai nevelés </t>
  </si>
  <si>
    <r>
      <t>Külső személyi juttatások</t>
    </r>
    <r>
      <rPr>
        <sz val="10"/>
        <rFont val="Times New Roman"/>
        <family val="1"/>
        <charset val="238"/>
      </rPr>
      <t xml:space="preserve"> </t>
    </r>
  </si>
  <si>
    <t xml:space="preserve">        Nyomtatvány, papír, irodaszer</t>
  </si>
  <si>
    <t xml:space="preserve">    Alkalmazottak illetménye </t>
  </si>
  <si>
    <t xml:space="preserve">V. Egyéb működési célú kiadások </t>
  </si>
  <si>
    <t>egyenleg</t>
  </si>
  <si>
    <t xml:space="preserve">      1. Beruházások</t>
  </si>
  <si>
    <t xml:space="preserve">      2. Felújítások</t>
  </si>
  <si>
    <t xml:space="preserve">      3. Egyéb felhalmozási célú kiadások</t>
  </si>
  <si>
    <t xml:space="preserve">        Postaköltség</t>
  </si>
  <si>
    <t xml:space="preserve">A. K ö l t s é g v e t é s i   b e v é t e l e k </t>
  </si>
  <si>
    <t xml:space="preserve">B. F i n a n s z í r o z á s i   b e v é t e l e k </t>
  </si>
  <si>
    <t xml:space="preserve">A. K ö l t s é g v e t é s i   k i a d á s o k </t>
  </si>
  <si>
    <t xml:space="preserve">   1. Önkormányzati beruházások</t>
  </si>
  <si>
    <t xml:space="preserve">     2. Hazai támogatásból, saját forrásból megvalósuló felújítások</t>
  </si>
  <si>
    <t xml:space="preserve">B. F i n a n s z í r o z á s i   k i a d á s o k </t>
  </si>
  <si>
    <t xml:space="preserve">      1.2. Hazai támogatásból, saját forrásból megvalósítandó beruházások</t>
  </si>
  <si>
    <t xml:space="preserve">      1.1. Európai Uniós támogatásból megvalósuló beruházások</t>
  </si>
  <si>
    <t xml:space="preserve">A. K ö l t s é g v e t é s i  b e v é t e l e k </t>
  </si>
  <si>
    <t xml:space="preserve">A. K ö l t s é g v e t é s i  k i a d á s o k </t>
  </si>
  <si>
    <t xml:space="preserve">B. F i n a n s z í r o z á s i  b e v é t e l e k </t>
  </si>
  <si>
    <t>B. F i n a n s z í r o z á s i  k i a d á s o k</t>
  </si>
  <si>
    <t>K1-8</t>
  </si>
  <si>
    <t>B1-7</t>
  </si>
  <si>
    <t>K8</t>
  </si>
  <si>
    <t>K7</t>
  </si>
  <si>
    <t>Felhalmozási kiadások
 (beruházás, felújítás, felh. pénzeszk. átadás)</t>
  </si>
  <si>
    <t>Tartalék (működés + felhalmozás)</t>
  </si>
  <si>
    <t>8. melléklet</t>
  </si>
  <si>
    <t>Adósságot keletkeztető ügyletnél figyelembe veendő bevételek (Stabilitási tv. 45.§ (1) a., 10.§ (5) bek. szerint)</t>
  </si>
  <si>
    <t>12. melléklet</t>
  </si>
  <si>
    <t xml:space="preserve">   Közhatalmi bevételek</t>
  </si>
  <si>
    <t xml:space="preserve">   Működési bevételek</t>
  </si>
  <si>
    <t xml:space="preserve">   Működési célú átvett pénzeszközök</t>
  </si>
  <si>
    <t xml:space="preserve">   Felhalmozási bevételek</t>
  </si>
  <si>
    <t>Önerő</t>
  </si>
  <si>
    <t>Projekt megvalósítás költsége mindösszesen</t>
  </si>
  <si>
    <t>Működési célú bevételek/közhatalmi bevételek</t>
  </si>
  <si>
    <t>Felhalmozási bevételek, átvett pénzeszközök</t>
  </si>
  <si>
    <t>Működési célú tartalék</t>
  </si>
  <si>
    <t>Várható/figyelembe vehető saját bevételek</t>
  </si>
  <si>
    <t>Többéves kihatással járó feladatok</t>
  </si>
  <si>
    <t>Felhalmozási célú bevételek</t>
  </si>
  <si>
    <t>Bevételek összesen</t>
  </si>
  <si>
    <t>Önkormányzati bevételek - kiadások</t>
  </si>
  <si>
    <t>Felhalmozási bevételek összesen</t>
  </si>
  <si>
    <t>Működési bevételek összesen</t>
  </si>
  <si>
    <t>Felhalmozási  kiadások összesen</t>
  </si>
  <si>
    <t xml:space="preserve">  1. Belföldi finanszírozás kiadásai</t>
  </si>
  <si>
    <t xml:space="preserve">      1.2. Felhalmozási célú hitel-, kölcsöntörlesztés</t>
  </si>
  <si>
    <t xml:space="preserve">  2. Külföldi finanszírozás kiadásai</t>
  </si>
  <si>
    <t xml:space="preserve">  3. Adóssághoz nem kapcsolódó származékos ügyletek kiadásai</t>
  </si>
  <si>
    <t>Önkormány
zati önerő
 %</t>
  </si>
  <si>
    <r>
      <t xml:space="preserve">     2. Intézményi beruházások</t>
    </r>
    <r>
      <rPr>
        <sz val="10"/>
        <rFont val="Times New Roman"/>
        <family val="1"/>
        <charset val="238"/>
      </rPr>
      <t xml:space="preserve"> </t>
    </r>
  </si>
  <si>
    <t>B411</t>
  </si>
  <si>
    <t>K914</t>
  </si>
  <si>
    <t>Felh. célú támogatások áht-n belülről</t>
  </si>
  <si>
    <t xml:space="preserve">    2. Háztartásoknak </t>
  </si>
  <si>
    <t xml:space="preserve">III. Felhalmozási célú átvett pénzeszközök </t>
  </si>
  <si>
    <t>ÁHB megelőlegezések visszafizetése</t>
  </si>
  <si>
    <t xml:space="preserve">     10. Biztosító által fizetett kártérítés</t>
  </si>
  <si>
    <t>B65</t>
  </si>
  <si>
    <t xml:space="preserve">    Egészségügyi hozzájárulás</t>
  </si>
  <si>
    <t xml:space="preserve">Balatonföldvár Város Önkormányzata </t>
  </si>
  <si>
    <t xml:space="preserve">      7.1. Felhalmozási célú visszatérítendő támogatások, kölcsönök visszatérülése ÁH-n kívülről</t>
  </si>
  <si>
    <t>nettó</t>
  </si>
  <si>
    <t>Bajor Gizi K. H. - konyha és pince felújítása - közbeszerzés</t>
  </si>
  <si>
    <t>Bajor Gizi K. H. - konyha és pince felújítása - műszaki ellenőrzés</t>
  </si>
  <si>
    <t xml:space="preserve">     Bajor Gizi Közösségi Ház karbantartás (hőszivattyú)</t>
  </si>
  <si>
    <t xml:space="preserve">       1.1. Önkormányzat által igényelt állami támogatás továbbadása Többcélú Társulásnak</t>
  </si>
  <si>
    <t>(Balatonföldvári Közös Önkormányzati Hivatal)</t>
  </si>
  <si>
    <t xml:space="preserve">        Fizikoterápiás szolgáltatás </t>
  </si>
  <si>
    <t xml:space="preserve">      1. Immateriális javak értékesítése </t>
  </si>
  <si>
    <t>Beruházások, felújítások, egyéb felh. kiadások</t>
  </si>
  <si>
    <t>Egyéb működési célú kiadások (támogatások, átadások)</t>
  </si>
  <si>
    <t xml:space="preserve">        ÁHB megelőlegezések visszafizetése</t>
  </si>
  <si>
    <t>Saját bevétel</t>
  </si>
  <si>
    <t xml:space="preserve">     Önkormányzat</t>
  </si>
  <si>
    <t xml:space="preserve">      Önkormányzat</t>
  </si>
  <si>
    <t xml:space="preserve">               Szennyvíztársulás működési hozzájárulás</t>
  </si>
  <si>
    <r>
      <t xml:space="preserve">       1.2. Pénzeszközátadás társulásban közösen ellátott feladatokra
               </t>
    </r>
    <r>
      <rPr>
        <sz val="10"/>
        <rFont val="Times New Roman"/>
        <family val="1"/>
        <charset val="238"/>
      </rPr>
      <t>(TKT felosztás külön táblán bemutatva)</t>
    </r>
  </si>
  <si>
    <t>intézményfinanszírozás</t>
  </si>
  <si>
    <t>Működési célú átvett pénzeszközök</t>
  </si>
  <si>
    <t>Működési bevételek</t>
  </si>
  <si>
    <t>közfoglalkoztatottak létszáma</t>
  </si>
  <si>
    <t>önkormányzati bevételek nettósítva</t>
  </si>
  <si>
    <t>önkormányzati kiadások nettósítva</t>
  </si>
  <si>
    <t>ezer Ft</t>
  </si>
  <si>
    <t>Mindösszesen</t>
  </si>
  <si>
    <t xml:space="preserve">                 Működési célú maradvány</t>
  </si>
  <si>
    <t xml:space="preserve">                 Felhalmozási célú maradvány</t>
  </si>
  <si>
    <t>Működési célú maradvány</t>
  </si>
  <si>
    <t>Intézmény
finanszírozás</t>
  </si>
  <si>
    <t>Belföldi finanszírozás
kiadásai</t>
  </si>
  <si>
    <t>Felhalmozási célú
maradvány</t>
  </si>
  <si>
    <t xml:space="preserve">         1.1. Előző évi felhalmozási célú maradvány igénybevétele</t>
  </si>
  <si>
    <t>Előző évi maradvány</t>
  </si>
  <si>
    <t xml:space="preserve">   Előző évi maradvány</t>
  </si>
  <si>
    <t xml:space="preserve">   2. Költségvetési hiány külső finanszírozására szolgáló eszközök</t>
  </si>
  <si>
    <t xml:space="preserve">            Intézményfinanszírozás módosítása Művelődési ház időarányos állami támogatása miatt</t>
  </si>
  <si>
    <t xml:space="preserve">   1. Belföldi finanszírozás bevételei</t>
  </si>
  <si>
    <t xml:space="preserve">        1.1. Előző év költségvetési maradványának igénybevétele</t>
  </si>
  <si>
    <t xml:space="preserve">        Tisztítószer </t>
  </si>
  <si>
    <t xml:space="preserve">        Nyomtatvány, irodaszer </t>
  </si>
  <si>
    <t>Munkaadót terhelő jár., szoc. hozzájárulási adó</t>
  </si>
  <si>
    <t>IV. Ellátottak pénzbeli juttatásai</t>
  </si>
  <si>
    <t>Ellátottak pénzbeli juttatásai</t>
  </si>
  <si>
    <t xml:space="preserve">     Közlekedési költségtérítés (munkábajárás)</t>
  </si>
  <si>
    <t xml:space="preserve">        Bankköltség</t>
  </si>
  <si>
    <t xml:space="preserve">        Földvár TV (Elek Dezső)</t>
  </si>
  <si>
    <t xml:space="preserve">   Finanszírozási kiadások</t>
  </si>
  <si>
    <t xml:space="preserve">        Informatikai kellékek (pl. festékpatron)</t>
  </si>
  <si>
    <r>
      <t xml:space="preserve">      1. Vagyoni típusú adók                 </t>
    </r>
    <r>
      <rPr>
        <sz val="8"/>
        <rFont val="Times New Roman"/>
        <family val="1"/>
        <charset val="238"/>
      </rPr>
      <t xml:space="preserve"> </t>
    </r>
  </si>
  <si>
    <t xml:space="preserve">          1.1. Építményadó                                       </t>
  </si>
  <si>
    <t xml:space="preserve">          2.2. Gépjárműadó (40%)</t>
  </si>
  <si>
    <t xml:space="preserve">      Intézmény (KÖH)</t>
  </si>
  <si>
    <t xml:space="preserve">     Intézmény (KÖH)</t>
  </si>
  <si>
    <t xml:space="preserve">               Gyermekétkeztetési feladatok támogatása</t>
  </si>
  <si>
    <t xml:space="preserve">               Család és gyermekjóléti feladatok, házi segítségnyújtás támogatása </t>
  </si>
  <si>
    <t xml:space="preserve">           Egyéb eszközök javítása, karbantartása</t>
  </si>
  <si>
    <t xml:space="preserve">      2. Önkormányzati intézmények működési kiadásai (hivatal)</t>
  </si>
  <si>
    <t xml:space="preserve">        Foglalkozás eü alapellátás</t>
  </si>
  <si>
    <t xml:space="preserve">    Költségtérítés (polgármester, alpolgármesterek)</t>
  </si>
  <si>
    <t xml:space="preserve">    Képviselői, alpolgármesteri, bizottsági tagi tiszteletdíjak</t>
  </si>
  <si>
    <t xml:space="preserve">               Pénzügyi Gondnokság konyha működtetés, karbantartás (intézményi étkeztetés)</t>
  </si>
  <si>
    <t xml:space="preserve">                     Kilátó</t>
  </si>
  <si>
    <t xml:space="preserve">                                Működési támogatás</t>
  </si>
  <si>
    <t xml:space="preserve">                                 Működési támogatás</t>
  </si>
  <si>
    <t>Feladat
finanszírozás
(intézményi)</t>
  </si>
  <si>
    <t>Egyéb átvett pénzeszköz</t>
  </si>
  <si>
    <t>Finanszírozási bevétel 
(intézményi)</t>
  </si>
  <si>
    <t xml:space="preserve">    Felh. célú támogatások áh-n belülről</t>
  </si>
  <si>
    <t xml:space="preserve">   Felhalmozási célú átvett pénzeszközök</t>
  </si>
  <si>
    <t xml:space="preserve">    Működési célú támogatások áht-n belülről</t>
  </si>
  <si>
    <t>Felhalmozási célú hitel</t>
  </si>
  <si>
    <t xml:space="preserve">Beruházásokhoz, felújításokhoz kapcsolódó, </t>
  </si>
  <si>
    <t>Hitel felvétel</t>
  </si>
  <si>
    <t>ezerFt</t>
  </si>
  <si>
    <t xml:space="preserve">    Készenléti, ügyeleti, helyettesítési díj, túlóra</t>
  </si>
  <si>
    <t xml:space="preserve">Ellátottak pénzbeli juttatásai </t>
  </si>
  <si>
    <t xml:space="preserve">Balatonföldvár "Zöld város program" </t>
  </si>
  <si>
    <t xml:space="preserve">TOP-2.1.2-15-SO1-2016-00002  </t>
  </si>
  <si>
    <t>100</t>
  </si>
  <si>
    <t>B75</t>
  </si>
  <si>
    <r>
      <t xml:space="preserve">             Előadó és Alkotóművészetért Alapítvány</t>
    </r>
    <r>
      <rPr>
        <sz val="8"/>
        <rFont val="Times New Roman"/>
        <family val="1"/>
        <charset val="238"/>
      </rPr>
      <t xml:space="preserve"> (állami támogatás továbbadása közszolg. szerz. szerint)</t>
    </r>
  </si>
  <si>
    <t>Beszámoló előtti ei.mód.</t>
  </si>
  <si>
    <t xml:space="preserve">        1.2. ÁHB megelőlegezések bevétele</t>
  </si>
  <si>
    <t xml:space="preserve">    Egyéb személyi juttatás (bérkomp., betegszabi, táppénz)</t>
  </si>
  <si>
    <t>EU-s pályázati projektek részletezése</t>
  </si>
  <si>
    <t>Kulipinytó villa turisztikai hasznosítása - TOP-1.2.1-15-SO1-2016-00008   -  Támogatási összeg : 120 000 000.- Ft</t>
  </si>
  <si>
    <t>Balatonföldváron a nyugati strand turisztikai infrastruktúrájának fejlesztése - TOP-1.2.1-15-SO1-2016-00009 Támogatási összeg : 150 000 000.- Ft</t>
  </si>
  <si>
    <t>Balatonföldvár "Zöld város program" megvalósítása  TOP-2.1.2-15-SO1-2016-00002  Támogatási összeg : 680 000 000.- Ft</t>
  </si>
  <si>
    <t>Balatonföldvári önkormányzati hivatal épületének energetikai korszerűsítése - TOP-3.2.1-15-SO1-2016-00012 Támogatási összeg : 234 794 998.- Ft</t>
  </si>
  <si>
    <t>Projekt megnevezése / 
költség</t>
  </si>
  <si>
    <t>Zöld város</t>
  </si>
  <si>
    <t>Kulipintyó villa</t>
  </si>
  <si>
    <t>Nyugati strand</t>
  </si>
  <si>
    <t>Hivatal ép.korsz.</t>
  </si>
  <si>
    <t>Nettó</t>
  </si>
  <si>
    <t>ÁFA</t>
  </si>
  <si>
    <t>Bruttó</t>
  </si>
  <si>
    <t>Építési költségek</t>
  </si>
  <si>
    <t>Építési költségek összesen</t>
  </si>
  <si>
    <t>Eszközbeszerzés</t>
  </si>
  <si>
    <t>Műszaki tervek</t>
  </si>
  <si>
    <t>Hatósági díjak</t>
  </si>
  <si>
    <t>Kiviteli tervek</t>
  </si>
  <si>
    <t>Közbeszerzés ktg.</t>
  </si>
  <si>
    <t>Műszaki ellenőrzés</t>
  </si>
  <si>
    <t>Nyilvánosság</t>
  </si>
  <si>
    <t>ITS és Akcióterületi Terv</t>
  </si>
  <si>
    <t>Könyvvizsgálat</t>
  </si>
  <si>
    <t>Képzéshez kapcsolódó ktg. (tananyag fejlesztése)</t>
  </si>
  <si>
    <t>Marketing, egyéb kommunikáció</t>
  </si>
  <si>
    <t>Személyi jellegű kiadások (projektmenedzsment ktg.)</t>
  </si>
  <si>
    <t>Összesen (tám.szerz.szerint,
 önkormányzat</t>
  </si>
  <si>
    <t>Kapott előleg</t>
  </si>
  <si>
    <t>Még várható támogatás</t>
  </si>
  <si>
    <t>már kifizetett tételek 
(2016, 2017), dologiból</t>
  </si>
  <si>
    <t xml:space="preserve">Dologi 2018. évi 
költségvetésbe </t>
  </si>
  <si>
    <t xml:space="preserve">        Szúnyogirtás</t>
  </si>
  <si>
    <t xml:space="preserve">Beruházások </t>
  </si>
  <si>
    <t xml:space="preserve">          1.2. Kommunális adó                                      </t>
  </si>
  <si>
    <t xml:space="preserve">          1.3. Telekadó                                                   </t>
  </si>
  <si>
    <t>Előirányzatok változása 
Bevételek/kiadások változása</t>
  </si>
  <si>
    <t>KÖH</t>
  </si>
  <si>
    <t>B8</t>
  </si>
  <si>
    <t>I. Költségvetési bevételek belső finanszírozására szolgáló eszközök</t>
  </si>
  <si>
    <t xml:space="preserve">    Előző évi pénzmaradvány igénybevétele</t>
  </si>
  <si>
    <t xml:space="preserve">   ÁHB megelőlegezések bevétele</t>
  </si>
  <si>
    <t>II. Költségvetési bevételek külső finanszírozására szolgáló eszközök</t>
  </si>
  <si>
    <t>Költségvetési bevételek mindösszesen</t>
  </si>
  <si>
    <t>K1-K8</t>
  </si>
  <si>
    <t>K1101</t>
  </si>
  <si>
    <t>K1113</t>
  </si>
  <si>
    <t>K122</t>
  </si>
  <si>
    <t>K331</t>
  </si>
  <si>
    <t>K336</t>
  </si>
  <si>
    <t>K337</t>
  </si>
  <si>
    <t>K351</t>
  </si>
  <si>
    <t>K355</t>
  </si>
  <si>
    <t>K506</t>
  </si>
  <si>
    <t>K512</t>
  </si>
  <si>
    <t>K513</t>
  </si>
  <si>
    <t xml:space="preserve">     Felhalmozási célú céltartalék </t>
  </si>
  <si>
    <t>Költségvetési kiadások mindösszesen</t>
  </si>
  <si>
    <t>K71</t>
  </si>
  <si>
    <t>K123</t>
  </si>
  <si>
    <t xml:space="preserve">      " Kulipintyó villa turisztikai hasznosítása" kivitelezés + eszköz  (átcsop. K6-ra)</t>
  </si>
  <si>
    <t xml:space="preserve">      " Nyugati strand turisztikai infrastruktúrájának fejl." kivitelezés (átcsop. K6-ra)</t>
  </si>
  <si>
    <t xml:space="preserve">       Nyilvános illemhely útszakasz burkolása</t>
  </si>
  <si>
    <t>K1107</t>
  </si>
  <si>
    <t>13/2. melléklet a 4/2018.(II.28.) önkormányzati rendelethez</t>
  </si>
  <si>
    <t>B351</t>
  </si>
  <si>
    <t>K352</t>
  </si>
  <si>
    <t xml:space="preserve">     Fizetendő ÁFA</t>
  </si>
  <si>
    <t>K1109</t>
  </si>
  <si>
    <t>K1106</t>
  </si>
  <si>
    <t xml:space="preserve">        Műszaki jellegű szolgáltatások</t>
  </si>
  <si>
    <t xml:space="preserve">        Gyermek- és felnőtt eü szolgáltatás</t>
  </si>
  <si>
    <t xml:space="preserve">               EFOP projekt</t>
  </si>
  <si>
    <t>bruttó</t>
  </si>
  <si>
    <t xml:space="preserve">               Hivatal energetikai felújítása</t>
  </si>
  <si>
    <r>
      <t xml:space="preserve">        Beruházásokhoz kapcsolódó előkészítési 
        és egyéb járulékos költségek, dologi kiadások* </t>
    </r>
    <r>
      <rPr>
        <b/>
        <sz val="8"/>
        <rFont val="Times New Roman"/>
        <family val="1"/>
        <charset val="238"/>
      </rPr>
      <t xml:space="preserve">alább </t>
    </r>
  </si>
  <si>
    <t xml:space="preserve">             TDM Egyesület</t>
  </si>
  <si>
    <t xml:space="preserve">               Működési célú maradvány</t>
  </si>
  <si>
    <t xml:space="preserve">        Felhalmozási célú átvett pénzeszközök (Nonprofit Kft. hiteltörlesztés)</t>
  </si>
  <si>
    <t xml:space="preserve">                  Zöld Város projekt</t>
  </si>
  <si>
    <t xml:space="preserve">                  Hivatal energetikai felújítása</t>
  </si>
  <si>
    <t xml:space="preserve">   Számítástechnikai szoftverek,  egyéb tárgyi e. beszerzése </t>
  </si>
  <si>
    <t xml:space="preserve"> Állami támogatás</t>
  </si>
  <si>
    <t>Futamidő (fizetési kötelezettség, tőke + kamat)</t>
  </si>
  <si>
    <t>Önkormány
zati önerő összege
beadott pályázat szerint</t>
  </si>
  <si>
    <t xml:space="preserve">      1.3.  Meglévő részesedések növeléséhez kapcsolódó kiadások</t>
  </si>
  <si>
    <t>I. Működési célú támogatások államháztartáson belülről (A+B+C+D)</t>
  </si>
  <si>
    <t xml:space="preserve">             Közös Önkormányzati Hivatal (szoftverek, számítástech. és egyéb tárgyi eszk. beszerzés)</t>
  </si>
  <si>
    <t>Átvett pénzeszköz (TKT)</t>
  </si>
  <si>
    <t>Átvett pénzeszköz (közös hivatali önkormányzatok)</t>
  </si>
  <si>
    <t xml:space="preserve">    Kamatkiadások (hitelkamat)</t>
  </si>
  <si>
    <r>
      <t xml:space="preserve">      Egyéb kommunikációs szolgáltatások</t>
    </r>
    <r>
      <rPr>
        <sz val="8"/>
        <rFont val="Times New Roman"/>
        <family val="1"/>
        <charset val="238"/>
      </rPr>
      <t xml:space="preserve"> (telefon)</t>
    </r>
  </si>
  <si>
    <t xml:space="preserve">    Fizetendő ÁFA ** alább részletezve</t>
  </si>
  <si>
    <t xml:space="preserve">        Különféle adók, díjak, adójellegű befiz., hj.-ok, egyéb dologi</t>
  </si>
  <si>
    <t>Egyéb</t>
  </si>
  <si>
    <t>működési többlet (pénzmaradvány, tartalék nélkül)</t>
  </si>
  <si>
    <t xml:space="preserve">             Összpróba Alapítvány</t>
  </si>
  <si>
    <t xml:space="preserve">             Nyári rendezvények finanszírozása</t>
  </si>
  <si>
    <t>Adósságot keletkeztető ügylet
(kiadás)
Stabilitási tv. 8.§ (2) bek.</t>
  </si>
  <si>
    <t>Tőke</t>
  </si>
  <si>
    <t>Kamat</t>
  </si>
  <si>
    <t>Fejlesztési célú hitel (közterületi parkolók kialakítása)</t>
  </si>
  <si>
    <t>Fejlesztési célú hitel (útfelújítás)</t>
  </si>
  <si>
    <t>K1103</t>
  </si>
  <si>
    <t xml:space="preserve">     Jutalom</t>
  </si>
  <si>
    <t>B354</t>
  </si>
  <si>
    <t>B355</t>
  </si>
  <si>
    <t xml:space="preserve">     Szociális étkeztetés csomagolás</t>
  </si>
  <si>
    <t xml:space="preserve">      Önerős felújítások elmaradása</t>
  </si>
  <si>
    <t xml:space="preserve"> </t>
  </si>
  <si>
    <t>1. melléklet</t>
  </si>
  <si>
    <t>2. melléklet</t>
  </si>
  <si>
    <t>3. melléklet</t>
  </si>
  <si>
    <t>4. melléklet</t>
  </si>
  <si>
    <t>9. melléklet</t>
  </si>
  <si>
    <t>10. melléklet</t>
  </si>
  <si>
    <r>
      <rPr>
        <b/>
        <i/>
        <sz val="12"/>
        <rFont val="Arial CE"/>
        <charset val="238"/>
      </rPr>
      <t xml:space="preserve"> </t>
    </r>
    <r>
      <rPr>
        <b/>
        <i/>
        <u/>
        <sz val="12"/>
        <rFont val="Arial CE"/>
        <charset val="238"/>
      </rPr>
      <t xml:space="preserve">Balatonföldvár Város Önkormányzatának </t>
    </r>
  </si>
  <si>
    <t>K312</t>
  </si>
  <si>
    <t xml:space="preserve">     Járulékok </t>
  </si>
  <si>
    <t xml:space="preserve">     Hivatal működésének támogatása (kiegészítő támogatás)</t>
  </si>
  <si>
    <t xml:space="preserve">     Béren kívüli juttatás (kiegészítő támogatásból)</t>
  </si>
  <si>
    <t xml:space="preserve">     Települési önk.-ok egyes köznevelési feladatainak tám.-a (óvoda) (kiegészítő támogatás)</t>
  </si>
  <si>
    <t xml:space="preserve">     Család és gyermekjóléti szolgálat (kiegészítő támogatás)</t>
  </si>
  <si>
    <t xml:space="preserve">     2019. évi normatíva elszámolásból adódó többlettámogatás továbbadása</t>
  </si>
  <si>
    <t xml:space="preserve">     Gépjárműadó központi elvonás </t>
  </si>
  <si>
    <t xml:space="preserve">     Iparűzési adó</t>
  </si>
  <si>
    <t>K341</t>
  </si>
  <si>
    <t xml:space="preserve">     2. Egyéb működési célú pénzeszközátadás </t>
  </si>
  <si>
    <t xml:space="preserve">     Települési önk.-ok egyes köznevelési feladatainak tám.-a (óvoda) (októberi felmérés)</t>
  </si>
  <si>
    <t>intézmény finanszírozás növelése</t>
  </si>
  <si>
    <t>Teljesítés 2021.12.31.</t>
  </si>
  <si>
    <t>Önkormányzat (módosított előirányzat 2021. .havi)</t>
  </si>
  <si>
    <t xml:space="preserve">       Kötelező (módosított előirányzat 2021. .havi)</t>
  </si>
  <si>
    <t>KÖH (módosított előirányzat 2021. .havi)</t>
  </si>
  <si>
    <t>Önk.mindösszesen (módosított ei. 2021. .havi)</t>
  </si>
  <si>
    <t>Önk.mindösszesen (Teljesítés 2021.12.31.)</t>
  </si>
  <si>
    <t xml:space="preserve">       Teljesítés 2021.12.31.</t>
  </si>
  <si>
    <t>Önkormányzat: Teljesítés 2021.12.31.</t>
  </si>
  <si>
    <t>KÖH: Teljesítés 2021.12.31.</t>
  </si>
  <si>
    <t>Módosított előirányzat 2021.12.31</t>
  </si>
  <si>
    <t xml:space="preserve">    1. A helyi önkormányzatok általános működésének és ágazati feladatainak támogatása</t>
  </si>
  <si>
    <t xml:space="preserve">        1.1. A települési önkormányzatok működésének általános támogatása</t>
  </si>
  <si>
    <t xml:space="preserve">           1.1.1. A települési önkormányzatok működésének támogatása</t>
  </si>
  <si>
    <t xml:space="preserve">              1.1.1.1. Önkormányzati hivatal működésének támogatása</t>
  </si>
  <si>
    <t xml:space="preserve">              1.1.1.6. Egyéb önkormányzati feladatok támogatása </t>
  </si>
  <si>
    <t xml:space="preserve">              1.1.1.7. Lakott külterülettel kapcsolatos feladatok támogatása</t>
  </si>
  <si>
    <t xml:space="preserve">           1.1.2. Nem közművel összegyűjtött háztartási szennyvíz ártalmatlanítása</t>
  </si>
  <si>
    <t xml:space="preserve">           1.1.3. Határátkelőhelyek fenntartásának támogatása</t>
  </si>
  <si>
    <r>
      <t xml:space="preserve">       1.2. A települési önkormányzatok egyes köznevelési feladatainak támogatása</t>
    </r>
    <r>
      <rPr>
        <sz val="8"/>
        <rFont val="Times New Roman"/>
        <family val="1"/>
        <charset val="238"/>
      </rPr>
      <t xml:space="preserve"> (TKT)</t>
    </r>
  </si>
  <si>
    <t xml:space="preserve">       1.3. A települési önkormányzatok egyes szociális és gyermekjóléti feladatainak támogatása</t>
  </si>
  <si>
    <t xml:space="preserve">          1.3.1. A települési önkormányzatok szociális és gyermekjóléti feladatainak egyéb támogatása</t>
  </si>
  <si>
    <t xml:space="preserve">          1.3.2. Egyes szociális és gyermekjóléti feladatok támogatása</t>
  </si>
  <si>
    <r>
      <t xml:space="preserve">             1.3.2.1. Család- és gyermekjóléti szolgálatt </t>
    </r>
    <r>
      <rPr>
        <sz val="8"/>
        <rFont val="Times New Roman"/>
        <family val="1"/>
        <charset val="238"/>
      </rPr>
      <t>(TKT)</t>
    </r>
  </si>
  <si>
    <t xml:space="preserve">             1.3.2.3. Szociális étkeztetés </t>
  </si>
  <si>
    <t xml:space="preserve">             1.3.2.4. Házi segítségnyújtás </t>
  </si>
  <si>
    <r>
      <t xml:space="preserve">                1.3.2.4.3. Személyi gondozás - társulás által történő feladatellátás </t>
    </r>
    <r>
      <rPr>
        <sz val="8"/>
        <rFont val="Times New Roman"/>
        <family val="1"/>
        <charset val="238"/>
      </rPr>
      <t>(TKT)</t>
    </r>
  </si>
  <si>
    <t xml:space="preserve">             1.3.2.5. Falugondnoki vagy tanyagondnoki szolgáltatás</t>
  </si>
  <si>
    <t xml:space="preserve">       1.4. A települési önkormányzatok gyermekétkeztetési feladatainak támogatása</t>
  </si>
  <si>
    <t xml:space="preserve">          1.4.1. Intézményi gyermekétkeztetés támogatása</t>
  </si>
  <si>
    <t xml:space="preserve">             1.4.1.1. Intézményi gyermekétkeztetés - bértámogatás (TKT)</t>
  </si>
  <si>
    <t xml:space="preserve">             1.4.1.2. Intézményi gyermekétkeztetés - üzemeltetési támogatás (TKT)</t>
  </si>
  <si>
    <t xml:space="preserve">          1.4.2. Szünidei étkeztetés támogatása </t>
  </si>
  <si>
    <t xml:space="preserve">       1.5. A települési önkormányzatok kulturális feladatainak támogatása</t>
  </si>
  <si>
    <t xml:space="preserve">       2. Működési célú költségvetési támogatások és kiegészítő támogatások</t>
  </si>
  <si>
    <t xml:space="preserve">       2.1. A helyi önkormányzatok kiegészítő támogatásai</t>
  </si>
  <si>
    <t xml:space="preserve">          2.1.1. Lakossági víz- és csatornaszolgáltatás támogatása</t>
  </si>
  <si>
    <t xml:space="preserve">          2.1.4. A nem közművel összegyűjtött háztartási szennyvíz ideiglenes begyűjtésére kijelölt közérdekű közszolgáltató meg nem térülő költségeinek támogatása</t>
  </si>
  <si>
    <t xml:space="preserve">          2.1.5. Önkormányzatok rendkívüli támogatása        </t>
  </si>
  <si>
    <t xml:space="preserve">          2.2.1. A települési önkormányzatok szociális célú tüzelőanyag vásárlásához kapcsolódó támogatása</t>
  </si>
  <si>
    <t xml:space="preserve">          2.2.3. Óvodai és iskolai szociális segítő tevékenység támogatása</t>
  </si>
  <si>
    <t xml:space="preserve">      Egyéb működési célú támogatások államháztartáson belülről </t>
  </si>
  <si>
    <t xml:space="preserve">          2.2.2. Szociális ágazati összevont pótlék és egészségügyi kiegészítő pótlék (TKT)</t>
  </si>
  <si>
    <t xml:space="preserve">       2.2. A települési önkormányzatok egyes szociális és gyermekjóléti feladatainak működési célú támogatása</t>
  </si>
  <si>
    <t xml:space="preserve">       2.3. A települési önkormányzatok kulturális feladatainak működési célú támogatása</t>
  </si>
  <si>
    <t xml:space="preserve">              Nonprofit Kft. működési támogatás (állami)</t>
  </si>
  <si>
    <t xml:space="preserve">              Nonprofit Kft. működési támogatás (saját)</t>
  </si>
  <si>
    <t xml:space="preserve">                1.3.2.3.1. Szociális étkeztetés - önálló feladatellátás</t>
  </si>
  <si>
    <t xml:space="preserve">              1.1.1.2. Településüzemeltetés - zöldterület-gazdálkodás támogatása (Nonprofit Kft.)</t>
  </si>
  <si>
    <t xml:space="preserve">              1.1.1.4. Településüzemeltetés - köztemető támogatása (Nonprofit Kft.)</t>
  </si>
  <si>
    <t xml:space="preserve">              1.1.1.5. Településüzemeltetés - közutak támogatása (Nonprofit Kft.)</t>
  </si>
  <si>
    <t>Állami támogatás</t>
  </si>
  <si>
    <t xml:space="preserve">          Pénzeszközátvétel Többcélú Társulástól (Hivatal) </t>
  </si>
  <si>
    <r>
      <t xml:space="preserve">          1.5.2. Települési önk.-ok nyilvános könyvtári és a közművelődési feladatainak tám.-a </t>
    </r>
    <r>
      <rPr>
        <sz val="8"/>
        <rFont val="Times New Roman"/>
        <family val="1"/>
        <charset val="238"/>
      </rPr>
      <t>(Nonprofit Kft.)</t>
    </r>
  </si>
  <si>
    <t xml:space="preserve">        Szociális célú tűzifa besz. </t>
  </si>
  <si>
    <t>074031 Család és nővédelmi egészségügyi gondozás</t>
  </si>
  <si>
    <t>zö</t>
  </si>
  <si>
    <t>előleg kifiz.</t>
  </si>
  <si>
    <t>visszalévő</t>
  </si>
  <si>
    <t>váll. díj</t>
  </si>
  <si>
    <t xml:space="preserve">fordított áfa </t>
  </si>
  <si>
    <t>opcióval, ráemeléssel</t>
  </si>
  <si>
    <t>ráemelés</t>
  </si>
  <si>
    <t>Fizetendő áfa **</t>
  </si>
  <si>
    <t>működésben jelentkező költségek tételesen *</t>
  </si>
  <si>
    <t>korrekció (beruházásokhoz kapcsolódó működésben jelentkező kapcsolódó kiadások)</t>
  </si>
  <si>
    <t>korrekció (beruházások fordított áfa fizetési kötelezettsége)</t>
  </si>
  <si>
    <t xml:space="preserve">           Ebből felhalmozási célú céltartalék</t>
  </si>
  <si>
    <t xml:space="preserve">           2020. évi áthúzódó bérkompenzáció</t>
  </si>
  <si>
    <t xml:space="preserve">          2.2. Idegenforgalmi adó</t>
  </si>
  <si>
    <t xml:space="preserve">        Főszerkesztői feladatok ellátása</t>
  </si>
  <si>
    <t>működési egyenleg</t>
  </si>
  <si>
    <t>Települések</t>
  </si>
  <si>
    <t>Lakosságszám 
(fő)</t>
  </si>
  <si>
    <t xml:space="preserve">TKT </t>
  </si>
  <si>
    <t>Társulási díj   
500Ft/fő/év</t>
  </si>
  <si>
    <t>TKT működési h.jár</t>
  </si>
  <si>
    <t xml:space="preserve">Ügyelet  </t>
  </si>
  <si>
    <t xml:space="preserve">Labor  </t>
  </si>
  <si>
    <t>TKT
összesen</t>
  </si>
  <si>
    <t xml:space="preserve">BTKT TV </t>
  </si>
  <si>
    <t>JHS</t>
  </si>
  <si>
    <t xml:space="preserve">Családseg.,Gyerm.jólét </t>
  </si>
  <si>
    <t xml:space="preserve">Óvodák (Bf. Bálv.) </t>
  </si>
  <si>
    <t xml:space="preserve">PÜG iroda, étkeztetés </t>
  </si>
  <si>
    <t xml:space="preserve">Intézmények
összesen                         </t>
  </si>
  <si>
    <t>különb
ség</t>
  </si>
  <si>
    <t>B.földvár</t>
  </si>
  <si>
    <t>B.őszöd</t>
  </si>
  <si>
    <t>B.szárszó</t>
  </si>
  <si>
    <t>B.szemes</t>
  </si>
  <si>
    <t>Bálványos</t>
  </si>
  <si>
    <t>Kereki</t>
  </si>
  <si>
    <t>Kőröshegy</t>
  </si>
  <si>
    <t>Kötcse</t>
  </si>
  <si>
    <t>N.csepely</t>
  </si>
  <si>
    <t>P.szemes</t>
  </si>
  <si>
    <t>Szántód</t>
  </si>
  <si>
    <t>Szólád</t>
  </si>
  <si>
    <t>Teleki</t>
  </si>
  <si>
    <t>Balatonendréd</t>
  </si>
  <si>
    <t xml:space="preserve">előző év
</t>
  </si>
  <si>
    <t>2024. évi eredeti előirányzat</t>
  </si>
  <si>
    <t xml:space="preserve">          Ágazati pótlék</t>
  </si>
  <si>
    <t xml:space="preserve">           Táncművészeti szervek támogatása (Előadó és Alkotóművészetért Alapítvány)</t>
  </si>
  <si>
    <t xml:space="preserve">     Közutak támogatása (kiegészítő támogatás)</t>
  </si>
  <si>
    <t xml:space="preserve">     Szociális étkeztetés állami támogatás átadása (májusi felmérés)</t>
  </si>
  <si>
    <t xml:space="preserve">     Intézményi gyermekétkeztetés - bértámogatás (májusi felmérés alapján)</t>
  </si>
  <si>
    <t xml:space="preserve">            Szociális ágazati pótlék</t>
  </si>
  <si>
    <t xml:space="preserve">     Szociális ágazati pótlék (átcsoportosítás B115-ről) </t>
  </si>
  <si>
    <t xml:space="preserve">     Egyéb személyi juttatás: védőnő OEP fin.</t>
  </si>
  <si>
    <t>K121</t>
  </si>
  <si>
    <t>K332</t>
  </si>
  <si>
    <t>K5021</t>
  </si>
  <si>
    <t>K311</t>
  </si>
  <si>
    <t>K322</t>
  </si>
  <si>
    <t>K334</t>
  </si>
  <si>
    <t xml:space="preserve">         3.1. Egyéb felh.-i célú tám. visszafizetés</t>
  </si>
  <si>
    <t xml:space="preserve">    Egyéb felhalmozási célú kiadások</t>
  </si>
  <si>
    <t xml:space="preserve">031030 Közterület felügyelet </t>
  </si>
  <si>
    <t>K84</t>
  </si>
  <si>
    <t xml:space="preserve">      Vízisport és Vitorlás Egyesület támogatása</t>
  </si>
  <si>
    <t xml:space="preserve">     IFA ellenőrök megbízási djía </t>
  </si>
  <si>
    <t xml:space="preserve">        Biztosítások (vagyon, jogvédelem, felelősségbizt.)</t>
  </si>
  <si>
    <t xml:space="preserve">     Intézményi gyermekétkeztetés - üzemeltetési támogatás (kiegészítő támogatás)</t>
  </si>
  <si>
    <t xml:space="preserve">     Intézményi gyermekétkeztetés - üzemeltetési tám. átadás TKT részére (kiegészítő felmérés alapján)</t>
  </si>
  <si>
    <t xml:space="preserve">          2.1.6. Önkormányzati elszámolások (iparűzési adó kieg.tám.)</t>
  </si>
  <si>
    <t xml:space="preserve">     Idegenforgalmi adó bevételek</t>
  </si>
  <si>
    <t xml:space="preserve">         3.2. Felhalmozási célú támogatások ÁHK-re</t>
  </si>
  <si>
    <t>K89</t>
  </si>
  <si>
    <t xml:space="preserve">     Kiszámlázott ÁFA</t>
  </si>
  <si>
    <t>K335</t>
  </si>
  <si>
    <t xml:space="preserve">      Bajcsy-Zs. u. járdaszegély építése (szivattyúpark pályázaton kívüli rész)</t>
  </si>
  <si>
    <t xml:space="preserve">     Működési célú tartalék</t>
  </si>
  <si>
    <t xml:space="preserve">    Fejlesztési célú hitel  felvétele (ingatlan vásárlás)  (8/2021.(VI.24.))</t>
  </si>
  <si>
    <t xml:space="preserve">     Idegenforgalmi adóhoz kapcsolódó kieg.tám. (2020. évről 2.532 e Ft) átcsop.B116-ra</t>
  </si>
  <si>
    <t>Fejlesztési célú hitel (ingatlan vásárlás)</t>
  </si>
  <si>
    <t xml:space="preserve">   </t>
  </si>
  <si>
    <t xml:space="preserve">      Egyéb működési támogatás ÁHK-ről</t>
  </si>
  <si>
    <t>Változás (összeg)</t>
  </si>
  <si>
    <t>11. melléklet</t>
  </si>
  <si>
    <t>1 Ft kerekítés</t>
  </si>
  <si>
    <t xml:space="preserve">          Állami támogatás visszatérítése TKT-tól</t>
  </si>
  <si>
    <t>fordított áfa (működésben)</t>
  </si>
  <si>
    <t>projekthez kapcsolódó egyéb kiadások (működésben)</t>
  </si>
  <si>
    <t xml:space="preserve">         Hitel törlesztés (OTP fejlesztési hitelek)</t>
  </si>
  <si>
    <t>Választás támogatása</t>
  </si>
  <si>
    <t>2025. évi eredeti előirányzat</t>
  </si>
  <si>
    <t>Projekt eredeti összköltsége
(Bföldvárra jutó)
további a konzorciumi partnereknél</t>
  </si>
  <si>
    <t xml:space="preserve">          Kulturális támogatás bérfejesztés fedezetére</t>
  </si>
  <si>
    <t xml:space="preserve">      2. Felhalmozási célú támogatások államháztartáson kívülre</t>
  </si>
  <si>
    <t xml:space="preserve">14. melléklet </t>
  </si>
  <si>
    <t>Költségvetési bevételek</t>
  </si>
  <si>
    <t>Költségvetési kiadások</t>
  </si>
  <si>
    <t xml:space="preserve">A. Költségvetési bevételek </t>
  </si>
  <si>
    <t xml:space="preserve">A. Költségvetési kiadások </t>
  </si>
  <si>
    <t>I. Működési költségvetési bevételek</t>
  </si>
  <si>
    <t xml:space="preserve">I. Működési költségvetési kiadások </t>
  </si>
  <si>
    <t>1.Működési célú támogatások államháztartáson belülről</t>
  </si>
  <si>
    <t>1. Személyi juttatások</t>
  </si>
  <si>
    <t>2. Közhatalmi bevételek</t>
  </si>
  <si>
    <t>2.  Munkaadókat terhelő járulékok és szociális hozzájárulási adó</t>
  </si>
  <si>
    <t>3. Működési bevételek</t>
  </si>
  <si>
    <t>3. Dologi kiadások</t>
  </si>
  <si>
    <t>4. Működési célú átvett pénzeszközök</t>
  </si>
  <si>
    <t>4. Ellátottak pénzbeli juttatásai</t>
  </si>
  <si>
    <t>5. Egyéb működési célú kiadások</t>
  </si>
  <si>
    <t>II. Felhalmozási költségvetési bevételek</t>
  </si>
  <si>
    <t xml:space="preserve">II. Felhalmozási költségvetési kiadások </t>
  </si>
  <si>
    <t>1. Felhalmozási célú támogatások államháztartáson belülről</t>
  </si>
  <si>
    <t>2. Felhalmozási bevételek</t>
  </si>
  <si>
    <t>3. Felhalmozási célú átvett pénzeszközök</t>
  </si>
  <si>
    <t>3. Egyéb felhalmozási célú kiadások</t>
  </si>
  <si>
    <t>B. Finanszírozási bevételek</t>
  </si>
  <si>
    <t>B. Finanszírozási kiadások</t>
  </si>
  <si>
    <t>1. Belföldi finanszírozás bevételei</t>
  </si>
  <si>
    <t>1. Belföldi finanszírozás kiadásai</t>
  </si>
  <si>
    <t xml:space="preserve">1.1. Előző év költségvetési maradványának igénybevétele (belső finanszírozás) </t>
  </si>
  <si>
    <t xml:space="preserve">        Hitel törlesztés</t>
  </si>
  <si>
    <t>Felhalmozási célú maradvány</t>
  </si>
  <si>
    <t>3. Külföldi finanszírozás kiadásai</t>
  </si>
  <si>
    <t xml:space="preserve">    1.2. ÁHB megelőlegezés</t>
  </si>
  <si>
    <t>2. Költségvetési hiány külső finanszírozására szolgáló eszközök</t>
  </si>
  <si>
    <t xml:space="preserve">        MFP (óvoda): pályázat műszaki tartalmának elkészítése</t>
  </si>
  <si>
    <t xml:space="preserve">     MFP: útfelújítás támogatása</t>
  </si>
  <si>
    <t>K342</t>
  </si>
  <si>
    <t xml:space="preserve">     Keleti strand felújítás támogatása (Kisfaludy)</t>
  </si>
  <si>
    <t xml:space="preserve">     Nyugati strand felújítás támogatása (Kisfaludy)</t>
  </si>
  <si>
    <t xml:space="preserve">      Városháza előtti tér (parkoló, park) felújítása (68/2022.(V.6.))</t>
  </si>
  <si>
    <t xml:space="preserve">     Szociális étkeztetés állami normatíva (átcsoportosítás K332-re)</t>
  </si>
  <si>
    <t xml:space="preserve">     DRV Zrt. lakossági víz és csatornaszolg. tám. továbbutalása </t>
  </si>
  <si>
    <t xml:space="preserve">          Gyógyító Megelőző Ellátás finanszírozás (védőnő)</t>
  </si>
  <si>
    <t xml:space="preserve">          Egyéb működési célú támogatások </t>
  </si>
  <si>
    <t xml:space="preserve">     Közlekedési költségtérítés (védőnő)</t>
  </si>
  <si>
    <t xml:space="preserve">     Iskola energetikai korszerűsítése támogatás (előleg)</t>
  </si>
  <si>
    <t>K353</t>
  </si>
  <si>
    <t>K333</t>
  </si>
  <si>
    <t xml:space="preserve">        Rovarirtás, kártevőírtás, gyepmester</t>
  </si>
  <si>
    <t xml:space="preserve">     Villamos biztonsági felülvizsgálat</t>
  </si>
  <si>
    <t xml:space="preserve">     Reklám- és propagandakiadások: szórólapok készítése (Nyugati strand) saját forrás</t>
  </si>
  <si>
    <t xml:space="preserve">     Reklám- és propagandakiadások: nyilvánosság (Nyugati strand)</t>
  </si>
  <si>
    <t xml:space="preserve">               Emberi Erőforrás Támogatáskezelő (BURSA)</t>
  </si>
  <si>
    <t xml:space="preserve">     Települési Önkormányzatok Országos Szövetsége tagdíj (átcsop.K512-re)</t>
  </si>
  <si>
    <t xml:space="preserve">     Munka- és tűzvédelmi Társulás tagdíj (átcsoportosítás K5021, 512-re)</t>
  </si>
  <si>
    <t xml:space="preserve">     BURSA támogatás (átcsoportosítás K512-ről)</t>
  </si>
  <si>
    <t>Finanszírozás</t>
  </si>
  <si>
    <t>K321</t>
  </si>
  <si>
    <t xml:space="preserve">     Szakmai anyagok beszerzése (átcsoportosítás K1101, K312-re)</t>
  </si>
  <si>
    <t xml:space="preserve">          WinSzoc program (Abacus)</t>
  </si>
  <si>
    <t xml:space="preserve">     Postaköltség</t>
  </si>
  <si>
    <t xml:space="preserve">     Egyéb szakmai szolgáltatások (átcsoportosítás K337-re)</t>
  </si>
  <si>
    <t>több éves kihatással járó feladatai</t>
  </si>
  <si>
    <t xml:space="preserve">     Közvetített szolgáltatások ellenértéke (menekültek étkeztetése)</t>
  </si>
  <si>
    <t xml:space="preserve">          "Balatonföldvár zöld város program megval.-a" (TOP-2.1.2-15-2016-00002) (nettó)</t>
  </si>
  <si>
    <t>Köznevelési intézmény energetikai korszerűsítése Balatonföldváron</t>
  </si>
  <si>
    <t xml:space="preserve">   Tartalék felhasználás (céltartalék)</t>
  </si>
  <si>
    <t>mód.ei.          2022.10.hó</t>
  </si>
  <si>
    <t xml:space="preserve">     Felhalmozási célú tartalék </t>
  </si>
  <si>
    <t xml:space="preserve">     Csoportos közbeszerzés (villamos energia) (118/2022.(IX.20.))</t>
  </si>
  <si>
    <t xml:space="preserve">     Köznevelési feladatok támogatás (október havi felmérés: óvoda póttámogatás)</t>
  </si>
  <si>
    <t xml:space="preserve">     Házi segítségnyújtás (október havi felmérés alapján)</t>
  </si>
  <si>
    <t xml:space="preserve">     Személyi gondozás (októberi felmérés: póttámogatás)</t>
  </si>
  <si>
    <t xml:space="preserve">     Önkormányzati elszámolások (iparűzési adó kieg.tám.)</t>
  </si>
  <si>
    <t xml:space="preserve">     Szociális célú tüzelőanyag vásárlásához kapcsolódó támogatás </t>
  </si>
  <si>
    <t xml:space="preserve">     Szociális célú tűzifa beszerzés</t>
  </si>
  <si>
    <t xml:space="preserve">     Tulajdonosi bevételek: bérleti díjak</t>
  </si>
  <si>
    <t xml:space="preserve">     Ellátási díjak (szoc.étk.díj bev.)</t>
  </si>
  <si>
    <t xml:space="preserve">          Város fásítási programjának támogatása</t>
  </si>
  <si>
    <t>K1104</t>
  </si>
  <si>
    <t xml:space="preserve">     Műszaki ellenőrzés (Bölcsőde pályázat) (átcsop. K351-ről)</t>
  </si>
  <si>
    <t>B116</t>
  </si>
  <si>
    <t xml:space="preserve">     Egyéb működési célú támogatások (átcsop. B116-ról)</t>
  </si>
  <si>
    <t xml:space="preserve">     Állami támogatás visszafizetés (2020-2021. évi állami elszámolásból)</t>
  </si>
  <si>
    <t xml:space="preserve">               Működési hozzájárulás (EFI iroda állami támogatás csökkentés miatt)</t>
  </si>
  <si>
    <t xml:space="preserve">     Működési hozzájárulás (EFI iroda állami támogatás csökkentés miatt)</t>
  </si>
  <si>
    <t xml:space="preserve">        MFP (útfelújítás): tervdok. elkészítése, műszaki ell.</t>
  </si>
  <si>
    <t xml:space="preserve">     Belső ellenőrzés (2021. 12 hó)</t>
  </si>
  <si>
    <t xml:space="preserve">     Anyakönyvvezető helyettesítés</t>
  </si>
  <si>
    <t xml:space="preserve">     Megbízási díj (anyakönyvvezető helyettesítés)</t>
  </si>
  <si>
    <t xml:space="preserve">     Választások támogatása (átcsop. B411-re)</t>
  </si>
  <si>
    <t xml:space="preserve">     Közüzemi díj visszatérítés</t>
  </si>
  <si>
    <t xml:space="preserve">     Cafeteria (átcsoportosítás K1109-re)</t>
  </si>
  <si>
    <t xml:space="preserve">     Közlekedési költségtérítés (átcsoportosítás K1107-ről)</t>
  </si>
  <si>
    <t>K1105</t>
  </si>
  <si>
    <t xml:space="preserve">     Végkielégítés</t>
  </si>
  <si>
    <t xml:space="preserve">     Egyéb munkavégzéshez kapcs. juttatás (betegszabi, szabadság megvált. ) (átcsop. K1101-ről)</t>
  </si>
  <si>
    <t xml:space="preserve">     Foglalkozás egészségügyi ellátás (átcsop. K312-ről)</t>
  </si>
  <si>
    <t xml:space="preserve">     Üzemeltetési anyagok beszerzése: nyomtatvány, munkaruha (átcsop. K334, K366-ra)</t>
  </si>
  <si>
    <t xml:space="preserve">     Külső adatvédelmi tisztviselő (átcsop. K312-ről)</t>
  </si>
  <si>
    <t xml:space="preserve">     Üzemanyag beszerzés (átcsop. K336-ra)</t>
  </si>
  <si>
    <t xml:space="preserve">     Marketing (Zöld város)</t>
  </si>
  <si>
    <t xml:space="preserve">     Alkalmazottak illetménye (átcsop. K1105, K1113, K2-re)</t>
  </si>
  <si>
    <t xml:space="preserve">      2. Ingatlanok értékesítése, lakásrészletek befizetései </t>
  </si>
  <si>
    <t xml:space="preserve">               Ágazati pótlék átadás</t>
  </si>
  <si>
    <t>082044 Könyvtári szolgáltatások; 082092 Közművelődési feladatok; 046020 Vezetékes műsorelosztás, kábel TV</t>
  </si>
  <si>
    <t xml:space="preserve">011130 Önk. és önk.-i hivatalok 
jogalkotói és ált. igazgatási tev.-e  </t>
  </si>
  <si>
    <t>Bevétel összesen</t>
  </si>
  <si>
    <t>2026. évi eredeti előirányzat</t>
  </si>
  <si>
    <r>
      <t xml:space="preserve">        Egyéb szakmai szolgáltatások</t>
    </r>
    <r>
      <rPr>
        <sz val="8"/>
        <rFont val="Times New Roman"/>
        <family val="1"/>
        <charset val="238"/>
      </rPr>
      <t xml:space="preserve"> </t>
    </r>
  </si>
  <si>
    <t xml:space="preserve">           Telefonközpont átalánydíja (Microsystel)</t>
  </si>
  <si>
    <r>
      <t xml:space="preserve">     Bérleti és lízingdíjak </t>
    </r>
    <r>
      <rPr>
        <sz val="8"/>
        <rFont val="Times New Roman"/>
        <family val="1"/>
        <charset val="238"/>
      </rPr>
      <t>(fiókbérlés)</t>
    </r>
  </si>
  <si>
    <t xml:space="preserve">      8. Kamatbevételek </t>
  </si>
  <si>
    <t>072111, 074011, 072112, 072420, 072450 Egészségügyi 
ellátások</t>
  </si>
  <si>
    <t>K33</t>
  </si>
  <si>
    <t>K34</t>
  </si>
  <si>
    <t>K35</t>
  </si>
  <si>
    <t xml:space="preserve">        Gépjármű casco, KFB</t>
  </si>
  <si>
    <t xml:space="preserve">        Szemétszállítás, veszélyes hulladék</t>
  </si>
  <si>
    <t xml:space="preserve">             Tagdíjak (Települési Önkormányzatok Országos Szövetsége, Balatoni Szövetség…..)</t>
  </si>
  <si>
    <t xml:space="preserve">             Előirányzott támogatási keret </t>
  </si>
  <si>
    <t xml:space="preserve">    Reprezentációs kiadás </t>
  </si>
  <si>
    <t xml:space="preserve">           1.1.4. Polgármesteri illetményhez és költségtérítéshez nyújtott támogatás</t>
  </si>
  <si>
    <t xml:space="preserve">           1.1.5. Közvilágítás kiegészítő támogatása</t>
  </si>
  <si>
    <t>Boldog Békeidők</t>
  </si>
  <si>
    <r>
      <t xml:space="preserve">    Egyéb kommunikációs szolgáltatások</t>
    </r>
    <r>
      <rPr>
        <sz val="8"/>
        <rFont val="Times New Roman"/>
        <family val="1"/>
        <charset val="238"/>
      </rPr>
      <t xml:space="preserve"> (telefon, mobiltelefon)</t>
    </r>
  </si>
  <si>
    <t>Műszaki ellenőrzés (zöld város)</t>
  </si>
  <si>
    <t xml:space="preserve">           Köznevelési intézmény energetikai korszerűsítése (TOP_PLUSZ-2.1.1-21-SO1-2022-00005)</t>
  </si>
  <si>
    <t>Közbeszerzés (iskola energetika)</t>
  </si>
  <si>
    <t>Műszaki ellenőrzés (iskola energetika)</t>
  </si>
  <si>
    <t>Szemléletformálás (iskola energetika)</t>
  </si>
  <si>
    <t>Energetikai szakértő (iskola energetika)</t>
  </si>
  <si>
    <t xml:space="preserve">          Szakirányú oktatás adókedvezményének visszaigénylése (Hivatal)</t>
  </si>
  <si>
    <t>Tervezői művezetés (zöld város)</t>
  </si>
  <si>
    <t xml:space="preserve">          Pénzeszközátvétel önkormányzatoktól (Hivatal)</t>
  </si>
  <si>
    <t xml:space="preserve">           Települési önkormányzatok kulturális feladatainak bérjellegű támogatása</t>
  </si>
  <si>
    <t xml:space="preserve">        Intarzia szakkör </t>
  </si>
  <si>
    <t xml:space="preserve">    1. Működési célú pénzeszközátadások, támogatások </t>
  </si>
  <si>
    <t xml:space="preserve">        2.1. Működési célú folyószámlahitel</t>
  </si>
  <si>
    <t>EFI (végkielégítés)</t>
  </si>
  <si>
    <t xml:space="preserve">     Alkalmazottak illetménye, illetménykiegészítése (32+4 fő)</t>
  </si>
  <si>
    <t>Boldog Békeidők nyarai Balatonföldváron</t>
  </si>
  <si>
    <t>(TOP_Plusz-1.1.3-21-SO1-2022-00009)</t>
  </si>
  <si>
    <t>TOP_Plusz-2.1.1-21-SO1-2022-00005</t>
  </si>
  <si>
    <t xml:space="preserve">                     Közösségi ház + Kulipintyó:  állami támogatás továbbadása (kulturális feladatok)</t>
  </si>
  <si>
    <t xml:space="preserve">                     Közterületek, utak, zöldfelület fenntartása (GAMESZ): állami támogatás továbbadása</t>
  </si>
  <si>
    <t xml:space="preserve">13. melléklet </t>
  </si>
  <si>
    <t>2024. évi összevont mérlege</t>
  </si>
  <si>
    <t>Módosított előirányzat 2024..havi</t>
  </si>
  <si>
    <t>Teljesítés 2023.12.31.</t>
  </si>
  <si>
    <t>2024. évi működési célú bevételei, kiadásai</t>
  </si>
  <si>
    <t>2024. évi felhalmozási bevételei, kiadásai</t>
  </si>
  <si>
    <t>2024. évi működési célú támogatásai, pénzeszközátadásai, közvetett támogatásai</t>
  </si>
  <si>
    <r>
      <rPr>
        <b/>
        <i/>
        <u/>
        <sz val="14"/>
        <rFont val="Times New Roman"/>
        <family val="1"/>
        <charset val="238"/>
      </rPr>
      <t>Balatonföldvár Város Önkormányzatának 2024. évi bevételei kiemelt előirányzatonként, feladatonként</t>
    </r>
    <r>
      <rPr>
        <b/>
        <i/>
        <sz val="14"/>
        <rFont val="Times New Roman"/>
        <family val="1"/>
        <charset val="238"/>
      </rPr>
      <t xml:space="preserve"> </t>
    </r>
  </si>
  <si>
    <t>Önkormányzat (eredeti előirányzat 2024. év)</t>
  </si>
  <si>
    <t xml:space="preserve">       Kötelező (eredeti előirányzat 2024. év)</t>
  </si>
  <si>
    <t xml:space="preserve">       Államigazgatási feladatok (eredeti előirányzat 2024. év)</t>
  </si>
  <si>
    <t>Önk.mindösszesen (eredeti előirányzat 2024. év)</t>
  </si>
  <si>
    <t>KÖH (eredeti előirányzat 2024. év)</t>
  </si>
  <si>
    <t>Balatonföldvár Város Önkormányzatának 2024. évi kiadásai intézményenként, kiemelt előirányzatonként, 
feladatonkénti bontásban</t>
  </si>
  <si>
    <t xml:space="preserve">Balatonföldvár Város Önkormányzatának 2024. évi intézményi szintű összes kiadásai, intézményfinanszírozása
</t>
  </si>
  <si>
    <t>2024. évi költségvetési kiadásainak részletezése kormányzati funkciók szerint</t>
  </si>
  <si>
    <t>2024. évi eredeti ei.</t>
  </si>
  <si>
    <t>mód.ei.          2024..hó</t>
  </si>
  <si>
    <t>teljesítés 2023.12.31</t>
  </si>
  <si>
    <t>2023 és korábbi évek</t>
  </si>
  <si>
    <t>2024. évi adósságot keletkeztető ügyleteiből eredő fizetési kötelezettségek, várható saját bevételek</t>
  </si>
  <si>
    <t>2028 és további évek</t>
  </si>
  <si>
    <t>Balatonföldvár Város Önkormányzat 2024. évi bevétel-kiadási előirányzat-felhasználási ütemterve</t>
  </si>
  <si>
    <t>2024-2027. évi gördülő tervezése</t>
  </si>
  <si>
    <t>2027. évi eredeti előirányzat</t>
  </si>
  <si>
    <t>2024. évi Európai Uniós forrásból finanszírozott támogatással megvalósuló projektek kiadásai, 
projekt megvalósításhoz történő önkormányzati hozzájárulásai</t>
  </si>
  <si>
    <t>Balatonföldvár Város Önkormányzat bevételeinek és kiadásainak mérlegszerű kimutatása
2022-2024. év</t>
  </si>
  <si>
    <t>2022. évi
 teljesítés</t>
  </si>
  <si>
    <t>2023. évi várható teljesítés</t>
  </si>
  <si>
    <t xml:space="preserve">     Jutalom (választás)</t>
  </si>
  <si>
    <t xml:space="preserve">     Helyettesítési díj</t>
  </si>
  <si>
    <t xml:space="preserve">     Jubileumi jutalom (1 fő)</t>
  </si>
  <si>
    <t xml:space="preserve">     Béren kívüli juttatás (SZÉP kártya)</t>
  </si>
  <si>
    <t xml:space="preserve">     Egyéb személyi juttatás (betegsz., szabi megv, megbíz.)</t>
  </si>
  <si>
    <t xml:space="preserve">     Megbízási díjak (belső ellenőr)</t>
  </si>
  <si>
    <t xml:space="preserve">     Megbízási díjak (választás)</t>
  </si>
  <si>
    <t xml:space="preserve">     Reprezentáció (választás)</t>
  </si>
  <si>
    <t xml:space="preserve">     Választási bizottság tiszteletdíja (választás)</t>
  </si>
  <si>
    <t xml:space="preserve">        Irodaszer (választás)</t>
  </si>
  <si>
    <t xml:space="preserve">          Rendszer- és szoftver-szaktanácsadás (IRIS Rendszerház)</t>
  </si>
  <si>
    <t xml:space="preserve">           Fénymásoló karbantartás (Alba-Kontakt)</t>
  </si>
  <si>
    <t>K354</t>
  </si>
  <si>
    <t xml:space="preserve">      3. Egyéb közhatalmi bevételek (igazgatási szolgáltatási díj, bírságok, közterület használati díj)</t>
  </si>
  <si>
    <t xml:space="preserve"> =110*249*320</t>
  </si>
  <si>
    <t>alap=K335+hátralék (3m)</t>
  </si>
  <si>
    <t xml:space="preserve">      1. Egyéb működési célú átvett pénzeszközök (Földvár kártya értékesítés terv. bevétele 2024. évi)</t>
  </si>
  <si>
    <r>
      <t xml:space="preserve">      Elszámolásból származó bevételek</t>
    </r>
    <r>
      <rPr>
        <sz val="10"/>
        <rFont val="Times New Roman"/>
        <family val="1"/>
        <charset val="238"/>
      </rPr>
      <t xml:space="preserve"> (2023. évi állami normatíva elszámolás kieg.támogatással)</t>
    </r>
  </si>
  <si>
    <t xml:space="preserve">     11. Egyéb működési bevételek  </t>
  </si>
  <si>
    <t xml:space="preserve"> /2023</t>
  </si>
  <si>
    <t xml:space="preserve">             Kisértékű tárgyi eszköz beszerzés</t>
  </si>
  <si>
    <t>Boldog Békeidők Nyarai Balatonföldváron</t>
  </si>
  <si>
    <t>ez két 2023-as testületi döntés</t>
  </si>
  <si>
    <t>W65</t>
  </si>
  <si>
    <t xml:space="preserve">    Megbízási díj (városi zenekari feladatok, piacfelügyelet, helyettesítés)</t>
  </si>
  <si>
    <t xml:space="preserve">    Megbízási díj (Boldog Békeidők pályázat)</t>
  </si>
  <si>
    <t>1000 többlet postaköltség</t>
  </si>
  <si>
    <t>alap+hátralék (10m-2m)</t>
  </si>
  <si>
    <t>zöldváros: 275688734; bölcsőde: 15433244</t>
  </si>
  <si>
    <t xml:space="preserve">         2.1. Fejlesztési célú hitel  felvétele (1490/2023. (XI.13.) Korm. határozat)</t>
  </si>
  <si>
    <t xml:space="preserve">          "Balatonföldvár zöld város program megval.-a" opciós munkák (nettó)</t>
  </si>
  <si>
    <t>FA áfa</t>
  </si>
  <si>
    <t xml:space="preserve">           Orvosi rendelő előtti zöldterület megvalósítása</t>
  </si>
  <si>
    <t>Közbeszerzés (orvosi rendelő előtti zöldterület)</t>
  </si>
  <si>
    <t>Kiviteli tervek (vízisporttelep)</t>
  </si>
  <si>
    <t xml:space="preserve">              1.1.1.3.1 Településüzemeltetés - közvilágítás támogatása </t>
  </si>
  <si>
    <t xml:space="preserve">              1.1.1.3.2 Településüzemeltetés - közvilágítás üzemeltetési támogatása </t>
  </si>
  <si>
    <t>boldog békeidők: 692.177.438.- iskola energetika: 227.588.560.-; ZV: 1.307.297.-</t>
  </si>
  <si>
    <t xml:space="preserve"> -2m mert Lucky Beach fizetett</t>
  </si>
  <si>
    <t>Kiviteli tervek (Boldog Békeidők) 131/2023.(IX.28.)</t>
  </si>
  <si>
    <r>
      <t xml:space="preserve">Belsőépítészeti kiviteli tervek </t>
    </r>
    <r>
      <rPr>
        <sz val="8"/>
        <rFont val="Arial CE"/>
        <charset val="238"/>
      </rPr>
      <t>(Boldog Békeidők)</t>
    </r>
    <r>
      <rPr>
        <sz val="10"/>
        <rFont val="Arial CE"/>
        <charset val="238"/>
      </rPr>
      <t xml:space="preserve"> 132/2023.(IX.28.)</t>
    </r>
  </si>
  <si>
    <t>Kiállítás tervezés (Boldog Békeidők) 133/2023.(IX.28.)</t>
  </si>
  <si>
    <t xml:space="preserve">        Fogorvosi alapellátás, fogorvosi ügyelet (147/2023.(X.26.))</t>
  </si>
  <si>
    <t>Műszaki ellenőr (Boldog Békeidők) 156/2023.(XI.23.)</t>
  </si>
  <si>
    <t>Műszaki ellenőrzés (parkfelújítás) 157/2023.(XI.23.)</t>
  </si>
  <si>
    <t xml:space="preserve">      3. Egyéb tárgyi eszközök értékesítése (gépkocsi értékesítés: 166/2023. (XII.14.))</t>
  </si>
  <si>
    <t>Kiviteli terv (orvosi rendelő előtti zöldterület)</t>
  </si>
  <si>
    <t>Engedélyes terv (vízisporttelep)</t>
  </si>
  <si>
    <t>Műszaki ellenőrzés (vízisporttelep)</t>
  </si>
  <si>
    <t>Közbeszerezés (Kilátó épület burkolat)</t>
  </si>
  <si>
    <t>Műszaki ellenőrzés (Kilátó épület burkolat)</t>
  </si>
  <si>
    <t xml:space="preserve">           Partfal stabilizáció (vis maior)</t>
  </si>
  <si>
    <t>Műszaki szakvélemény (vis maior)</t>
  </si>
  <si>
    <t>Kiviteli terv (vis maior)</t>
  </si>
  <si>
    <t>Műszaki ellenőrzés (vis maior)</t>
  </si>
  <si>
    <t xml:space="preserve">          2023. évi vis maior (594209) támogatás: partfal stabilizáció </t>
  </si>
  <si>
    <t xml:space="preserve">          2025. évi vis maior (594209) támogatás: partfal stabilizáció </t>
  </si>
  <si>
    <t xml:space="preserve">          2026. évi vis maior (594209) támogatás: partfal stabilizáció </t>
  </si>
  <si>
    <t xml:space="preserve">          2027. évi vis maior (594209) támogatás: partfal stabilizáció </t>
  </si>
  <si>
    <t xml:space="preserve">          2028. évi vis maior (594209) támogatás: partfal stabilizáció </t>
  </si>
  <si>
    <t xml:space="preserve">          2029. évi vis maior (594209) támogatás: partfal stabilizáció </t>
  </si>
  <si>
    <t xml:space="preserve">          2023. évi vis maior (620026) támogatás: partfal stabilizáció </t>
  </si>
  <si>
    <t>teljesítés 2024.12.31</t>
  </si>
  <si>
    <t>csak úgy</t>
  </si>
  <si>
    <t xml:space="preserve">uniós </t>
  </si>
  <si>
    <t>7500= uniós</t>
  </si>
  <si>
    <t>konténer terv</t>
  </si>
  <si>
    <t>konténer ví</t>
  </si>
  <si>
    <t>konténer villany</t>
  </si>
  <si>
    <t>Pisár</t>
  </si>
  <si>
    <t>sourcing</t>
  </si>
  <si>
    <t>Fejlesztési célú hitel (zöld város projekt)</t>
  </si>
  <si>
    <t xml:space="preserve">Balatonföldvár "Zöld város program" és környezetének rendezése </t>
  </si>
  <si>
    <t>848= Kaszab G</t>
  </si>
  <si>
    <t>2024. évi költségvetést érintő kiadás</t>
  </si>
  <si>
    <t>2024. évi költségvetés érintő várható önerő összege</t>
  </si>
  <si>
    <t>ez az ÁFA visszigénylő</t>
  </si>
  <si>
    <t>vízi sporttelep beruházás ÁFÁ-jának visszaigénylése</t>
  </si>
  <si>
    <t>VÁLASZTÁS ÖSSZKIADÁSA</t>
  </si>
  <si>
    <t xml:space="preserve">          Választások támogatása (Hivatal)</t>
  </si>
  <si>
    <t xml:space="preserve"> =110*249*21,08</t>
  </si>
  <si>
    <t xml:space="preserve"> =110*249*340,8</t>
  </si>
  <si>
    <t xml:space="preserve"> =110*249*268,35</t>
  </si>
  <si>
    <t xml:space="preserve"> =110*249*72,45</t>
  </si>
  <si>
    <t>BB beruházás ÁFÁ-ja + a szocétk.340,8-ból a 72,45 Ft ÁFA-t visszaigényeljük is a TKT felosztásban a konyha visszakapja (2000)</t>
  </si>
  <si>
    <t xml:space="preserve">        Külső adatvédelmi tisztviselő biztosítása (Hanganov)</t>
  </si>
  <si>
    <t xml:space="preserve">             "Életfa" szobor állítása</t>
  </si>
  <si>
    <t xml:space="preserve">    Informatikai szolgáltatások </t>
  </si>
  <si>
    <t>Talajmechanikai fúrások (vis maior)</t>
  </si>
  <si>
    <t xml:space="preserve">          Egyéb informatikai szolgáltatások (e-szigno, e-hiteles tullap, antivírus)</t>
  </si>
  <si>
    <t>hivatal: 15.348.552.-</t>
  </si>
  <si>
    <t>rehab K355-re 2000</t>
  </si>
  <si>
    <t>(2000-1609) többlet ÁFA</t>
  </si>
  <si>
    <t xml:space="preserve">               2023. évi normatíva elszámolás többlettámogatás átadása (püg/int.gyer.étk; szoc./személyi gondozás; óvoda)</t>
  </si>
  <si>
    <t xml:space="preserve">      2. 2023. évi lakossági víz tám. elszámolás (DRV-től)</t>
  </si>
  <si>
    <t xml:space="preserve">             Ingatlan beszerzés</t>
  </si>
  <si>
    <t>Költségfelosztás 2024. Összesítő (2024.01.10.)</t>
  </si>
  <si>
    <t>2023. évi
 hátralék</t>
  </si>
  <si>
    <t>Házi segítség
nyújtás 
2024</t>
  </si>
  <si>
    <t>K1108</t>
  </si>
  <si>
    <t xml:space="preserve">     Ruházati költségtérítés</t>
  </si>
  <si>
    <t>Közbeszerzés (parkfelújítás) 70%</t>
  </si>
  <si>
    <t xml:space="preserve">           Panoráma körút járdafelújítás, szélesítés, bővítés</t>
  </si>
  <si>
    <t>Műszaki ellenőrzés (orvosi rendelő előtti terület)</t>
  </si>
  <si>
    <t xml:space="preserve">          2022.-2023. évi állami normatíva elszámolás intézmény általi visszafizetés</t>
  </si>
  <si>
    <r>
      <t xml:space="preserve">      3. Felhalmozási célú tartalék (-ebből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609.635 e Ft céltartalék: Boldog Békeidők )</t>
    </r>
  </si>
  <si>
    <t>K911</t>
  </si>
  <si>
    <t>Folyószámlavisszafizetés</t>
  </si>
  <si>
    <t xml:space="preserve">         Folyószámlahitel tőketörlesztése</t>
  </si>
  <si>
    <t xml:space="preserve">             Pénzeszköz átadás közterületi bútor beszerzés</t>
  </si>
  <si>
    <t>Vízisporttelep</t>
  </si>
  <si>
    <t>felszabadult.csak ide tettem</t>
  </si>
  <si>
    <t>cégautóadó Kb1000</t>
  </si>
  <si>
    <t>Közbeszerzés (Boldog Békeidők) 17/2024.(I.25.)</t>
  </si>
  <si>
    <t>Kommunikáció (Boldog Békeidők)</t>
  </si>
  <si>
    <t xml:space="preserve">        Egyéb (közvil.üzemeltetés, riasztórendszer, szakvélemény, szállítás)</t>
  </si>
  <si>
    <t xml:space="preserve">        Egyéb szakm.tev.seg.szolg. (közbesz., műszaki ellenőr, tervek)</t>
  </si>
  <si>
    <t xml:space="preserve">        Épületbontás</t>
  </si>
  <si>
    <t xml:space="preserve">           Országos Pályafelújítási Program: műfüves labdarúgó pálya felújítása (önerő) (52/2023.(III.23.))</t>
  </si>
  <si>
    <t xml:space="preserve">   Felhalmozási célú hitel felvétele és folyószámla hitel</t>
  </si>
  <si>
    <t xml:space="preserve">        - ebből házi segítségnyújtás (2023.12.hó)</t>
  </si>
  <si>
    <r>
      <t xml:space="preserve">      </t>
    </r>
    <r>
      <rPr>
        <sz val="10"/>
        <rFont val="Times New Roman"/>
        <family val="1"/>
        <charset val="238"/>
      </rPr>
      <t>1. Önkormányzat és hivatal működési kiadásai</t>
    </r>
  </si>
  <si>
    <t xml:space="preserve">          1.1. Személyi juttatások</t>
  </si>
  <si>
    <t xml:space="preserve">          1.2. Munkaadót terhelő járulékok és szociális hozzájárulási adó</t>
  </si>
  <si>
    <t xml:space="preserve">          1.3. Dologi kiadások</t>
  </si>
  <si>
    <t xml:space="preserve">          1.4. Ellátottak pénzbeli juttatásai</t>
  </si>
  <si>
    <t xml:space="preserve">          1.5. Egyéb működési célú kiadások</t>
  </si>
  <si>
    <t xml:space="preserve">       Önként vállalt (eredeti előirányzat 2024. év)</t>
  </si>
  <si>
    <t>Helyi adóból, gépjárműadóból biztosított kedvezmény, mentesség összege</t>
  </si>
  <si>
    <t xml:space="preserve">   -ből: építményadó mentesség helyi lakosok számára</t>
  </si>
  <si>
    <t xml:space="preserve">   -ből: építményadó törlés méltányosságból</t>
  </si>
  <si>
    <t xml:space="preserve">   -ből: telekadó mentesség, kedvezmény m2 alapján</t>
  </si>
  <si>
    <t xml:space="preserve">   -ből: idegenforgalmi adó kedvezmény elő- utószezonban</t>
  </si>
  <si>
    <t xml:space="preserve">   -ből: gépjárműadóból biztosított kedvezmény</t>
  </si>
  <si>
    <t>Helyiségek, eszközök hasznosításából származó bevételből nyújtott kedvezmény, mentesség összege</t>
  </si>
  <si>
    <t>Közvetett támogatások</t>
  </si>
  <si>
    <t>II. Működési célú garancia- és kezességvállalásból származó kifizetés államházt.-on kívülre (K507)</t>
  </si>
  <si>
    <t>I. Egyéb működési célú támogatások államháztartáson belülre (K506)</t>
  </si>
  <si>
    <t>III. Egyéb működési célú támogatások államháztartáson kívülre (K512)</t>
  </si>
  <si>
    <t xml:space="preserve">        2.1. Felhalmozási célú hitel</t>
  </si>
  <si>
    <t>2024. évi tartalék kimutatása</t>
  </si>
  <si>
    <t>Tartalékok összesen</t>
  </si>
  <si>
    <t>Általános tartalék</t>
  </si>
  <si>
    <t>Céltartalék</t>
  </si>
  <si>
    <t>Felhalmozási célú céltartalék</t>
  </si>
  <si>
    <t>Balatonföldvár Város Önkormányzat 2024. évi általános tartalék, céltartalék kimutatása</t>
  </si>
  <si>
    <t>Boldog Békeidők nyarai Balatonföldváron (TOP_Plusz-1.1.3-21-SO1-2022-00009)</t>
  </si>
  <si>
    <t xml:space="preserve">I. Működési célú kiadások </t>
  </si>
  <si>
    <t xml:space="preserve">II. Felhalmozási célú kiadások </t>
  </si>
  <si>
    <t>Egyéb működési célú kiadások mindösszesen (I+II+III)</t>
  </si>
  <si>
    <t xml:space="preserve">    3. A helyi önkormányzatok előző évi elszámolásából származó kiadások</t>
  </si>
  <si>
    <t xml:space="preserve">    4. Szolidaritási hozzájárulás</t>
  </si>
  <si>
    <t xml:space="preserve">         3.3. Felhalmozási célú tartalék </t>
  </si>
  <si>
    <t xml:space="preserve">         3.2. Felhalmozási célú tartalék </t>
  </si>
  <si>
    <t xml:space="preserve">2024. évi költségvetésének módosítása - indoklás </t>
  </si>
  <si>
    <t>Módosított előirányzat 2024.06.havi</t>
  </si>
  <si>
    <t>1. melléklet az 1/2024.(II.23.) önkormányzati rendelethez</t>
  </si>
  <si>
    <t>2. melléklet az 1/2024.(II.23.) önkormányzati rendelethez</t>
  </si>
  <si>
    <t>3. melléklet az 1/2024.(II.23.) önkormányzati rendelethez</t>
  </si>
  <si>
    <t>4. melléklet az 1/2024.(II.23.) önkormányzati rendelethez</t>
  </si>
  <si>
    <t>mód.ei.          2024.06.hó</t>
  </si>
  <si>
    <t>8. melléklet az 1/2024.(II.23.) önkormányzati rendelethez</t>
  </si>
  <si>
    <t>15. melléklet az 1/2024.(II.23.) önkormányzati rendelethez</t>
  </si>
  <si>
    <t xml:space="preserve">       Kötelező (módosított előirányzat 2024.06. havi)</t>
  </si>
  <si>
    <t xml:space="preserve">       Önként vállalt (módosított előirányzat 2021. . havi)</t>
  </si>
  <si>
    <t xml:space="preserve">       Önként vállalt (módosított előirányzat 2024.06. havi)</t>
  </si>
  <si>
    <t>Önk.mindösszesen (módosított ei. 2024.06. havi)</t>
  </si>
  <si>
    <t>Önkormányzat (módosított előirányzat 2024.06.havi)</t>
  </si>
  <si>
    <t>KÖH (módosított előirányzat 2024.06. havi)</t>
  </si>
  <si>
    <t>5. melléklet az 1/2024.(II.23.) önkormányzati rendelethez</t>
  </si>
  <si>
    <t>6. melléklet az 1/2024.(II.23.) önkormányzati rendelethez</t>
  </si>
  <si>
    <t>Módosított előirányzat 2024.06.hó</t>
  </si>
  <si>
    <t>Tájékoztatás, nyilvánosság, marketing (Boldog Békeidők) 35/2024.(II.22.)</t>
  </si>
  <si>
    <t>Közbeszerezés (vízispottelep) 43/2024.(III.7.)</t>
  </si>
  <si>
    <t>B1131</t>
  </si>
  <si>
    <t xml:space="preserve">     Szociális étkeztetés (májusi felmérés alapján)</t>
  </si>
  <si>
    <t xml:space="preserve">     Dologi kiadások (korrigált előirányzat)</t>
  </si>
  <si>
    <t xml:space="preserve">     Szociális ágazati pótlék (átcsoportosítás B1131-re) </t>
  </si>
  <si>
    <t xml:space="preserve">     Települési önkormányzatok kulturális feladatainak bérjellegű támogatása</t>
  </si>
  <si>
    <t xml:space="preserve">     Közterület használati díj</t>
  </si>
  <si>
    <t xml:space="preserve">      2023. évi lakossági víz tám. elszámolás (DRV-től)</t>
  </si>
  <si>
    <t xml:space="preserve">     Sberbank Magyarország Zrt. végelszámolásának kamatelszámolása</t>
  </si>
  <si>
    <t xml:space="preserve">     Fnymásolás díjbevétele</t>
  </si>
  <si>
    <t xml:space="preserve">     Pénzeszközátadás társulásban közösen ellátott feladatokra (család és gy.jóléti szolg.)</t>
  </si>
  <si>
    <t xml:space="preserve">    Államháztartáson kívülről felhalmozási célból, ellenérték nélkül kapott bevétel (MBH Bank tám.)</t>
  </si>
  <si>
    <t xml:space="preserve">     Rehabilitációs hozzájárulás (átvezetés KÖH ktgvetésébe)</t>
  </si>
  <si>
    <t xml:space="preserve">             Sólyapálya létesítése a Nyugati strandon (55/2024.(III.26.))</t>
  </si>
  <si>
    <t xml:space="preserve">     Puskás Tivadar és Hegyalja utcát összekötő közterület karbantartása 51/2024.(III.26.)</t>
  </si>
  <si>
    <t xml:space="preserve">     Balatonföldvár, Kőröshegyi út 5. fsz. 4 és 5. értékesítése 71/2024.(V.16.)</t>
  </si>
  <si>
    <t xml:space="preserve">      Nyugati strand területén új sportépület építése 73/2024.(V.16.)</t>
  </si>
  <si>
    <t xml:space="preserve">      Kártyanyomtató és kellékeinek beszerzése </t>
  </si>
  <si>
    <t xml:space="preserve">     Reklám- és propagandakiadások: hirdetési költség</t>
  </si>
  <si>
    <t xml:space="preserve">     Villamos mérőhely kiépítése és szabványosítása</t>
  </si>
  <si>
    <t>011130 Önk. és önk.-i hivatalok jogalkotói és ált. igazgatási tevékenysége; 016010 Országgyűlési, önkormányzati és európai parlamenti képviselőválasztásokhoz kapcsolódó tevékenységek</t>
  </si>
  <si>
    <t xml:space="preserve">     Kamatkiadások</t>
  </si>
  <si>
    <t xml:space="preserve">     Tárhely és support szolgáltatás Földvár kártya 16/2024.(I.25.)</t>
  </si>
  <si>
    <t xml:space="preserve">           Balatonföldvár Schilhán József park felújítása</t>
  </si>
  <si>
    <t xml:space="preserve">             Pénzeszköz átadás Radnóti utcai temető kerítés építésére (52/2024.(III.26.))</t>
  </si>
  <si>
    <t xml:space="preserve">             Nyugati strand területén új sportépület építése (73/2024.(V.16.))</t>
  </si>
  <si>
    <t xml:space="preserve">             Pénzeszköz átadás Kilátó épület burkolatának cseréjére (83/2024.(V.30.))</t>
  </si>
  <si>
    <t xml:space="preserve">     2023. évi vis maior (594209) támogatás: partfal stabilizáció </t>
  </si>
  <si>
    <t xml:space="preserve">       ÁHK-ről felhalmozási célból, ellenérték nélkül kapott bevétel (MBH Bank tám.)</t>
  </si>
  <si>
    <t xml:space="preserve">           Vitorlás hajó felújítása (MBH Bank)</t>
  </si>
  <si>
    <t xml:space="preserve">             Partnervárosi találkozó költségeinek támogatása</t>
  </si>
  <si>
    <t xml:space="preserve">             Kártyanyomtató és kellékeinek beszerzése </t>
  </si>
  <si>
    <t xml:space="preserve">        Toner (választás)</t>
  </si>
  <si>
    <t xml:space="preserve">     Irodaszer beszerzés (választás)</t>
  </si>
  <si>
    <t xml:space="preserve">     Toner (választás)</t>
  </si>
  <si>
    <t xml:space="preserve">     Széf bérleti díja</t>
  </si>
  <si>
    <t xml:space="preserve">     Telefonköltség</t>
  </si>
  <si>
    <t xml:space="preserve">     Mobil internet szolgáltatás</t>
  </si>
  <si>
    <t xml:space="preserve">     Helyettesítési díj (átcsop. K1101-ről)</t>
  </si>
  <si>
    <t>9. melléklet az 1/2024.(II.23.) önkormányzati rendelethez</t>
  </si>
  <si>
    <t>7. melléklet az 1/2024.(II.23.) önkormányzati rendelethez</t>
  </si>
  <si>
    <t>10. melléklet az 1/2024.(II.23.) önkormányzati rendelethez</t>
  </si>
  <si>
    <t>11. melléklet az 1/2024.(II.23.) önkormányzati rendelethez</t>
  </si>
  <si>
    <t xml:space="preserve">12. melléklet </t>
  </si>
  <si>
    <t>2024. évi mind
összesen I.mód</t>
  </si>
  <si>
    <t>2024. évi hozzájárulás (eredeti)</t>
  </si>
  <si>
    <t xml:space="preserve">   Egyéb felhalmozási célú kiadás</t>
  </si>
  <si>
    <t xml:space="preserve">     Sonoro Kórus támogatása 84/2024. (V.30.)</t>
  </si>
  <si>
    <t xml:space="preserve">     2023. évi lakossági víz támogatás visszafizetés </t>
  </si>
  <si>
    <t xml:space="preserve">             Közművek kiépítése (villany, víz, szennyvíz)</t>
  </si>
  <si>
    <t xml:space="preserve">        Fesztivál tér - közműcsatlakozások kiépítése (54/2024.(III.26.))</t>
  </si>
  <si>
    <t xml:space="preserve">      Közművek kiépítése (villany, víz, szennyvíz) (átcsop. K337-re)</t>
  </si>
  <si>
    <t xml:space="preserve">     Elszámolásból származó bevételek (2023. évi normatíva pótigény)</t>
  </si>
  <si>
    <t>Módosított előirányzat 2024.09.havi</t>
  </si>
  <si>
    <t>mód.ei.          2024.09.hó</t>
  </si>
  <si>
    <t>107051 Szociális étkeztetés;                                      107060 Ellátottak pénzbeli juttatásai</t>
  </si>
  <si>
    <t>062020 Településfejlesztési projektek és támogatásuk;                                                                  066020 Város-, községgazdálkodási egyéb szolgáltatások</t>
  </si>
  <si>
    <t xml:space="preserve">             DRV Zrt. lakossági víz és csatornaszolgáltatás támogatás továbbutalása (2024. évi)</t>
  </si>
  <si>
    <t xml:space="preserve">     Kultkikötő Kft. szolgáltatási díj  96/2024.(VII.25.)</t>
  </si>
  <si>
    <t xml:space="preserve">     Lakossági víz és csatornaszolgáltatás pályázat támogatása 93/2024.(VI.27.)</t>
  </si>
  <si>
    <t xml:space="preserve">             Kultkikötő Kft. szolgáltatási díj  96/2024.(VII.25.)</t>
  </si>
  <si>
    <t xml:space="preserve">     Szociális célú tűzifa szállítási költsége</t>
  </si>
  <si>
    <t xml:space="preserve">     Működési célú ÁFA</t>
  </si>
  <si>
    <t xml:space="preserve">      Partfal stabilizáció (vis maior)</t>
  </si>
  <si>
    <t xml:space="preserve">     Műszaki ellenőrzés (vis maior)</t>
  </si>
  <si>
    <t xml:space="preserve">     Járdarekonstrukció és árok karbantartás Balatonföldvár, Kőröshegyi út nyugati oldalán a Kossuth L. utca és a település közigazgatási határa között, valamint buszvárók karbantartása 102/2024.(VII.25.)</t>
  </si>
  <si>
    <t xml:space="preserve">     Nyugati strand előtti volt kerékpáros szolgáltató pont épületének bontása 106/2024.(VIII.26.)</t>
  </si>
  <si>
    <t xml:space="preserve">        Kerékpáros és információs pont épületének bontása 106/2024.(VIII.26.)</t>
  </si>
  <si>
    <t xml:space="preserve">     Hivatal épületének tetőszerkezet felújítási munkái 107/2024.(VIII.26.)</t>
  </si>
  <si>
    <t xml:space="preserve">     Villámvédelmi terv iskola energetika 109/2024.(VIII.26.)</t>
  </si>
  <si>
    <t xml:space="preserve">     Közvetített szolgáltatások ellenértéke (átcsop.B402-re)</t>
  </si>
  <si>
    <t xml:space="preserve">     Védőnő üzemeltetési költség térítés (átcsop.B403-ról)</t>
  </si>
  <si>
    <t xml:space="preserve">     Karbantartás: felvonó javítás, nyílászáró csere</t>
  </si>
  <si>
    <t>K3311</t>
  </si>
  <si>
    <t xml:space="preserve">     Közvilágítás (2023. évi elszámolás)</t>
  </si>
  <si>
    <t xml:space="preserve">     Bankköltség</t>
  </si>
  <si>
    <t xml:space="preserve">     Egyéb szolgáltatások: Schilhán park parkfenntartás</t>
  </si>
  <si>
    <t xml:space="preserve">     Rendezvényszervezés (bográcsfesztivál)</t>
  </si>
  <si>
    <t xml:space="preserve">     Egyéb dologi kiadás: jogdíjak és egyéb díjak</t>
  </si>
  <si>
    <t xml:space="preserve">     Fesztivál tér - közműcsatlakozások kiépítése 54/2024.(III.26.) (átcsop.K351-re)</t>
  </si>
  <si>
    <t xml:space="preserve">           Karikavölgyi körút közlekedésbiztonság és forgalomtechnika kiépítése
</t>
  </si>
  <si>
    <t xml:space="preserve">     Karbantartási: átcsop.K7-re Karikavölgyi körút közlekedésbiztonság és forgalomtechnika kiépítése</t>
  </si>
  <si>
    <t xml:space="preserve">               Dél-Balatoni Regionális Hulladékgazdálkodási Önkormányzati Társulás 2024. évi működési hozzájárulása</t>
  </si>
  <si>
    <t xml:space="preserve">     DBRHÖT 2024. évi működési hozzájárulás (ei.elvonás)</t>
  </si>
  <si>
    <t xml:space="preserve">     Működési célú támogatások (támogatási keret)</t>
  </si>
  <si>
    <t xml:space="preserve">      1. Egyéb felh.-i célú tám.visszafizetés (zöld város pályázat támogatás visszafizetése)</t>
  </si>
  <si>
    <t xml:space="preserve">      Karikavölgyi körút közlekedésbiztonság és forgalomtechnika kiépítése (átcsop.K334, K351-ről)</t>
  </si>
  <si>
    <t xml:space="preserve">      Köznevelési intézmény energetikai korszerűsítése (TOP_PLUSZ-2.1.1-21-SO1-2022-00005)</t>
  </si>
  <si>
    <t xml:space="preserve">     Műszaki ellenőr (Boldog Békeidők)</t>
  </si>
  <si>
    <t xml:space="preserve">     Kommunikáció (Boldog Békeidők)</t>
  </si>
  <si>
    <t>Működési célú céltartalék</t>
  </si>
  <si>
    <t xml:space="preserve">    Köznevelési intézmény energetikai korszerűsítése (TOP_PLUSZ-2.1.1-21-SO1-2022-00005)</t>
  </si>
  <si>
    <t xml:space="preserve">     ÁFA visszatérítése</t>
  </si>
  <si>
    <t xml:space="preserve">     Felhalmozási céltartalék (Boldog békeidők)</t>
  </si>
  <si>
    <t xml:space="preserve">     Működési céltartalék (Boldog békeidők)</t>
  </si>
  <si>
    <t xml:space="preserve">     Működési céltartalék (Iskola energetika)</t>
  </si>
  <si>
    <t xml:space="preserve">     Ei.evonás: boldog békeidők (műszaki ellenőr, marketing)</t>
  </si>
  <si>
    <t xml:space="preserve">     Ei.evonás: iskola energetika (műszaki ellenőr, szemléletformálás, energetikai szakértő)</t>
  </si>
  <si>
    <t xml:space="preserve">             Növény ültetés és öntöző rendszer kialakítása</t>
  </si>
  <si>
    <t xml:space="preserve">      Növény ültetés és öntöző rendszer kialakítása</t>
  </si>
  <si>
    <t xml:space="preserve">      Bajor Gizi sétány felújítása</t>
  </si>
  <si>
    <t xml:space="preserve">           Bajor Gizi sétány felújítása</t>
  </si>
  <si>
    <t xml:space="preserve">          Egyéb felh.-i célú tám.visszafizetés (iskola energetika pályázat támogatás visszafizetése)</t>
  </si>
  <si>
    <t xml:space="preserve">          Egyéb felh.-i célú tám.visszafizetés (boldog békeidők pályázat támogatás visszafizetése)</t>
  </si>
  <si>
    <t xml:space="preserve">             Játszótéri kerítés építése</t>
  </si>
  <si>
    <t xml:space="preserve">      Játszótéri kerítés építése</t>
  </si>
  <si>
    <t xml:space="preserve">     Polgármesteri, alpolgármesteri jutalmak</t>
  </si>
  <si>
    <t xml:space="preserve">    Alpolgármesteri jutalmak</t>
  </si>
  <si>
    <t xml:space="preserve">     Választások támogatása: póttámogatás (Hivatal)</t>
  </si>
  <si>
    <t xml:space="preserve">     Választások támogatása: Szólád időközi (Hivatal)</t>
  </si>
  <si>
    <t xml:space="preserve">          Működési célú maradvány</t>
  </si>
  <si>
    <t xml:space="preserve">          Felhalmozási célú maradvány</t>
  </si>
  <si>
    <t xml:space="preserve">     Egyéb személyi juttatás: megbízási saját dolgozónak (választás)</t>
  </si>
  <si>
    <t xml:space="preserve">     Reprezentáció és választási bizottság tiszteletdíja (választás)</t>
  </si>
  <si>
    <t xml:space="preserve">          Időközi választás támogatása (Hivatal)</t>
  </si>
  <si>
    <t>Időközi választás támogatása</t>
  </si>
  <si>
    <t xml:space="preserve">     Jubileumi jutalom</t>
  </si>
  <si>
    <t xml:space="preserve">     Alkalmazottak illetménye (átcsop. K1104, K1106, K334-re)</t>
  </si>
  <si>
    <t xml:space="preserve">     Fénymásoló karbantartása</t>
  </si>
  <si>
    <t xml:space="preserve">     Fizetendő ÁFA (Nyugati strand területén új sportépület építése)</t>
  </si>
  <si>
    <t>Módosított előirányzat 2024.09.hó</t>
  </si>
  <si>
    <t xml:space="preserve">       Kötelező (módosított előirányzat 2024.09.havi)</t>
  </si>
  <si>
    <t xml:space="preserve">       Önként vállalt (módosított előirányzat 2024.09.havi)</t>
  </si>
  <si>
    <t>Önkormányzat (módosított előirányzat 2024.09.havi)</t>
  </si>
  <si>
    <t>KÖH (módosított előirányzat 2024.09. havi)</t>
  </si>
  <si>
    <t>Önk.mindösszesen (módosított ei. 2024.09. havi)</t>
  </si>
  <si>
    <t xml:space="preserve">      Iskola energetika pályázat támogatás visszafizetése</t>
  </si>
  <si>
    <t xml:space="preserve">      Boldog békeidők pályázat támogatás visszafizetése</t>
  </si>
  <si>
    <t xml:space="preserve">    2. Működési célú tartalék (a 2024.09. havi mód.-ból céltartalék: 15.320 ezer Ft)</t>
  </si>
  <si>
    <t xml:space="preserve">     Polgármester szabadságmegváltás</t>
  </si>
  <si>
    <t xml:space="preserve">    Polgármester illetménye, jutalma, szabadságmegváltás</t>
  </si>
  <si>
    <t>a 13/2024.(IX.30.) önkormányzati rendelethez</t>
  </si>
  <si>
    <t xml:space="preserve">      Parkvilágítás kiépítése a Schilhán park felújított részén</t>
  </si>
  <si>
    <t xml:space="preserve">             Parkvilágítás kiépítése a Schilhán park felújított részén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</si>
</sst>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Ft&quot;;[Red]\-#,##0\ &quot;Ft&quot;"/>
    <numFmt numFmtId="164" formatCode="_-* #,##0.00\ _F_t_-;\-* #,##0.00\ _F_t_-;_-* &quot;-&quot;??\ _F_t_-;_-@_-"/>
    <numFmt numFmtId="165" formatCode="_-* #,##0.00\ _F_t_-;\-* #,##0.00\ _F_t_-;_-* \-??\ _F_t_-;_-@_-"/>
  </numFmts>
  <fonts count="9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i/>
      <sz val="14"/>
      <name val="Times New Roman"/>
      <family val="1"/>
      <charset val="238"/>
    </font>
    <font>
      <sz val="14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9"/>
      <name val="Arial CE"/>
      <charset val="238"/>
    </font>
    <font>
      <b/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sz val="7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6"/>
      <name val="Times New Roman"/>
      <family val="1"/>
      <charset val="238"/>
    </font>
    <font>
      <sz val="9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u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u/>
      <sz val="12"/>
      <name val="Arial CE"/>
      <charset val="238"/>
    </font>
    <font>
      <b/>
      <i/>
      <sz val="10"/>
      <name val="Arial CE"/>
      <family val="2"/>
      <charset val="238"/>
    </font>
    <font>
      <i/>
      <sz val="12"/>
      <name val="Times New Roman"/>
      <family val="1"/>
      <charset val="238"/>
    </font>
    <font>
      <sz val="10"/>
      <color indexed="10"/>
      <name val="Arial CE"/>
      <family val="2"/>
      <charset val="238"/>
    </font>
    <font>
      <i/>
      <sz val="10"/>
      <name val="Arial CE"/>
      <charset val="238"/>
    </font>
    <font>
      <sz val="8"/>
      <name val="Times New Roman"/>
      <family val="1"/>
    </font>
    <font>
      <b/>
      <sz val="7"/>
      <name val="Times New Roman"/>
      <family val="1"/>
      <charset val="238"/>
    </font>
    <font>
      <b/>
      <i/>
      <sz val="9"/>
      <name val="Arial CE"/>
      <family val="2"/>
      <charset val="238"/>
    </font>
    <font>
      <sz val="7"/>
      <name val="Arial CE"/>
      <charset val="238"/>
    </font>
    <font>
      <b/>
      <sz val="9"/>
      <name val="Arial CE"/>
      <charset val="238"/>
    </font>
    <font>
      <b/>
      <i/>
      <sz val="8"/>
      <name val="Arial CE"/>
      <family val="2"/>
      <charset val="238"/>
    </font>
    <font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0"/>
      <name val="Arial CE"/>
      <charset val="238"/>
    </font>
    <font>
      <sz val="10"/>
      <color theme="0"/>
      <name val="Arial CE"/>
      <charset val="238"/>
    </font>
    <font>
      <sz val="10"/>
      <color rgb="FF00000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sz val="8"/>
      <color rgb="FFFF0000"/>
      <name val="Arial CE"/>
      <charset val="238"/>
    </font>
    <font>
      <sz val="7"/>
      <color theme="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i/>
      <u/>
      <sz val="12"/>
      <name val="Arial"/>
      <family val="2"/>
      <charset val="238"/>
    </font>
    <font>
      <sz val="10"/>
      <name val="Times New Roman"/>
      <family val="1"/>
      <charset val="1"/>
    </font>
    <font>
      <b/>
      <sz val="10"/>
      <color rgb="FFFF0000"/>
      <name val="Times New Roman"/>
      <family val="1"/>
      <charset val="238"/>
    </font>
    <font>
      <sz val="10"/>
      <color theme="1"/>
      <name val="Arial CE"/>
      <charset val="238"/>
    </font>
    <font>
      <b/>
      <i/>
      <sz val="9"/>
      <name val="Arial CE"/>
      <charset val="238"/>
    </font>
    <font>
      <i/>
      <sz val="7"/>
      <name val="Times New Roman"/>
      <family val="1"/>
      <charset val="238"/>
    </font>
    <font>
      <i/>
      <sz val="9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22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22" fillId="0" borderId="0" applyFill="0" applyBorder="0" applyAlignment="0" applyProtection="0"/>
    <xf numFmtId="0" fontId="13" fillId="0" borderId="0"/>
    <xf numFmtId="0" fontId="13" fillId="0" borderId="0"/>
    <xf numFmtId="0" fontId="63" fillId="0" borderId="0"/>
    <xf numFmtId="0" fontId="53" fillId="0" borderId="0"/>
    <xf numFmtId="0" fontId="55" fillId="0" borderId="0"/>
    <xf numFmtId="0" fontId="56" fillId="0" borderId="0"/>
    <xf numFmtId="0" fontId="22" fillId="0" borderId="0"/>
    <xf numFmtId="0" fontId="8" fillId="0" borderId="0"/>
    <xf numFmtId="0" fontId="59" fillId="0" borderId="0"/>
    <xf numFmtId="0" fontId="13" fillId="0" borderId="0"/>
    <xf numFmtId="0" fontId="3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3" fillId="0" borderId="0" applyFont="0" applyFill="0" applyBorder="0" applyAlignment="0" applyProtection="0"/>
  </cellStyleXfs>
  <cellXfs count="806">
    <xf numFmtId="0" fontId="0" fillId="0" borderId="0" xfId="0"/>
    <xf numFmtId="0" fontId="4" fillId="2" borderId="0" xfId="0" applyFont="1" applyFill="1"/>
    <xf numFmtId="0" fontId="4" fillId="0" borderId="0" xfId="0" applyFont="1"/>
    <xf numFmtId="0" fontId="0" fillId="2" borderId="0" xfId="0" applyFill="1"/>
    <xf numFmtId="0" fontId="12" fillId="0" borderId="0" xfId="0" applyFont="1"/>
    <xf numFmtId="3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/>
    <xf numFmtId="3" fontId="4" fillId="0" borderId="0" xfId="0" applyNumberFormat="1" applyFont="1"/>
    <xf numFmtId="0" fontId="4" fillId="0" borderId="1" xfId="0" applyFont="1" applyBorder="1"/>
    <xf numFmtId="0" fontId="14" fillId="0" borderId="0" xfId="0" applyFont="1"/>
    <xf numFmtId="0" fontId="4" fillId="2" borderId="0" xfId="0" applyFont="1" applyFill="1" applyAlignment="1">
      <alignment horizontal="right"/>
    </xf>
    <xf numFmtId="3" fontId="4" fillId="0" borderId="1" xfId="0" applyNumberFormat="1" applyFont="1" applyBorder="1"/>
    <xf numFmtId="0" fontId="4" fillId="0" borderId="2" xfId="0" applyFont="1" applyBorder="1"/>
    <xf numFmtId="3" fontId="4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4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/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left" vertical="center"/>
    </xf>
    <xf numFmtId="0" fontId="7" fillId="0" borderId="2" xfId="0" applyFont="1" applyBorder="1"/>
    <xf numFmtId="0" fontId="6" fillId="0" borderId="1" xfId="0" applyFont="1" applyBorder="1"/>
    <xf numFmtId="0" fontId="7" fillId="2" borderId="1" xfId="0" applyFont="1" applyFill="1" applyBorder="1"/>
    <xf numFmtId="0" fontId="7" fillId="0" borderId="1" xfId="0" applyFont="1" applyBorder="1" applyAlignment="1">
      <alignment wrapText="1"/>
    </xf>
    <xf numFmtId="0" fontId="8" fillId="0" borderId="1" xfId="0" applyFont="1" applyBorder="1"/>
    <xf numFmtId="0" fontId="17" fillId="0" borderId="0" xfId="0" applyFont="1"/>
    <xf numFmtId="3" fontId="17" fillId="0" borderId="0" xfId="0" applyNumberFormat="1" applyFont="1"/>
    <xf numFmtId="0" fontId="14" fillId="0" borderId="3" xfId="0" applyFont="1" applyBorder="1"/>
    <xf numFmtId="0" fontId="4" fillId="0" borderId="1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/>
    </xf>
    <xf numFmtId="3" fontId="14" fillId="0" borderId="1" xfId="0" applyNumberFormat="1" applyFont="1" applyBorder="1"/>
    <xf numFmtId="0" fontId="16" fillId="2" borderId="0" xfId="0" applyFont="1" applyFill="1"/>
    <xf numFmtId="3" fontId="21" fillId="0" borderId="1" xfId="0" applyNumberFormat="1" applyFont="1" applyBorder="1"/>
    <xf numFmtId="3" fontId="19" fillId="0" borderId="1" xfId="0" applyNumberFormat="1" applyFont="1" applyBorder="1" applyAlignment="1">
      <alignment horizontal="right"/>
    </xf>
    <xf numFmtId="3" fontId="14" fillId="0" borderId="0" xfId="0" applyNumberFormat="1" applyFont="1"/>
    <xf numFmtId="3" fontId="6" fillId="0" borderId="1" xfId="0" applyNumberFormat="1" applyFont="1" applyBorder="1"/>
    <xf numFmtId="3" fontId="4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13" fillId="0" borderId="0" xfId="0" applyFont="1"/>
    <xf numFmtId="0" fontId="21" fillId="0" borderId="0" xfId="0" applyFont="1"/>
    <xf numFmtId="0" fontId="4" fillId="0" borderId="3" xfId="0" applyFont="1" applyBorder="1" applyAlignment="1">
      <alignment horizontal="left" vertical="center"/>
    </xf>
    <xf numFmtId="0" fontId="4" fillId="5" borderId="0" xfId="0" applyFont="1" applyFill="1" applyAlignment="1">
      <alignment horizontal="center"/>
    </xf>
    <xf numFmtId="0" fontId="0" fillId="5" borderId="0" xfId="0" applyFill="1"/>
    <xf numFmtId="0" fontId="4" fillId="0" borderId="0" xfId="0" applyFont="1" applyAlignment="1">
      <alignment horizontal="right"/>
    </xf>
    <xf numFmtId="0" fontId="4" fillId="5" borderId="0" xfId="0" applyFont="1" applyFill="1"/>
    <xf numFmtId="3" fontId="4" fillId="0" borderId="0" xfId="0" applyNumberFormat="1" applyFont="1" applyAlignment="1">
      <alignment horizontal="right"/>
    </xf>
    <xf numFmtId="0" fontId="24" fillId="2" borderId="0" xfId="0" applyFont="1" applyFill="1" applyAlignment="1">
      <alignment horizontal="right"/>
    </xf>
    <xf numFmtId="3" fontId="0" fillId="0" borderId="1" xfId="0" applyNumberFormat="1" applyBorder="1"/>
    <xf numFmtId="0" fontId="26" fillId="0" borderId="1" xfId="0" applyFont="1" applyBorder="1"/>
    <xf numFmtId="3" fontId="0" fillId="2" borderId="1" xfId="0" applyNumberFormat="1" applyFill="1" applyBorder="1"/>
    <xf numFmtId="0" fontId="0" fillId="0" borderId="1" xfId="0" applyBorder="1"/>
    <xf numFmtId="0" fontId="0" fillId="2" borderId="1" xfId="0" applyFill="1" applyBorder="1"/>
    <xf numFmtId="0" fontId="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" fontId="29" fillId="0" borderId="0" xfId="0" applyNumberFormat="1" applyFont="1" applyAlignment="1">
      <alignment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3" fontId="4" fillId="0" borderId="1" xfId="2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2" xfId="2" applyNumberFormat="1" applyFont="1" applyFill="1" applyBorder="1" applyAlignment="1">
      <alignment horizontal="right" vertical="center"/>
    </xf>
    <xf numFmtId="3" fontId="29" fillId="0" borderId="7" xfId="0" applyNumberFormat="1" applyFont="1" applyBorder="1" applyAlignment="1">
      <alignment vertical="center"/>
    </xf>
    <xf numFmtId="0" fontId="18" fillId="3" borderId="8" xfId="0" applyFont="1" applyFill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right"/>
    </xf>
    <xf numFmtId="3" fontId="35" fillId="0" borderId="1" xfId="0" applyNumberFormat="1" applyFont="1" applyBorder="1" applyAlignment="1">
      <alignment horizontal="right"/>
    </xf>
    <xf numFmtId="9" fontId="17" fillId="0" borderId="0" xfId="0" applyNumberFormat="1" applyFont="1"/>
    <xf numFmtId="3" fontId="0" fillId="0" borderId="0" xfId="0" applyNumberFormat="1"/>
    <xf numFmtId="0" fontId="7" fillId="4" borderId="4" xfId="0" applyFont="1" applyFill="1" applyBorder="1" applyAlignment="1">
      <alignment horizontal="left"/>
    </xf>
    <xf numFmtId="0" fontId="27" fillId="0" borderId="3" xfId="0" applyFont="1" applyBorder="1" applyAlignment="1">
      <alignment horizontal="left"/>
    </xf>
    <xf numFmtId="3" fontId="4" fillId="0" borderId="1" xfId="0" applyNumberFormat="1" applyFont="1" applyBorder="1" applyAlignment="1">
      <alignment vertical="center" wrapText="1"/>
    </xf>
    <xf numFmtId="3" fontId="4" fillId="0" borderId="2" xfId="0" applyNumberFormat="1" applyFont="1" applyBorder="1"/>
    <xf numFmtId="0" fontId="9" fillId="0" borderId="1" xfId="0" applyFont="1" applyBorder="1"/>
    <xf numFmtId="3" fontId="4" fillId="0" borderId="3" xfId="0" applyNumberFormat="1" applyFont="1" applyBorder="1"/>
    <xf numFmtId="3" fontId="4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24" fillId="5" borderId="0" xfId="0" applyFont="1" applyFill="1" applyAlignment="1">
      <alignment horizontal="right"/>
    </xf>
    <xf numFmtId="0" fontId="8" fillId="2" borderId="0" xfId="0" applyFont="1" applyFill="1"/>
    <xf numFmtId="0" fontId="37" fillId="2" borderId="0" xfId="0" applyFont="1" applyFill="1"/>
    <xf numFmtId="0" fontId="24" fillId="2" borderId="0" xfId="0" applyFont="1" applyFill="1"/>
    <xf numFmtId="0" fontId="37" fillId="2" borderId="0" xfId="0" applyFont="1" applyFill="1" applyAlignment="1">
      <alignment horizontal="right"/>
    </xf>
    <xf numFmtId="0" fontId="24" fillId="0" borderId="0" xfId="0" applyFont="1"/>
    <xf numFmtId="0" fontId="24" fillId="0" borderId="0" xfId="0" applyFont="1" applyAlignment="1">
      <alignment horizontal="right"/>
    </xf>
    <xf numFmtId="3" fontId="10" fillId="0" borderId="0" xfId="0" applyNumberFormat="1" applyFont="1"/>
    <xf numFmtId="0" fontId="10" fillId="2" borderId="1" xfId="0" applyFont="1" applyFill="1" applyBorder="1"/>
    <xf numFmtId="3" fontId="37" fillId="0" borderId="0" xfId="0" applyNumberFormat="1" applyFont="1"/>
    <xf numFmtId="0" fontId="37" fillId="0" borderId="0" xfId="0" applyFont="1"/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0" borderId="9" xfId="0" applyFont="1" applyBorder="1"/>
    <xf numFmtId="0" fontId="10" fillId="0" borderId="10" xfId="0" applyFont="1" applyBorder="1"/>
    <xf numFmtId="0" fontId="0" fillId="0" borderId="11" xfId="0" applyBorder="1"/>
    <xf numFmtId="3" fontId="10" fillId="0" borderId="12" xfId="0" applyNumberFormat="1" applyFont="1" applyBorder="1"/>
    <xf numFmtId="0" fontId="10" fillId="0" borderId="11" xfId="0" applyFont="1" applyBorder="1"/>
    <xf numFmtId="3" fontId="10" fillId="0" borderId="1" xfId="0" applyNumberFormat="1" applyFont="1" applyBorder="1"/>
    <xf numFmtId="0" fontId="10" fillId="0" borderId="13" xfId="0" applyFont="1" applyBorder="1"/>
    <xf numFmtId="3" fontId="10" fillId="2" borderId="8" xfId="0" applyNumberFormat="1" applyFont="1" applyFill="1" applyBorder="1"/>
    <xf numFmtId="3" fontId="10" fillId="2" borderId="14" xfId="0" applyNumberFormat="1" applyFont="1" applyFill="1" applyBorder="1"/>
    <xf numFmtId="0" fontId="10" fillId="2" borderId="0" xfId="0" applyFont="1" applyFill="1"/>
    <xf numFmtId="0" fontId="44" fillId="2" borderId="0" xfId="0" applyFont="1" applyFill="1"/>
    <xf numFmtId="0" fontId="2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7" fillId="4" borderId="15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6" borderId="1" xfId="0" applyFont="1" applyFill="1" applyBorder="1"/>
    <xf numFmtId="3" fontId="7" fillId="6" borderId="2" xfId="0" applyNumberFormat="1" applyFont="1" applyFill="1" applyBorder="1"/>
    <xf numFmtId="3" fontId="24" fillId="0" borderId="3" xfId="0" applyNumberFormat="1" applyFont="1" applyBorder="1" applyAlignment="1">
      <alignment horizontal="right"/>
    </xf>
    <xf numFmtId="0" fontId="24" fillId="0" borderId="3" xfId="0" applyFont="1" applyBorder="1" applyAlignment="1">
      <alignment horizontal="right"/>
    </xf>
    <xf numFmtId="0" fontId="45" fillId="6" borderId="1" xfId="0" applyFont="1" applyFill="1" applyBorder="1"/>
    <xf numFmtId="0" fontId="10" fillId="6" borderId="1" xfId="0" applyFont="1" applyFill="1" applyBorder="1" applyAlignment="1">
      <alignment horizontal="center" vertical="center" wrapText="1"/>
    </xf>
    <xf numFmtId="3" fontId="8" fillId="6" borderId="1" xfId="0" applyNumberFormat="1" applyFont="1" applyFill="1" applyBorder="1"/>
    <xf numFmtId="3" fontId="0" fillId="6" borderId="1" xfId="0" applyNumberFormat="1" applyFill="1" applyBorder="1"/>
    <xf numFmtId="0" fontId="0" fillId="0" borderId="11" xfId="0" applyBorder="1" applyAlignment="1">
      <alignment wrapText="1"/>
    </xf>
    <xf numFmtId="3" fontId="7" fillId="7" borderId="4" xfId="0" applyNumberFormat="1" applyFont="1" applyFill="1" applyBorder="1" applyAlignment="1">
      <alignment horizontal="left" vertical="center"/>
    </xf>
    <xf numFmtId="3" fontId="7" fillId="7" borderId="5" xfId="2" applyNumberFormat="1" applyFont="1" applyFill="1" applyBorder="1" applyAlignment="1">
      <alignment horizontal="right" vertical="center"/>
    </xf>
    <xf numFmtId="3" fontId="7" fillId="7" borderId="6" xfId="0" applyNumberFormat="1" applyFont="1" applyFill="1" applyBorder="1" applyAlignment="1">
      <alignment vertical="center"/>
    </xf>
    <xf numFmtId="3" fontId="30" fillId="7" borderId="5" xfId="2" applyNumberFormat="1" applyFont="1" applyFill="1" applyBorder="1" applyAlignment="1">
      <alignment horizontal="right" vertical="center"/>
    </xf>
    <xf numFmtId="3" fontId="30" fillId="7" borderId="6" xfId="2" applyNumberFormat="1" applyFont="1" applyFill="1" applyBorder="1" applyAlignment="1">
      <alignment horizontal="right" vertical="center"/>
    </xf>
    <xf numFmtId="3" fontId="4" fillId="0" borderId="3" xfId="2" applyNumberFormat="1" applyFont="1" applyFill="1" applyBorder="1" applyAlignment="1">
      <alignment horizontal="right" vertical="center"/>
    </xf>
    <xf numFmtId="3" fontId="17" fillId="0" borderId="1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7" fillId="7" borderId="5" xfId="0" applyNumberFormat="1" applyFont="1" applyFill="1" applyBorder="1" applyAlignment="1">
      <alignment vertical="center"/>
    </xf>
    <xf numFmtId="3" fontId="28" fillId="7" borderId="4" xfId="0" applyNumberFormat="1" applyFont="1" applyFill="1" applyBorder="1" applyAlignment="1">
      <alignment horizontal="left" vertical="center" wrapText="1"/>
    </xf>
    <xf numFmtId="3" fontId="28" fillId="7" borderId="5" xfId="0" applyNumberFormat="1" applyFont="1" applyFill="1" applyBorder="1" applyAlignment="1">
      <alignment vertical="center"/>
    </xf>
    <xf numFmtId="3" fontId="28" fillId="7" borderId="6" xfId="0" applyNumberFormat="1" applyFont="1" applyFill="1" applyBorder="1" applyAlignment="1">
      <alignment vertical="center"/>
    </xf>
    <xf numFmtId="3" fontId="7" fillId="0" borderId="1" xfId="2" applyNumberFormat="1" applyFont="1" applyFill="1" applyBorder="1" applyAlignment="1">
      <alignment horizontal="right" vertical="center"/>
    </xf>
    <xf numFmtId="3" fontId="7" fillId="0" borderId="3" xfId="2" applyNumberFormat="1" applyFont="1" applyFill="1" applyBorder="1" applyAlignment="1">
      <alignment horizontal="right" vertical="center"/>
    </xf>
    <xf numFmtId="3" fontId="7" fillId="7" borderId="6" xfId="2" applyNumberFormat="1" applyFont="1" applyFill="1" applyBorder="1" applyAlignment="1">
      <alignment horizontal="right" vertical="center"/>
    </xf>
    <xf numFmtId="0" fontId="37" fillId="5" borderId="0" xfId="0" applyFont="1" applyFill="1"/>
    <xf numFmtId="0" fontId="38" fillId="2" borderId="0" xfId="0" applyFont="1" applyFill="1"/>
    <xf numFmtId="0" fontId="19" fillId="2" borderId="4" xfId="0" applyFont="1" applyFill="1" applyBorder="1"/>
    <xf numFmtId="0" fontId="19" fillId="2" borderId="5" xfId="0" applyFont="1" applyFill="1" applyBorder="1"/>
    <xf numFmtId="3" fontId="19" fillId="2" borderId="5" xfId="0" applyNumberFormat="1" applyFont="1" applyFill="1" applyBorder="1"/>
    <xf numFmtId="49" fontId="4" fillId="0" borderId="2" xfId="0" applyNumberFormat="1" applyFont="1" applyBorder="1" applyAlignment="1">
      <alignment horizontal="right"/>
    </xf>
    <xf numFmtId="3" fontId="8" fillId="0" borderId="1" xfId="0" applyNumberFormat="1" applyFont="1" applyBorder="1"/>
    <xf numFmtId="0" fontId="4" fillId="0" borderId="16" xfId="0" applyFont="1" applyBorder="1" applyAlignment="1">
      <alignment horizontal="left" vertical="center" wrapText="1"/>
    </xf>
    <xf numFmtId="0" fontId="7" fillId="0" borderId="3" xfId="0" applyFont="1" applyBorder="1"/>
    <xf numFmtId="3" fontId="19" fillId="0" borderId="1" xfId="0" applyNumberFormat="1" applyFont="1" applyBorder="1"/>
    <xf numFmtId="3" fontId="7" fillId="6" borderId="1" xfId="0" applyNumberFormat="1" applyFont="1" applyFill="1" applyBorder="1"/>
    <xf numFmtId="0" fontId="0" fillId="0" borderId="17" xfId="0" applyBorder="1"/>
    <xf numFmtId="0" fontId="24" fillId="0" borderId="1" xfId="0" applyFont="1" applyBorder="1"/>
    <xf numFmtId="0" fontId="7" fillId="6" borderId="2" xfId="0" applyFont="1" applyFill="1" applyBorder="1"/>
    <xf numFmtId="0" fontId="9" fillId="0" borderId="17" xfId="0" applyFont="1" applyBorder="1"/>
    <xf numFmtId="3" fontId="24" fillId="0" borderId="3" xfId="0" applyNumberFormat="1" applyFont="1" applyBorder="1"/>
    <xf numFmtId="3" fontId="5" fillId="6" borderId="5" xfId="0" applyNumberFormat="1" applyFont="1" applyFill="1" applyBorder="1"/>
    <xf numFmtId="0" fontId="11" fillId="6" borderId="4" xfId="0" applyFont="1" applyFill="1" applyBorder="1" applyAlignment="1">
      <alignment horizontal="left"/>
    </xf>
    <xf numFmtId="0" fontId="9" fillId="0" borderId="3" xfId="0" applyFont="1" applyBorder="1"/>
    <xf numFmtId="3" fontId="7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/>
    <xf numFmtId="3" fontId="15" fillId="0" borderId="1" xfId="0" applyNumberFormat="1" applyFont="1" applyBorder="1" applyAlignment="1">
      <alignment horizontal="right"/>
    </xf>
    <xf numFmtId="3" fontId="7" fillId="6" borderId="3" xfId="0" applyNumberFormat="1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left"/>
    </xf>
    <xf numFmtId="0" fontId="4" fillId="0" borderId="3" xfId="0" applyFont="1" applyBorder="1"/>
    <xf numFmtId="3" fontId="33" fillId="0" borderId="0" xfId="0" applyNumberFormat="1" applyFont="1"/>
    <xf numFmtId="0" fontId="4" fillId="0" borderId="2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26" fillId="0" borderId="0" xfId="0" applyNumberFormat="1" applyFont="1"/>
    <xf numFmtId="0" fontId="26" fillId="0" borderId="0" xfId="0" applyFont="1"/>
    <xf numFmtId="3" fontId="5" fillId="0" borderId="2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vertical="center"/>
    </xf>
    <xf numFmtId="3" fontId="5" fillId="0" borderId="3" xfId="0" applyNumberFormat="1" applyFont="1" applyBorder="1"/>
    <xf numFmtId="0" fontId="5" fillId="0" borderId="2" xfId="0" applyFont="1" applyBorder="1" applyAlignment="1">
      <alignment vertical="center"/>
    </xf>
    <xf numFmtId="3" fontId="17" fillId="0" borderId="1" xfId="0" applyNumberFormat="1" applyFont="1" applyBorder="1" applyAlignment="1">
      <alignment horizontal="right"/>
    </xf>
    <xf numFmtId="0" fontId="4" fillId="5" borderId="0" xfId="0" applyFont="1" applyFill="1" applyAlignment="1">
      <alignment horizontal="right"/>
    </xf>
    <xf numFmtId="0" fontId="42" fillId="3" borderId="18" xfId="0" applyFont="1" applyFill="1" applyBorder="1" applyAlignment="1">
      <alignment horizontal="center" vertical="center" wrapText="1"/>
    </xf>
    <xf numFmtId="3" fontId="11" fillId="4" borderId="5" xfId="0" applyNumberFormat="1" applyFont="1" applyFill="1" applyBorder="1" applyAlignment="1">
      <alignment horizontal="right"/>
    </xf>
    <xf numFmtId="0" fontId="16" fillId="5" borderId="0" xfId="0" applyFont="1" applyFill="1"/>
    <xf numFmtId="3" fontId="4" fillId="5" borderId="0" xfId="0" applyNumberFormat="1" applyFont="1" applyFill="1" applyAlignment="1">
      <alignment horizontal="right"/>
    </xf>
    <xf numFmtId="0" fontId="17" fillId="5" borderId="0" xfId="0" applyFont="1" applyFill="1"/>
    <xf numFmtId="3" fontId="19" fillId="0" borderId="5" xfId="0" applyNumberFormat="1" applyFont="1" applyBorder="1"/>
    <xf numFmtId="3" fontId="9" fillId="2" borderId="1" xfId="0" applyNumberFormat="1" applyFont="1" applyFill="1" applyBorder="1" applyAlignment="1">
      <alignment horizontal="right"/>
    </xf>
    <xf numFmtId="3" fontId="14" fillId="5" borderId="0" xfId="0" applyNumberFormat="1" applyFont="1" applyFill="1"/>
    <xf numFmtId="0" fontId="6" fillId="2" borderId="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wrapText="1"/>
    </xf>
    <xf numFmtId="3" fontId="7" fillId="0" borderId="0" xfId="0" applyNumberFormat="1" applyFont="1"/>
    <xf numFmtId="3" fontId="5" fillId="0" borderId="1" xfId="0" applyNumberFormat="1" applyFont="1" applyBorder="1" applyAlignment="1">
      <alignment horizontal="right" vertical="center"/>
    </xf>
    <xf numFmtId="3" fontId="34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center"/>
    </xf>
    <xf numFmtId="3" fontId="17" fillId="0" borderId="1" xfId="0" applyNumberFormat="1" applyFont="1" applyBorder="1"/>
    <xf numFmtId="3" fontId="50" fillId="0" borderId="0" xfId="0" applyNumberFormat="1" applyFont="1"/>
    <xf numFmtId="3" fontId="0" fillId="8" borderId="19" xfId="0" applyNumberFormat="1" applyFill="1" applyBorder="1"/>
    <xf numFmtId="0" fontId="7" fillId="0" borderId="4" xfId="0" applyFont="1" applyBorder="1"/>
    <xf numFmtId="0" fontId="7" fillId="0" borderId="0" xfId="0" applyFont="1"/>
    <xf numFmtId="0" fontId="11" fillId="6" borderId="20" xfId="0" applyFont="1" applyFill="1" applyBorder="1" applyAlignment="1">
      <alignment horizontal="left"/>
    </xf>
    <xf numFmtId="3" fontId="5" fillId="6" borderId="21" xfId="0" applyNumberFormat="1" applyFont="1" applyFill="1" applyBorder="1"/>
    <xf numFmtId="0" fontId="64" fillId="0" borderId="0" xfId="0" applyFont="1"/>
    <xf numFmtId="0" fontId="65" fillId="0" borderId="0" xfId="0" applyFont="1"/>
    <xf numFmtId="0" fontId="65" fillId="5" borderId="0" xfId="0" applyFont="1" applyFill="1"/>
    <xf numFmtId="0" fontId="7" fillId="6" borderId="3" xfId="0" applyFont="1" applyFill="1" applyBorder="1"/>
    <xf numFmtId="0" fontId="6" fillId="6" borderId="4" xfId="0" applyFont="1" applyFill="1" applyBorder="1"/>
    <xf numFmtId="0" fontId="34" fillId="0" borderId="1" xfId="0" applyFont="1" applyBorder="1"/>
    <xf numFmtId="0" fontId="6" fillId="6" borderId="7" xfId="0" applyFont="1" applyFill="1" applyBorder="1"/>
    <xf numFmtId="3" fontId="6" fillId="6" borderId="7" xfId="0" applyNumberFormat="1" applyFont="1" applyFill="1" applyBorder="1"/>
    <xf numFmtId="0" fontId="5" fillId="6" borderId="4" xfId="0" applyFont="1" applyFill="1" applyBorder="1"/>
    <xf numFmtId="0" fontId="24" fillId="4" borderId="11" xfId="0" applyFont="1" applyFill="1" applyBorder="1" applyAlignment="1">
      <alignment horizontal="center"/>
    </xf>
    <xf numFmtId="3" fontId="49" fillId="0" borderId="0" xfId="0" applyNumberFormat="1" applyFont="1"/>
    <xf numFmtId="3" fontId="29" fillId="5" borderId="0" xfId="0" applyNumberFormat="1" applyFont="1" applyFill="1" applyAlignment="1">
      <alignment vertical="center"/>
    </xf>
    <xf numFmtId="0" fontId="4" fillId="4" borderId="4" xfId="0" applyFont="1" applyFill="1" applyBorder="1"/>
    <xf numFmtId="0" fontId="11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3" fontId="14" fillId="0" borderId="18" xfId="0" applyNumberFormat="1" applyFont="1" applyBorder="1"/>
    <xf numFmtId="3" fontId="31" fillId="3" borderId="8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vertical="center"/>
    </xf>
    <xf numFmtId="0" fontId="24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3" fontId="11" fillId="4" borderId="5" xfId="0" applyNumberFormat="1" applyFont="1" applyFill="1" applyBorder="1"/>
    <xf numFmtId="0" fontId="17" fillId="0" borderId="1" xfId="0" applyFont="1" applyBorder="1"/>
    <xf numFmtId="3" fontId="34" fillId="0" borderId="1" xfId="0" applyNumberFormat="1" applyFont="1" applyBorder="1" applyAlignment="1">
      <alignment horizontal="left" vertical="center"/>
    </xf>
    <xf numFmtId="0" fontId="0" fillId="0" borderId="0" xfId="0" applyAlignment="1">
      <alignment wrapText="1"/>
    </xf>
    <xf numFmtId="3" fontId="4" fillId="0" borderId="3" xfId="0" applyNumberFormat="1" applyFont="1" applyBorder="1" applyAlignment="1">
      <alignment vertical="center" wrapText="1"/>
    </xf>
    <xf numFmtId="0" fontId="0" fillId="0" borderId="5" xfId="0" applyBorder="1"/>
    <xf numFmtId="3" fontId="7" fillId="6" borderId="1" xfId="0" applyNumberFormat="1" applyFont="1" applyFill="1" applyBorder="1" applyAlignment="1">
      <alignment horizontal="right"/>
    </xf>
    <xf numFmtId="3" fontId="7" fillId="6" borderId="2" xfId="0" applyNumberFormat="1" applyFont="1" applyFill="1" applyBorder="1" applyAlignment="1">
      <alignment horizontal="right"/>
    </xf>
    <xf numFmtId="3" fontId="5" fillId="6" borderId="5" xfId="0" applyNumberFormat="1" applyFont="1" applyFill="1" applyBorder="1" applyAlignment="1">
      <alignment horizontal="right"/>
    </xf>
    <xf numFmtId="3" fontId="7" fillId="6" borderId="3" xfId="0" applyNumberFormat="1" applyFont="1" applyFill="1" applyBorder="1" applyAlignment="1">
      <alignment horizontal="right"/>
    </xf>
    <xf numFmtId="3" fontId="35" fillId="0" borderId="1" xfId="0" applyNumberFormat="1" applyFont="1" applyBorder="1"/>
    <xf numFmtId="3" fontId="24" fillId="0" borderId="1" xfId="0" applyNumberFormat="1" applyFont="1" applyBorder="1"/>
    <xf numFmtId="3" fontId="7" fillId="4" borderId="22" xfId="0" applyNumberFormat="1" applyFont="1" applyFill="1" applyBorder="1"/>
    <xf numFmtId="3" fontId="7" fillId="4" borderId="2" xfId="0" applyNumberFormat="1" applyFont="1" applyFill="1" applyBorder="1"/>
    <xf numFmtId="3" fontId="7" fillId="4" borderId="1" xfId="0" applyNumberFormat="1" applyFont="1" applyFill="1" applyBorder="1"/>
    <xf numFmtId="3" fontId="7" fillId="4" borderId="5" xfId="0" applyNumberFormat="1" applyFont="1" applyFill="1" applyBorder="1"/>
    <xf numFmtId="3" fontId="7" fillId="4" borderId="3" xfId="0" applyNumberFormat="1" applyFont="1" applyFill="1" applyBorder="1"/>
    <xf numFmtId="3" fontId="7" fillId="4" borderId="23" xfId="0" applyNumberFormat="1" applyFont="1" applyFill="1" applyBorder="1"/>
    <xf numFmtId="3" fontId="7" fillId="4" borderId="12" xfId="0" applyNumberFormat="1" applyFont="1" applyFill="1" applyBorder="1"/>
    <xf numFmtId="3" fontId="7" fillId="8" borderId="6" xfId="0" applyNumberFormat="1" applyFont="1" applyFill="1" applyBorder="1"/>
    <xf numFmtId="3" fontId="7" fillId="4" borderId="10" xfId="0" applyNumberFormat="1" applyFont="1" applyFill="1" applyBorder="1"/>
    <xf numFmtId="0" fontId="5" fillId="0" borderId="3" xfId="0" applyFont="1" applyBorder="1" applyAlignment="1">
      <alignment horizontal="left" vertical="center"/>
    </xf>
    <xf numFmtId="3" fontId="6" fillId="0" borderId="3" xfId="0" applyNumberFormat="1" applyFont="1" applyBorder="1"/>
    <xf numFmtId="0" fontId="11" fillId="4" borderId="5" xfId="0" applyFont="1" applyFill="1" applyBorder="1" applyAlignment="1">
      <alignment horizontal="center" wrapText="1"/>
    </xf>
    <xf numFmtId="3" fontId="5" fillId="4" borderId="5" xfId="0" applyNumberFormat="1" applyFont="1" applyFill="1" applyBorder="1" applyAlignment="1">
      <alignment horizontal="right"/>
    </xf>
    <xf numFmtId="3" fontId="5" fillId="4" borderId="6" xfId="0" applyNumberFormat="1" applyFont="1" applyFill="1" applyBorder="1" applyAlignment="1">
      <alignment horizontal="right"/>
    </xf>
    <xf numFmtId="0" fontId="5" fillId="4" borderId="4" xfId="0" applyFont="1" applyFill="1" applyBorder="1"/>
    <xf numFmtId="3" fontId="7" fillId="0" borderId="3" xfId="0" applyNumberFormat="1" applyFont="1" applyBorder="1" applyAlignment="1">
      <alignment vertical="center" wrapText="1"/>
    </xf>
    <xf numFmtId="3" fontId="17" fillId="0" borderId="16" xfId="0" applyNumberFormat="1" applyFont="1" applyBorder="1" applyAlignment="1">
      <alignment vertical="center"/>
    </xf>
    <xf numFmtId="3" fontId="4" fillId="8" borderId="1" xfId="0" applyNumberFormat="1" applyFont="1" applyFill="1" applyBorder="1" applyAlignment="1">
      <alignment horizontal="right"/>
    </xf>
    <xf numFmtId="3" fontId="4" fillId="0" borderId="3" xfId="0" applyNumberFormat="1" applyFont="1" applyBorder="1" applyAlignment="1">
      <alignment vertical="center"/>
    </xf>
    <xf numFmtId="3" fontId="24" fillId="0" borderId="0" xfId="0" applyNumberFormat="1" applyFont="1"/>
    <xf numFmtId="0" fontId="66" fillId="0" borderId="0" xfId="0" applyFont="1"/>
    <xf numFmtId="0" fontId="7" fillId="4" borderId="4" xfId="0" applyFont="1" applyFill="1" applyBorder="1"/>
    <xf numFmtId="0" fontId="67" fillId="5" borderId="0" xfId="0" applyFont="1" applyFill="1"/>
    <xf numFmtId="3" fontId="34" fillId="0" borderId="3" xfId="0" applyNumberFormat="1" applyFont="1" applyBorder="1" applyAlignment="1">
      <alignment horizontal="right"/>
    </xf>
    <xf numFmtId="0" fontId="7" fillId="8" borderId="4" xfId="0" applyFont="1" applyFill="1" applyBorder="1" applyAlignment="1">
      <alignment wrapText="1"/>
    </xf>
    <xf numFmtId="3" fontId="7" fillId="8" borderId="6" xfId="0" applyNumberFormat="1" applyFont="1" applyFill="1" applyBorder="1" applyAlignment="1">
      <alignment vertical="center"/>
    </xf>
    <xf numFmtId="3" fontId="52" fillId="0" borderId="1" xfId="0" applyNumberFormat="1" applyFont="1" applyBorder="1" applyAlignment="1">
      <alignment horizontal="right"/>
    </xf>
    <xf numFmtId="0" fontId="35" fillId="0" borderId="1" xfId="0" applyFont="1" applyBorder="1"/>
    <xf numFmtId="0" fontId="35" fillId="0" borderId="1" xfId="0" applyFont="1" applyBorder="1" applyAlignment="1">
      <alignment horizontal="left"/>
    </xf>
    <xf numFmtId="0" fontId="35" fillId="0" borderId="1" xfId="0" applyFont="1" applyBorder="1" applyAlignment="1">
      <alignment horizontal="left" wrapText="1"/>
    </xf>
    <xf numFmtId="0" fontId="35" fillId="0" borderId="3" xfId="0" applyFont="1" applyBorder="1"/>
    <xf numFmtId="3" fontId="24" fillId="0" borderId="2" xfId="0" applyNumberFormat="1" applyFont="1" applyBorder="1"/>
    <xf numFmtId="3" fontId="35" fillId="0" borderId="2" xfId="0" applyNumberFormat="1" applyFont="1" applyBorder="1"/>
    <xf numFmtId="0" fontId="26" fillId="0" borderId="11" xfId="0" applyFont="1" applyBorder="1"/>
    <xf numFmtId="0" fontId="26" fillId="5" borderId="0" xfId="0" applyFont="1" applyFill="1"/>
    <xf numFmtId="0" fontId="50" fillId="0" borderId="3" xfId="0" applyFont="1" applyBorder="1"/>
    <xf numFmtId="0" fontId="50" fillId="0" borderId="1" xfId="0" applyFont="1" applyBorder="1"/>
    <xf numFmtId="0" fontId="26" fillId="0" borderId="17" xfId="0" applyFont="1" applyBorder="1"/>
    <xf numFmtId="0" fontId="50" fillId="0" borderId="17" xfId="0" applyFont="1" applyBorder="1"/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 wrapText="1"/>
    </xf>
    <xf numFmtId="0" fontId="7" fillId="4" borderId="9" xfId="0" applyFont="1" applyFill="1" applyBorder="1" applyAlignment="1">
      <alignment horizontal="left"/>
    </xf>
    <xf numFmtId="0" fontId="18" fillId="3" borderId="22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26" fillId="0" borderId="26" xfId="0" applyFont="1" applyBorder="1"/>
    <xf numFmtId="3" fontId="4" fillId="7" borderId="3" xfId="0" applyNumberFormat="1" applyFont="1" applyFill="1" applyBorder="1"/>
    <xf numFmtId="3" fontId="7" fillId="7" borderId="1" xfId="0" applyNumberFormat="1" applyFont="1" applyFill="1" applyBorder="1"/>
    <xf numFmtId="0" fontId="9" fillId="0" borderId="0" xfId="0" applyFont="1"/>
    <xf numFmtId="0" fontId="50" fillId="8" borderId="27" xfId="0" applyFont="1" applyFill="1" applyBorder="1"/>
    <xf numFmtId="0" fontId="24" fillId="0" borderId="2" xfId="0" applyFont="1" applyBorder="1" applyAlignment="1">
      <alignment horizontal="center"/>
    </xf>
    <xf numFmtId="0" fontId="4" fillId="4" borderId="11" xfId="0" applyFont="1" applyFill="1" applyBorder="1" applyAlignment="1">
      <alignment horizontal="center" wrapText="1"/>
    </xf>
    <xf numFmtId="3" fontId="7" fillId="7" borderId="4" xfId="0" applyNumberFormat="1" applyFont="1" applyFill="1" applyBorder="1" applyAlignment="1">
      <alignment horizontal="left" vertical="center" wrapText="1"/>
    </xf>
    <xf numFmtId="3" fontId="4" fillId="0" borderId="11" xfId="0" applyNumberFormat="1" applyFont="1" applyBorder="1" applyAlignment="1">
      <alignment horizontal="left" vertical="center" wrapText="1"/>
    </xf>
    <xf numFmtId="3" fontId="7" fillId="0" borderId="12" xfId="0" applyNumberFormat="1" applyFont="1" applyBorder="1" applyAlignment="1">
      <alignment vertical="center"/>
    </xf>
    <xf numFmtId="3" fontId="33" fillId="0" borderId="16" xfId="0" applyNumberFormat="1" applyFont="1" applyBorder="1" applyAlignment="1">
      <alignment vertical="center"/>
    </xf>
    <xf numFmtId="3" fontId="7" fillId="0" borderId="28" xfId="0" applyNumberFormat="1" applyFont="1" applyBorder="1" applyAlignment="1">
      <alignment vertical="center"/>
    </xf>
    <xf numFmtId="3" fontId="29" fillId="5" borderId="0" xfId="0" applyNumberFormat="1" applyFont="1" applyFill="1" applyAlignment="1">
      <alignment horizontal="right" vertical="center"/>
    </xf>
    <xf numFmtId="3" fontId="47" fillId="0" borderId="16" xfId="0" applyNumberFormat="1" applyFont="1" applyBorder="1" applyAlignment="1">
      <alignment vertical="center"/>
    </xf>
    <xf numFmtId="3" fontId="32" fillId="0" borderId="16" xfId="0" applyNumberFormat="1" applyFont="1" applyBorder="1" applyAlignment="1">
      <alignment vertical="center"/>
    </xf>
    <xf numFmtId="3" fontId="7" fillId="0" borderId="16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horizontal="left" vertical="center" wrapText="1"/>
    </xf>
    <xf numFmtId="3" fontId="7" fillId="0" borderId="10" xfId="2" applyNumberFormat="1" applyFont="1" applyFill="1" applyBorder="1" applyAlignment="1">
      <alignment horizontal="right" vertical="center"/>
    </xf>
    <xf numFmtId="3" fontId="4" fillId="0" borderId="29" xfId="0" applyNumberFormat="1" applyFont="1" applyBorder="1" applyAlignment="1">
      <alignment horizontal="left" vertical="center" wrapText="1"/>
    </xf>
    <xf numFmtId="3" fontId="7" fillId="7" borderId="3" xfId="0" applyNumberFormat="1" applyFont="1" applyFill="1" applyBorder="1" applyAlignment="1">
      <alignment horizontal="right" vertical="center" wrapText="1"/>
    </xf>
    <xf numFmtId="3" fontId="4" fillId="7" borderId="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3" fontId="17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3" fontId="40" fillId="6" borderId="34" xfId="0" applyNumberFormat="1" applyFont="1" applyFill="1" applyBorder="1" applyAlignment="1">
      <alignment horizontal="center" vertical="center" wrapText="1"/>
    </xf>
    <xf numFmtId="0" fontId="68" fillId="0" borderId="1" xfId="0" applyFont="1" applyBorder="1" applyAlignment="1">
      <alignment wrapText="1"/>
    </xf>
    <xf numFmtId="49" fontId="0" fillId="0" borderId="1" xfId="0" applyNumberFormat="1" applyBorder="1" applyAlignment="1">
      <alignment wrapText="1"/>
    </xf>
    <xf numFmtId="3" fontId="8" fillId="0" borderId="1" xfId="0" applyNumberFormat="1" applyFont="1" applyBorder="1" applyAlignment="1">
      <alignment horizontal="right"/>
    </xf>
    <xf numFmtId="0" fontId="42" fillId="3" borderId="35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 wrapText="1"/>
    </xf>
    <xf numFmtId="0" fontId="51" fillId="3" borderId="8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wrapText="1"/>
    </xf>
    <xf numFmtId="0" fontId="69" fillId="0" borderId="0" xfId="6" applyFont="1"/>
    <xf numFmtId="0" fontId="69" fillId="5" borderId="0" xfId="6" applyFont="1" applyFill="1"/>
    <xf numFmtId="0" fontId="70" fillId="0" borderId="0" xfId="6" applyFont="1"/>
    <xf numFmtId="0" fontId="70" fillId="0" borderId="0" xfId="6" applyFont="1" applyAlignment="1">
      <alignment wrapText="1"/>
    </xf>
    <xf numFmtId="0" fontId="71" fillId="4" borderId="8" xfId="6" applyFont="1" applyFill="1" applyBorder="1" applyAlignment="1">
      <alignment horizontal="center"/>
    </xf>
    <xf numFmtId="0" fontId="71" fillId="4" borderId="14" xfId="6" applyFont="1" applyFill="1" applyBorder="1" applyAlignment="1">
      <alignment horizontal="center"/>
    </xf>
    <xf numFmtId="0" fontId="72" fillId="0" borderId="3" xfId="6" applyFont="1" applyBorder="1"/>
    <xf numFmtId="3" fontId="73" fillId="0" borderId="3" xfId="6" applyNumberFormat="1" applyFont="1" applyBorder="1" applyAlignment="1">
      <alignment horizontal="right"/>
    </xf>
    <xf numFmtId="3" fontId="68" fillId="0" borderId="0" xfId="6" applyNumberFormat="1" applyFont="1"/>
    <xf numFmtId="3" fontId="73" fillId="0" borderId="1" xfId="6" applyNumberFormat="1" applyFont="1" applyBorder="1" applyAlignment="1">
      <alignment horizontal="right"/>
    </xf>
    <xf numFmtId="0" fontId="72" fillId="0" borderId="7" xfId="6" applyFont="1" applyBorder="1"/>
    <xf numFmtId="3" fontId="73" fillId="0" borderId="2" xfId="6" applyNumberFormat="1" applyFont="1" applyBorder="1" applyAlignment="1">
      <alignment horizontal="right"/>
    </xf>
    <xf numFmtId="0" fontId="74" fillId="6" borderId="1" xfId="6" applyFont="1" applyFill="1" applyBorder="1"/>
    <xf numFmtId="3" fontId="68" fillId="6" borderId="1" xfId="6" applyNumberFormat="1" applyFont="1" applyFill="1" applyBorder="1" applyAlignment="1">
      <alignment horizontal="right"/>
    </xf>
    <xf numFmtId="0" fontId="74" fillId="7" borderId="1" xfId="6" applyFont="1" applyFill="1" applyBorder="1"/>
    <xf numFmtId="3" fontId="68" fillId="7" borderId="1" xfId="6" applyNumberFormat="1" applyFont="1" applyFill="1" applyBorder="1" applyAlignment="1">
      <alignment horizontal="right"/>
    </xf>
    <xf numFmtId="0" fontId="74" fillId="0" borderId="3" xfId="6" applyFont="1" applyBorder="1"/>
    <xf numFmtId="3" fontId="68" fillId="0" borderId="3" xfId="6" applyNumberFormat="1" applyFont="1" applyBorder="1" applyAlignment="1">
      <alignment horizontal="right"/>
    </xf>
    <xf numFmtId="0" fontId="74" fillId="0" borderId="1" xfId="6" applyFont="1" applyBorder="1"/>
    <xf numFmtId="3" fontId="68" fillId="0" borderId="1" xfId="6" applyNumberFormat="1" applyFont="1" applyBorder="1" applyAlignment="1">
      <alignment horizontal="right"/>
    </xf>
    <xf numFmtId="0" fontId="75" fillId="0" borderId="1" xfId="6" applyFont="1" applyBorder="1" applyAlignment="1">
      <alignment wrapText="1"/>
    </xf>
    <xf numFmtId="0" fontId="74" fillId="0" borderId="1" xfId="6" applyFont="1" applyBorder="1" applyAlignment="1">
      <alignment wrapText="1"/>
    </xf>
    <xf numFmtId="0" fontId="74" fillId="0" borderId="1" xfId="6" applyFont="1" applyBorder="1" applyAlignment="1">
      <alignment vertical="center" wrapText="1"/>
    </xf>
    <xf numFmtId="0" fontId="74" fillId="6" borderId="1" xfId="6" applyFont="1" applyFill="1" applyBorder="1" applyAlignment="1">
      <alignment vertical="center" wrapText="1"/>
    </xf>
    <xf numFmtId="3" fontId="71" fillId="6" borderId="1" xfId="6" applyNumberFormat="1" applyFont="1" applyFill="1" applyBorder="1" applyAlignment="1">
      <alignment horizontal="right"/>
    </xf>
    <xf numFmtId="0" fontId="74" fillId="7" borderId="2" xfId="6" applyFont="1" applyFill="1" applyBorder="1" applyAlignment="1">
      <alignment wrapText="1"/>
    </xf>
    <xf numFmtId="3" fontId="68" fillId="7" borderId="2" xfId="6" applyNumberFormat="1" applyFont="1" applyFill="1" applyBorder="1" applyAlignment="1">
      <alignment horizontal="right"/>
    </xf>
    <xf numFmtId="3" fontId="73" fillId="7" borderId="2" xfId="6" applyNumberFormat="1" applyFont="1" applyFill="1" applyBorder="1" applyAlignment="1">
      <alignment horizontal="right"/>
    </xf>
    <xf numFmtId="0" fontId="70" fillId="6" borderId="4" xfId="6" applyFont="1" applyFill="1" applyBorder="1"/>
    <xf numFmtId="3" fontId="74" fillId="6" borderId="5" xfId="6" applyNumberFormat="1" applyFont="1" applyFill="1" applyBorder="1" applyAlignment="1">
      <alignment horizontal="right"/>
    </xf>
    <xf numFmtId="3" fontId="74" fillId="6" borderId="6" xfId="6" applyNumberFormat="1" applyFont="1" applyFill="1" applyBorder="1" applyAlignment="1">
      <alignment horizontal="right"/>
    </xf>
    <xf numFmtId="3" fontId="69" fillId="0" borderId="0" xfId="6" applyNumberFormat="1" applyFont="1"/>
    <xf numFmtId="0" fontId="76" fillId="0" borderId="3" xfId="6" applyFont="1" applyBorder="1" applyAlignment="1">
      <alignment wrapText="1"/>
    </xf>
    <xf numFmtId="3" fontId="68" fillId="0" borderId="37" xfId="6" applyNumberFormat="1" applyFont="1" applyBorder="1"/>
    <xf numFmtId="3" fontId="68" fillId="0" borderId="38" xfId="6" applyNumberFormat="1" applyFont="1" applyBorder="1"/>
    <xf numFmtId="3" fontId="76" fillId="0" borderId="37" xfId="6" applyNumberFormat="1" applyFont="1" applyBorder="1"/>
    <xf numFmtId="3" fontId="76" fillId="0" borderId="38" xfId="6" applyNumberFormat="1" applyFont="1" applyBorder="1"/>
    <xf numFmtId="3" fontId="76" fillId="0" borderId="3" xfId="6" applyNumberFormat="1" applyFont="1" applyBorder="1" applyAlignment="1">
      <alignment horizontal="center"/>
    </xf>
    <xf numFmtId="3" fontId="71" fillId="0" borderId="17" xfId="6" applyNumberFormat="1" applyFont="1" applyBorder="1"/>
    <xf numFmtId="3" fontId="71" fillId="0" borderId="16" xfId="6" applyNumberFormat="1" applyFont="1" applyBorder="1"/>
    <xf numFmtId="3" fontId="74" fillId="0" borderId="1" xfId="6" applyNumberFormat="1" applyFont="1" applyBorder="1" applyAlignment="1">
      <alignment horizontal="center"/>
    </xf>
    <xf numFmtId="3" fontId="74" fillId="0" borderId="17" xfId="6" applyNumberFormat="1" applyFont="1" applyBorder="1"/>
    <xf numFmtId="3" fontId="74" fillId="0" borderId="16" xfId="6" applyNumberFormat="1" applyFont="1" applyBorder="1"/>
    <xf numFmtId="0" fontId="68" fillId="0" borderId="0" xfId="6" applyFont="1"/>
    <xf numFmtId="0" fontId="76" fillId="0" borderId="1" xfId="6" applyFont="1" applyBorder="1"/>
    <xf numFmtId="3" fontId="68" fillId="0" borderId="17" xfId="6" applyNumberFormat="1" applyFont="1" applyBorder="1"/>
    <xf numFmtId="3" fontId="68" fillId="0" borderId="16" xfId="6" applyNumberFormat="1" applyFont="1" applyBorder="1"/>
    <xf numFmtId="3" fontId="76" fillId="0" borderId="1" xfId="6" applyNumberFormat="1" applyFont="1" applyBorder="1" applyAlignment="1">
      <alignment horizontal="center"/>
    </xf>
    <xf numFmtId="3" fontId="76" fillId="0" borderId="17" xfId="6" applyNumberFormat="1" applyFont="1" applyBorder="1"/>
    <xf numFmtId="3" fontId="76" fillId="0" borderId="16" xfId="6" applyNumberFormat="1" applyFont="1" applyBorder="1"/>
    <xf numFmtId="3" fontId="76" fillId="0" borderId="0" xfId="6" applyNumberFormat="1" applyFont="1"/>
    <xf numFmtId="3" fontId="77" fillId="0" borderId="0" xfId="6" applyNumberFormat="1" applyFont="1"/>
    <xf numFmtId="0" fontId="68" fillId="0" borderId="0" xfId="6" applyFont="1" applyAlignment="1">
      <alignment wrapText="1"/>
    </xf>
    <xf numFmtId="3" fontId="71" fillId="0" borderId="0" xfId="6" applyNumberFormat="1" applyFont="1"/>
    <xf numFmtId="0" fontId="71" fillId="0" borderId="0" xfId="6" applyFont="1" applyAlignment="1">
      <alignment wrapText="1"/>
    </xf>
    <xf numFmtId="3" fontId="71" fillId="0" borderId="27" xfId="6" applyNumberFormat="1" applyFont="1" applyBorder="1"/>
    <xf numFmtId="3" fontId="71" fillId="0" borderId="25" xfId="6" applyNumberFormat="1" applyFont="1" applyBorder="1"/>
    <xf numFmtId="3" fontId="71" fillId="0" borderId="24" xfId="6" applyNumberFormat="1" applyFont="1" applyBorder="1"/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4" fillId="0" borderId="3" xfId="0" applyNumberFormat="1" applyFont="1" applyBorder="1" applyAlignment="1">
      <alignment horizontal="right"/>
    </xf>
    <xf numFmtId="0" fontId="50" fillId="0" borderId="0" xfId="0" applyFont="1"/>
    <xf numFmtId="3" fontId="21" fillId="0" borderId="0" xfId="0" applyNumberFormat="1" applyFont="1"/>
    <xf numFmtId="3" fontId="78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4" borderId="24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7" fillId="0" borderId="11" xfId="0" applyFont="1" applyBorder="1"/>
    <xf numFmtId="0" fontId="4" fillId="0" borderId="11" xfId="0" applyFont="1" applyBorder="1"/>
    <xf numFmtId="0" fontId="34" fillId="0" borderId="11" xfId="0" applyFont="1" applyBorder="1"/>
    <xf numFmtId="0" fontId="34" fillId="0" borderId="1" xfId="0" applyFont="1" applyBorder="1" applyAlignment="1">
      <alignment horizontal="left" vertical="center" wrapText="1"/>
    </xf>
    <xf numFmtId="0" fontId="34" fillId="0" borderId="0" xfId="0" applyFont="1"/>
    <xf numFmtId="0" fontId="45" fillId="0" borderId="0" xfId="0" applyFont="1"/>
    <xf numFmtId="0" fontId="4" fillId="0" borderId="39" xfId="0" applyFont="1" applyBorder="1"/>
    <xf numFmtId="0" fontId="4" fillId="4" borderId="27" xfId="0" applyFont="1" applyFill="1" applyBorder="1"/>
    <xf numFmtId="3" fontId="11" fillId="4" borderId="5" xfId="0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15" fillId="0" borderId="1" xfId="0" applyFont="1" applyBorder="1"/>
    <xf numFmtId="0" fontId="11" fillId="4" borderId="4" xfId="0" applyFont="1" applyFill="1" applyBorder="1" applyAlignment="1">
      <alignment horizontal="center" vertical="center"/>
    </xf>
    <xf numFmtId="3" fontId="5" fillId="0" borderId="10" xfId="0" applyNumberFormat="1" applyFont="1" applyBorder="1" applyAlignment="1">
      <alignment vertical="center"/>
    </xf>
    <xf numFmtId="3" fontId="6" fillId="0" borderId="12" xfId="0" applyNumberFormat="1" applyFont="1" applyBorder="1"/>
    <xf numFmtId="3" fontId="4" fillId="0" borderId="12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34" fillId="0" borderId="12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5" fillId="0" borderId="12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3" fontId="4" fillId="8" borderId="1" xfId="0" applyNumberFormat="1" applyFont="1" applyFill="1" applyBorder="1"/>
    <xf numFmtId="0" fontId="27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27" fillId="0" borderId="1" xfId="0" applyNumberFormat="1" applyFont="1" applyBorder="1" applyAlignment="1">
      <alignment horizontal="right"/>
    </xf>
    <xf numFmtId="3" fontId="27" fillId="0" borderId="2" xfId="0" applyNumberFormat="1" applyFont="1" applyBorder="1" applyAlignment="1">
      <alignment horizontal="right"/>
    </xf>
    <xf numFmtId="0" fontId="14" fillId="5" borderId="0" xfId="0" applyFont="1" applyFill="1"/>
    <xf numFmtId="0" fontId="14" fillId="8" borderId="19" xfId="0" applyFont="1" applyFill="1" applyBorder="1"/>
    <xf numFmtId="0" fontId="67" fillId="5" borderId="0" xfId="0" applyFont="1" applyFill="1" applyAlignment="1">
      <alignment horizontal="center"/>
    </xf>
    <xf numFmtId="3" fontId="26" fillId="8" borderId="24" xfId="0" applyNumberFormat="1" applyFont="1" applyFill="1" applyBorder="1"/>
    <xf numFmtId="3" fontId="4" fillId="9" borderId="0" xfId="0" applyNumberFormat="1" applyFont="1" applyFill="1"/>
    <xf numFmtId="0" fontId="24" fillId="5" borderId="0" xfId="0" applyFont="1" applyFill="1"/>
    <xf numFmtId="3" fontId="9" fillId="0" borderId="1" xfId="0" applyNumberFormat="1" applyFont="1" applyBorder="1" applyAlignment="1">
      <alignment horizontal="center"/>
    </xf>
    <xf numFmtId="0" fontId="27" fillId="7" borderId="1" xfId="0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3" fontId="6" fillId="0" borderId="0" xfId="0" applyNumberFormat="1" applyFont="1"/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/>
    </xf>
    <xf numFmtId="3" fontId="5" fillId="0" borderId="0" xfId="0" applyNumberFormat="1" applyFont="1"/>
    <xf numFmtId="3" fontId="19" fillId="0" borderId="0" xfId="0" applyNumberFormat="1" applyFont="1"/>
    <xf numFmtId="0" fontId="5" fillId="0" borderId="0" xfId="0" applyFont="1" applyAlignment="1">
      <alignment vertical="center"/>
    </xf>
    <xf numFmtId="0" fontId="23" fillId="0" borderId="0" xfId="0" applyFont="1"/>
    <xf numFmtId="3" fontId="23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3" fontId="5" fillId="10" borderId="1" xfId="0" applyNumberFormat="1" applyFont="1" applyFill="1" applyBorder="1"/>
    <xf numFmtId="3" fontId="6" fillId="10" borderId="1" xfId="0" applyNumberFormat="1" applyFont="1" applyFill="1" applyBorder="1" applyAlignment="1">
      <alignment horizontal="right"/>
    </xf>
    <xf numFmtId="3" fontId="79" fillId="0" borderId="0" xfId="0" applyNumberFormat="1" applyFont="1"/>
    <xf numFmtId="3" fontId="4" fillId="0" borderId="0" xfId="0" applyNumberFormat="1" applyFont="1" applyAlignment="1">
      <alignment horizontal="center" vertical="center" wrapText="1"/>
    </xf>
    <xf numFmtId="3" fontId="9" fillId="0" borderId="0" xfId="0" applyNumberFormat="1" applyFont="1"/>
    <xf numFmtId="3" fontId="80" fillId="0" borderId="0" xfId="0" applyNumberFormat="1" applyFont="1"/>
    <xf numFmtId="3" fontId="11" fillId="4" borderId="40" xfId="0" applyNumberFormat="1" applyFont="1" applyFill="1" applyBorder="1" applyAlignment="1">
      <alignment horizontal="right"/>
    </xf>
    <xf numFmtId="3" fontId="40" fillId="3" borderId="1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3" fontId="64" fillId="0" borderId="0" xfId="0" applyNumberFormat="1" applyFont="1"/>
    <xf numFmtId="3" fontId="81" fillId="0" borderId="0" xfId="0" applyNumberFormat="1" applyFont="1" applyAlignment="1">
      <alignment horizontal="center"/>
    </xf>
    <xf numFmtId="3" fontId="64" fillId="0" borderId="0" xfId="1" applyNumberFormat="1" applyFont="1" applyFill="1"/>
    <xf numFmtId="3" fontId="9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1" fontId="40" fillId="0" borderId="0" xfId="0" applyNumberFormat="1" applyFont="1" applyAlignment="1">
      <alignment horizontal="center" vertical="center" wrapText="1"/>
    </xf>
    <xf numFmtId="1" fontId="40" fillId="6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/>
    </xf>
    <xf numFmtId="3" fontId="7" fillId="0" borderId="41" xfId="0" applyNumberFormat="1" applyFont="1" applyBorder="1" applyAlignment="1">
      <alignment vertical="center"/>
    </xf>
    <xf numFmtId="3" fontId="7" fillId="0" borderId="7" xfId="2" applyNumberFormat="1" applyFont="1" applyFill="1" applyBorder="1" applyAlignment="1">
      <alignment horizontal="right" vertical="center"/>
    </xf>
    <xf numFmtId="3" fontId="4" fillId="0" borderId="7" xfId="2" applyNumberFormat="1" applyFont="1" applyFill="1" applyBorder="1" applyAlignment="1">
      <alignment horizontal="right" vertical="center"/>
    </xf>
    <xf numFmtId="3" fontId="4" fillId="7" borderId="7" xfId="0" applyNumberFormat="1" applyFont="1" applyFill="1" applyBorder="1" applyAlignment="1">
      <alignment horizontal="right" vertical="center" wrapText="1"/>
    </xf>
    <xf numFmtId="3" fontId="5" fillId="6" borderId="6" xfId="0" applyNumberFormat="1" applyFont="1" applyFill="1" applyBorder="1" applyAlignment="1">
      <alignment horizontal="right" vertical="center" wrapText="1"/>
    </xf>
    <xf numFmtId="3" fontId="57" fillId="0" borderId="0" xfId="0" applyNumberFormat="1" applyFont="1" applyAlignment="1">
      <alignment vertical="center"/>
    </xf>
    <xf numFmtId="3" fontId="78" fillId="0" borderId="0" xfId="0" applyNumberFormat="1" applyFont="1"/>
    <xf numFmtId="0" fontId="4" fillId="0" borderId="42" xfId="0" applyFont="1" applyBorder="1"/>
    <xf numFmtId="3" fontId="4" fillId="0" borderId="12" xfId="0" applyNumberFormat="1" applyFont="1" applyBorder="1" applyAlignment="1">
      <alignment horizontal="right" vertical="center"/>
    </xf>
    <xf numFmtId="0" fontId="4" fillId="0" borderId="9" xfId="0" applyFont="1" applyBorder="1"/>
    <xf numFmtId="0" fontId="7" fillId="0" borderId="11" xfId="0" applyFont="1" applyBorder="1" applyAlignment="1">
      <alignment wrapText="1"/>
    </xf>
    <xf numFmtId="3" fontId="24" fillId="5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24" fillId="2" borderId="0" xfId="0" applyNumberFormat="1" applyFont="1" applyFill="1" applyAlignment="1">
      <alignment horizontal="right"/>
    </xf>
    <xf numFmtId="0" fontId="4" fillId="0" borderId="16" xfId="0" applyFont="1" applyBorder="1"/>
    <xf numFmtId="0" fontId="24" fillId="5" borderId="0" xfId="0" applyFont="1" applyFill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4" fillId="0" borderId="3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horizontal="left" vertical="center"/>
    </xf>
    <xf numFmtId="3" fontId="7" fillId="0" borderId="2" xfId="0" applyNumberFormat="1" applyFont="1" applyBorder="1" applyAlignment="1">
      <alignment vertical="center"/>
    </xf>
    <xf numFmtId="3" fontId="4" fillId="0" borderId="39" xfId="0" applyNumberFormat="1" applyFont="1" applyBorder="1" applyAlignment="1">
      <alignment horizontal="left" vertical="center" wrapText="1"/>
    </xf>
    <xf numFmtId="3" fontId="19" fillId="7" borderId="4" xfId="0" applyNumberFormat="1" applyFont="1" applyFill="1" applyBorder="1" applyAlignment="1">
      <alignment horizontal="left" vertical="center" wrapText="1"/>
    </xf>
    <xf numFmtId="3" fontId="17" fillId="0" borderId="18" xfId="0" applyNumberFormat="1" applyFont="1" applyBorder="1" applyAlignment="1">
      <alignment wrapText="1"/>
    </xf>
    <xf numFmtId="0" fontId="24" fillId="0" borderId="16" xfId="0" applyFont="1" applyBorder="1"/>
    <xf numFmtId="0" fontId="24" fillId="0" borderId="16" xfId="0" applyFont="1" applyBorder="1" applyAlignment="1">
      <alignment wrapText="1"/>
    </xf>
    <xf numFmtId="3" fontId="17" fillId="0" borderId="0" xfId="0" applyNumberFormat="1" applyFont="1" applyAlignment="1">
      <alignment horizontal="center" wrapText="1"/>
    </xf>
    <xf numFmtId="3" fontId="14" fillId="9" borderId="0" xfId="0" applyNumberFormat="1" applyFont="1" applyFill="1"/>
    <xf numFmtId="3" fontId="33" fillId="0" borderId="0" xfId="0" applyNumberFormat="1" applyFont="1" applyAlignment="1">
      <alignment wrapText="1"/>
    </xf>
    <xf numFmtId="0" fontId="33" fillId="0" borderId="0" xfId="0" applyFont="1"/>
    <xf numFmtId="3" fontId="47" fillId="0" borderId="0" xfId="0" applyNumberFormat="1" applyFont="1"/>
    <xf numFmtId="4" fontId="14" fillId="0" borderId="0" xfId="0" applyNumberFormat="1" applyFont="1"/>
    <xf numFmtId="3" fontId="33" fillId="0" borderId="0" xfId="0" applyNumberFormat="1" applyFont="1" applyAlignment="1">
      <alignment horizontal="right"/>
    </xf>
    <xf numFmtId="3" fontId="4" fillId="0" borderId="0" xfId="0" applyNumberFormat="1" applyFont="1" applyAlignment="1">
      <alignment wrapText="1"/>
    </xf>
    <xf numFmtId="0" fontId="54" fillId="0" borderId="1" xfId="0" applyFont="1" applyBorder="1"/>
    <xf numFmtId="0" fontId="22" fillId="0" borderId="1" xfId="0" applyFont="1" applyBorder="1" applyAlignment="1">
      <alignment wrapText="1"/>
    </xf>
    <xf numFmtId="3" fontId="7" fillId="7" borderId="3" xfId="0" applyNumberFormat="1" applyFont="1" applyFill="1" applyBorder="1"/>
    <xf numFmtId="3" fontId="4" fillId="7" borderId="1" xfId="0" applyNumberFormat="1" applyFont="1" applyFill="1" applyBorder="1"/>
    <xf numFmtId="0" fontId="4" fillId="0" borderId="2" xfId="0" applyFont="1" applyBorder="1" applyAlignment="1">
      <alignment wrapText="1"/>
    </xf>
    <xf numFmtId="3" fontId="54" fillId="0" borderId="1" xfId="0" applyNumberFormat="1" applyFont="1" applyBorder="1"/>
    <xf numFmtId="0" fontId="82" fillId="0" borderId="1" xfId="0" applyFont="1" applyBorder="1" applyAlignment="1">
      <alignment wrapText="1"/>
    </xf>
    <xf numFmtId="0" fontId="3" fillId="5" borderId="0" xfId="14" applyFill="1"/>
    <xf numFmtId="0" fontId="3" fillId="0" borderId="0" xfId="14"/>
    <xf numFmtId="3" fontId="4" fillId="5" borderId="0" xfId="14" applyNumberFormat="1" applyFont="1" applyFill="1" applyAlignment="1">
      <alignment horizontal="right"/>
    </xf>
    <xf numFmtId="0" fontId="4" fillId="11" borderId="0" xfId="14" applyFont="1" applyFill="1"/>
    <xf numFmtId="0" fontId="4" fillId="5" borderId="0" xfId="14" applyFont="1" applyFill="1"/>
    <xf numFmtId="0" fontId="7" fillId="0" borderId="1" xfId="14" applyFont="1" applyBorder="1" applyAlignment="1">
      <alignment horizontal="center" vertical="center" wrapText="1"/>
    </xf>
    <xf numFmtId="3" fontId="7" fillId="0" borderId="1" xfId="14" applyNumberFormat="1" applyFont="1" applyBorder="1" applyAlignment="1">
      <alignment vertical="center" wrapText="1"/>
    </xf>
    <xf numFmtId="0" fontId="7" fillId="0" borderId="1" xfId="14" applyFont="1" applyBorder="1" applyAlignment="1">
      <alignment horizontal="left" vertical="center"/>
    </xf>
    <xf numFmtId="3" fontId="7" fillId="0" borderId="1" xfId="14" applyNumberFormat="1" applyFont="1" applyBorder="1" applyAlignment="1">
      <alignment vertical="center"/>
    </xf>
    <xf numFmtId="0" fontId="7" fillId="0" borderId="1" xfId="14" applyFont="1" applyBorder="1" applyAlignment="1">
      <alignment vertical="center"/>
    </xf>
    <xf numFmtId="0" fontId="4" fillId="0" borderId="1" xfId="14" applyFont="1" applyBorder="1" applyAlignment="1">
      <alignment horizontal="left" vertical="center" indent="1"/>
    </xf>
    <xf numFmtId="3" fontId="4" fillId="0" borderId="1" xfId="14" applyNumberFormat="1" applyFont="1" applyBorder="1" applyAlignment="1">
      <alignment vertical="center"/>
    </xf>
    <xf numFmtId="0" fontId="4" fillId="0" borderId="1" xfId="14" applyFont="1" applyBorder="1" applyAlignment="1">
      <alignment horizontal="left" vertical="center" wrapText="1" indent="1"/>
    </xf>
    <xf numFmtId="3" fontId="4" fillId="0" borderId="1" xfId="14" applyNumberFormat="1" applyFont="1" applyBorder="1" applyAlignment="1">
      <alignment vertical="center" wrapText="1"/>
    </xf>
    <xf numFmtId="0" fontId="4" fillId="0" borderId="1" xfId="14" applyFont="1" applyBorder="1" applyAlignment="1">
      <alignment vertical="center"/>
    </xf>
    <xf numFmtId="0" fontId="7" fillId="0" borderId="1" xfId="14" applyFont="1" applyBorder="1" applyAlignment="1">
      <alignment horizontal="center" vertical="center"/>
    </xf>
    <xf numFmtId="0" fontId="4" fillId="0" borderId="1" xfId="14" applyFont="1" applyBorder="1" applyAlignment="1">
      <alignment horizontal="left" indent="2"/>
    </xf>
    <xf numFmtId="3" fontId="4" fillId="0" borderId="1" xfId="14" applyNumberFormat="1" applyFont="1" applyBorder="1"/>
    <xf numFmtId="0" fontId="4" fillId="0" borderId="1" xfId="14" applyFont="1" applyBorder="1" applyAlignment="1">
      <alignment horizontal="left" vertical="center" indent="3"/>
    </xf>
    <xf numFmtId="0" fontId="4" fillId="0" borderId="1" xfId="14" applyFont="1" applyBorder="1" applyAlignment="1">
      <alignment horizontal="left" vertical="center"/>
    </xf>
    <xf numFmtId="3" fontId="4" fillId="0" borderId="3" xfId="14" applyNumberFormat="1" applyFont="1" applyBorder="1" applyAlignment="1">
      <alignment horizontal="right" vertical="center"/>
    </xf>
    <xf numFmtId="3" fontId="86" fillId="0" borderId="1" xfId="0" applyNumberFormat="1" applyFont="1" applyBorder="1" applyAlignment="1">
      <alignment horizontal="right"/>
    </xf>
    <xf numFmtId="3" fontId="86" fillId="0" borderId="1" xfId="0" applyNumberFormat="1" applyFont="1" applyBorder="1"/>
    <xf numFmtId="3" fontId="14" fillId="0" borderId="0" xfId="1" applyNumberFormat="1" applyFont="1" applyFill="1"/>
    <xf numFmtId="3" fontId="24" fillId="5" borderId="0" xfId="0" applyNumberFormat="1" applyFont="1" applyFill="1" applyAlignment="1">
      <alignment horizontal="right"/>
    </xf>
    <xf numFmtId="3" fontId="34" fillId="0" borderId="25" xfId="0" applyNumberFormat="1" applyFont="1" applyBorder="1" applyAlignment="1">
      <alignment horizontal="right"/>
    </xf>
    <xf numFmtId="0" fontId="25" fillId="0" borderId="0" xfId="0" applyFont="1"/>
    <xf numFmtId="3" fontId="9" fillId="0" borderId="1" xfId="0" applyNumberFormat="1" applyFont="1" applyBorder="1"/>
    <xf numFmtId="3" fontId="57" fillId="0" borderId="0" xfId="0" applyNumberFormat="1" applyFont="1" applyAlignment="1">
      <alignment horizontal="center"/>
    </xf>
    <xf numFmtId="0" fontId="4" fillId="5" borderId="0" xfId="0" applyFont="1" applyFill="1" applyAlignment="1">
      <alignment horizontal="right" vertical="center"/>
    </xf>
    <xf numFmtId="3" fontId="4" fillId="5" borderId="0" xfId="0" applyNumberFormat="1" applyFont="1" applyFill="1" applyAlignment="1">
      <alignment horizontal="right" vertical="center"/>
    </xf>
    <xf numFmtId="0" fontId="4" fillId="8" borderId="1" xfId="0" applyFont="1" applyFill="1" applyBorder="1" applyAlignment="1">
      <alignment horizontal="left" vertical="center"/>
    </xf>
    <xf numFmtId="3" fontId="68" fillId="0" borderId="1" xfId="0" applyNumberFormat="1" applyFont="1" applyBorder="1" applyAlignment="1">
      <alignment horizontal="right" vertical="center"/>
    </xf>
    <xf numFmtId="3" fontId="71" fillId="0" borderId="1" xfId="0" applyNumberFormat="1" applyFont="1" applyBorder="1"/>
    <xf numFmtId="3" fontId="4" fillId="0" borderId="0" xfId="1" applyNumberFormat="1" applyFont="1"/>
    <xf numFmtId="0" fontId="34" fillId="0" borderId="1" xfId="0" applyFont="1" applyBorder="1" applyAlignment="1">
      <alignment wrapText="1"/>
    </xf>
    <xf numFmtId="3" fontId="68" fillId="0" borderId="1" xfId="0" applyNumberFormat="1" applyFont="1" applyBorder="1" applyAlignment="1">
      <alignment horizontal="right"/>
    </xf>
    <xf numFmtId="0" fontId="87" fillId="0" borderId="0" xfId="0" applyFont="1"/>
    <xf numFmtId="3" fontId="4" fillId="0" borderId="0" xfId="0" applyNumberFormat="1" applyFont="1" applyAlignment="1">
      <alignment horizontal="left"/>
    </xf>
    <xf numFmtId="3" fontId="4" fillId="0" borderId="25" xfId="0" applyNumberFormat="1" applyFont="1" applyBorder="1" applyAlignment="1">
      <alignment horizontal="right"/>
    </xf>
    <xf numFmtId="0" fontId="88" fillId="0" borderId="17" xfId="0" applyFont="1" applyBorder="1"/>
    <xf numFmtId="0" fontId="15" fillId="6" borderId="2" xfId="0" applyFont="1" applyFill="1" applyBorder="1"/>
    <xf numFmtId="3" fontId="15" fillId="6" borderId="1" xfId="0" applyNumberFormat="1" applyFont="1" applyFill="1" applyBorder="1"/>
    <xf numFmtId="3" fontId="15" fillId="6" borderId="2" xfId="0" applyNumberFormat="1" applyFont="1" applyFill="1" applyBorder="1"/>
    <xf numFmtId="3" fontId="89" fillId="0" borderId="0" xfId="0" applyNumberFormat="1" applyFont="1" applyAlignment="1">
      <alignment horizontal="center"/>
    </xf>
    <xf numFmtId="0" fontId="54" fillId="5" borderId="0" xfId="0" applyFont="1" applyFill="1"/>
    <xf numFmtId="0" fontId="22" fillId="5" borderId="0" xfId="0" applyFont="1" applyFill="1" applyAlignment="1">
      <alignment horizontal="right"/>
    </xf>
    <xf numFmtId="0" fontId="60" fillId="7" borderId="43" xfId="0" applyFont="1" applyFill="1" applyBorder="1" applyAlignment="1">
      <alignment horizontal="center" vertical="center" wrapText="1"/>
    </xf>
    <xf numFmtId="0" fontId="60" fillId="7" borderId="36" xfId="0" applyFont="1" applyFill="1" applyBorder="1" applyAlignment="1">
      <alignment horizontal="center" vertical="center" wrapText="1"/>
    </xf>
    <xf numFmtId="0" fontId="60" fillId="7" borderId="44" xfId="0" applyFont="1" applyFill="1" applyBorder="1" applyAlignment="1">
      <alignment horizontal="center" vertical="center" wrapText="1"/>
    </xf>
    <xf numFmtId="0" fontId="60" fillId="7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61" fillId="0" borderId="0" xfId="0" applyNumberFormat="1" applyFont="1" applyAlignment="1">
      <alignment horizontal="center" vertical="center" wrapText="1"/>
    </xf>
    <xf numFmtId="0" fontId="54" fillId="7" borderId="45" xfId="0" applyFont="1" applyFill="1" applyBorder="1"/>
    <xf numFmtId="3" fontId="0" fillId="0" borderId="31" xfId="0" applyNumberFormat="1" applyBorder="1"/>
    <xf numFmtId="3" fontId="22" fillId="0" borderId="16" xfId="0" applyNumberFormat="1" applyFont="1" applyBorder="1"/>
    <xf numFmtId="3" fontId="22" fillId="0" borderId="3" xfId="0" applyNumberFormat="1" applyFont="1" applyBorder="1"/>
    <xf numFmtId="3" fontId="0" fillId="0" borderId="3" xfId="0" applyNumberFormat="1" applyBorder="1"/>
    <xf numFmtId="3" fontId="0" fillId="0" borderId="46" xfId="0" applyNumberFormat="1" applyBorder="1"/>
    <xf numFmtId="3" fontId="54" fillId="0" borderId="31" xfId="0" applyNumberFormat="1" applyFont="1" applyBorder="1"/>
    <xf numFmtId="3" fontId="0" fillId="0" borderId="28" xfId="0" applyNumberFormat="1" applyBorder="1"/>
    <xf numFmtId="3" fontId="0" fillId="0" borderId="47" xfId="0" applyNumberFormat="1" applyBorder="1"/>
    <xf numFmtId="3" fontId="54" fillId="7" borderId="31" xfId="0" applyNumberFormat="1" applyFont="1" applyFill="1" applyBorder="1"/>
    <xf numFmtId="3" fontId="23" fillId="0" borderId="48" xfId="0" applyNumberFormat="1" applyFont="1" applyBorder="1"/>
    <xf numFmtId="3" fontId="0" fillId="7" borderId="48" xfId="0" applyNumberFormat="1" applyFill="1" applyBorder="1"/>
    <xf numFmtId="0" fontId="54" fillId="7" borderId="42" xfId="0" applyFont="1" applyFill="1" applyBorder="1"/>
    <xf numFmtId="0" fontId="54" fillId="0" borderId="32" xfId="0" applyFont="1" applyBorder="1"/>
    <xf numFmtId="3" fontId="23" fillId="0" borderId="32" xfId="0" applyNumberFormat="1" applyFont="1" applyBorder="1"/>
    <xf numFmtId="3" fontId="0" fillId="7" borderId="32" xfId="0" applyNumberFormat="1" applyFill="1" applyBorder="1"/>
    <xf numFmtId="0" fontId="22" fillId="0" borderId="0" xfId="0" applyFont="1"/>
    <xf numFmtId="6" fontId="0" fillId="0" borderId="0" xfId="0" applyNumberFormat="1"/>
    <xf numFmtId="0" fontId="62" fillId="0" borderId="0" xfId="0" applyFont="1"/>
    <xf numFmtId="3" fontId="54" fillId="0" borderId="32" xfId="0" applyNumberFormat="1" applyFont="1" applyBorder="1"/>
    <xf numFmtId="3" fontId="0" fillId="0" borderId="16" xfId="0" applyNumberFormat="1" applyBorder="1"/>
    <xf numFmtId="3" fontId="22" fillId="0" borderId="1" xfId="0" applyNumberFormat="1" applyFont="1" applyBorder="1"/>
    <xf numFmtId="3" fontId="54" fillId="7" borderId="32" xfId="0" applyNumberFormat="1" applyFont="1" applyFill="1" applyBorder="1"/>
    <xf numFmtId="0" fontId="54" fillId="7" borderId="17" xfId="0" applyFont="1" applyFill="1" applyBorder="1"/>
    <xf numFmtId="3" fontId="0" fillId="0" borderId="32" xfId="0" applyNumberFormat="1" applyBorder="1"/>
    <xf numFmtId="3" fontId="0" fillId="0" borderId="17" xfId="0" applyNumberFormat="1" applyBorder="1"/>
    <xf numFmtId="0" fontId="54" fillId="7" borderId="32" xfId="0" applyFont="1" applyFill="1" applyBorder="1"/>
    <xf numFmtId="0" fontId="54" fillId="7" borderId="49" xfId="0" applyFont="1" applyFill="1" applyBorder="1"/>
    <xf numFmtId="3" fontId="54" fillId="7" borderId="50" xfId="0" applyNumberFormat="1" applyFont="1" applyFill="1" applyBorder="1"/>
    <xf numFmtId="3" fontId="54" fillId="7" borderId="43" xfId="0" applyNumberFormat="1" applyFont="1" applyFill="1" applyBorder="1"/>
    <xf numFmtId="3" fontId="54" fillId="7" borderId="36" xfId="0" applyNumberFormat="1" applyFont="1" applyFill="1" applyBorder="1"/>
    <xf numFmtId="3" fontId="54" fillId="7" borderId="51" xfId="0" applyNumberFormat="1" applyFont="1" applyFill="1" applyBorder="1"/>
    <xf numFmtId="0" fontId="54" fillId="7" borderId="50" xfId="0" applyFont="1" applyFill="1" applyBorder="1"/>
    <xf numFmtId="3" fontId="54" fillId="7" borderId="44" xfId="0" applyNumberFormat="1" applyFont="1" applyFill="1" applyBorder="1"/>
    <xf numFmtId="3" fontId="61" fillId="7" borderId="50" xfId="0" applyNumberFormat="1" applyFont="1" applyFill="1" applyBorder="1"/>
    <xf numFmtId="3" fontId="54" fillId="7" borderId="33" xfId="0" applyNumberFormat="1" applyFont="1" applyFill="1" applyBorder="1"/>
    <xf numFmtId="0" fontId="54" fillId="0" borderId="0" xfId="0" applyFont="1"/>
    <xf numFmtId="3" fontId="54" fillId="0" borderId="0" xfId="0" applyNumberFormat="1" applyFont="1"/>
    <xf numFmtId="3" fontId="61" fillId="0" borderId="0" xfId="0" applyNumberFormat="1" applyFont="1"/>
    <xf numFmtId="1" fontId="0" fillId="0" borderId="0" xfId="0" applyNumberFormat="1"/>
    <xf numFmtId="3" fontId="22" fillId="0" borderId="10" xfId="0" applyNumberFormat="1" applyFont="1" applyBorder="1"/>
    <xf numFmtId="3" fontId="23" fillId="0" borderId="10" xfId="0" applyNumberFormat="1" applyFont="1" applyBorder="1"/>
    <xf numFmtId="3" fontId="23" fillId="0" borderId="12" xfId="0" applyNumberFormat="1" applyFont="1" applyBorder="1"/>
    <xf numFmtId="3" fontId="54" fillId="7" borderId="52" xfId="0" applyNumberFormat="1" applyFont="1" applyFill="1" applyBorder="1"/>
    <xf numFmtId="3" fontId="61" fillId="7" borderId="52" xfId="0" applyNumberFormat="1" applyFont="1" applyFill="1" applyBorder="1"/>
    <xf numFmtId="3" fontId="54" fillId="8" borderId="31" xfId="0" applyNumberFormat="1" applyFont="1" applyFill="1" applyBorder="1"/>
    <xf numFmtId="0" fontId="7" fillId="12" borderId="1" xfId="14" applyFont="1" applyFill="1" applyBorder="1" applyAlignment="1">
      <alignment horizontal="center" vertical="center" wrapText="1"/>
    </xf>
    <xf numFmtId="0" fontId="3" fillId="5" borderId="0" xfId="14" applyFill="1" applyAlignment="1">
      <alignment horizontal="right"/>
    </xf>
    <xf numFmtId="0" fontId="4" fillId="5" borderId="0" xfId="14" applyFont="1" applyFill="1" applyAlignment="1">
      <alignment horizontal="right"/>
    </xf>
    <xf numFmtId="0" fontId="3" fillId="12" borderId="1" xfId="14" applyFill="1" applyBorder="1" applyAlignment="1">
      <alignment horizontal="right"/>
    </xf>
    <xf numFmtId="0" fontId="85" fillId="0" borderId="1" xfId="14" applyFont="1" applyBorder="1" applyAlignment="1">
      <alignment horizontal="right"/>
    </xf>
    <xf numFmtId="49" fontId="85" fillId="0" borderId="1" xfId="14" applyNumberFormat="1" applyFont="1" applyBorder="1" applyAlignment="1">
      <alignment horizontal="right"/>
    </xf>
    <xf numFmtId="0" fontId="3" fillId="0" borderId="0" xfId="14" applyAlignment="1">
      <alignment horizontal="right"/>
    </xf>
    <xf numFmtId="3" fontId="4" fillId="8" borderId="1" xfId="0" applyNumberFormat="1" applyFont="1" applyFill="1" applyBorder="1" applyAlignment="1">
      <alignment vertical="center" wrapText="1"/>
    </xf>
    <xf numFmtId="3" fontId="52" fillId="0" borderId="1" xfId="0" applyNumberFormat="1" applyFont="1" applyBorder="1" applyAlignment="1">
      <alignment horizontal="left" vertical="center"/>
    </xf>
    <xf numFmtId="3" fontId="17" fillId="0" borderId="0" xfId="0" applyNumberFormat="1" applyFont="1" applyAlignment="1">
      <alignment horizontal="right"/>
    </xf>
    <xf numFmtId="3" fontId="78" fillId="0" borderId="1" xfId="0" applyNumberFormat="1" applyFont="1" applyBorder="1"/>
    <xf numFmtId="0" fontId="79" fillId="0" borderId="0" xfId="0" applyFont="1"/>
    <xf numFmtId="3" fontId="4" fillId="8" borderId="3" xfId="0" applyNumberFormat="1" applyFont="1" applyFill="1" applyBorder="1" applyAlignment="1">
      <alignment vertical="center" wrapText="1"/>
    </xf>
    <xf numFmtId="3" fontId="4" fillId="8" borderId="3" xfId="0" applyNumberFormat="1" applyFont="1" applyFill="1" applyBorder="1"/>
    <xf numFmtId="3" fontId="4" fillId="8" borderId="1" xfId="0" applyNumberFormat="1" applyFont="1" applyFill="1" applyBorder="1" applyAlignment="1">
      <alignment vertical="center"/>
    </xf>
    <xf numFmtId="3" fontId="78" fillId="0" borderId="3" xfId="0" applyNumberFormat="1" applyFont="1" applyBorder="1" applyAlignment="1">
      <alignment horizontal="right" vertical="center"/>
    </xf>
    <xf numFmtId="3" fontId="78" fillId="0" borderId="1" xfId="0" applyNumberFormat="1" applyFont="1" applyBorder="1" applyAlignment="1">
      <alignment horizontal="right" vertical="center"/>
    </xf>
    <xf numFmtId="0" fontId="78" fillId="0" borderId="1" xfId="0" applyFont="1" applyBorder="1"/>
    <xf numFmtId="9" fontId="4" fillId="0" borderId="2" xfId="25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9" fontId="19" fillId="2" borderId="6" xfId="25" applyFont="1" applyFill="1" applyBorder="1"/>
    <xf numFmtId="0" fontId="80" fillId="0" borderId="0" xfId="0" applyFont="1"/>
    <xf numFmtId="0" fontId="14" fillId="0" borderId="0" xfId="0" applyFont="1" applyAlignment="1">
      <alignment horizontal="right"/>
    </xf>
    <xf numFmtId="3" fontId="7" fillId="0" borderId="6" xfId="0" applyNumberFormat="1" applyFont="1" applyBorder="1" applyAlignment="1">
      <alignment vertical="center"/>
    </xf>
    <xf numFmtId="9" fontId="4" fillId="0" borderId="2" xfId="25" applyFont="1" applyFill="1" applyBorder="1" applyAlignment="1">
      <alignment horizontal="right"/>
    </xf>
    <xf numFmtId="3" fontId="3" fillId="0" borderId="0" xfId="14" applyNumberFormat="1"/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60" fillId="7" borderId="54" xfId="0" applyFont="1" applyFill="1" applyBorder="1" applyAlignment="1">
      <alignment horizontal="center" vertical="center" wrapText="1"/>
    </xf>
    <xf numFmtId="0" fontId="60" fillId="7" borderId="51" xfId="0" applyFont="1" applyFill="1" applyBorder="1" applyAlignment="1">
      <alignment horizontal="center" vertical="center" wrapText="1"/>
    </xf>
    <xf numFmtId="3" fontId="0" fillId="8" borderId="31" xfId="0" applyNumberFormat="1" applyFill="1" applyBorder="1"/>
    <xf numFmtId="3" fontId="0" fillId="8" borderId="46" xfId="0" applyNumberFormat="1" applyFill="1" applyBorder="1"/>
    <xf numFmtId="3" fontId="22" fillId="8" borderId="16" xfId="0" applyNumberFormat="1" applyFont="1" applyFill="1" applyBorder="1"/>
    <xf numFmtId="3" fontId="22" fillId="8" borderId="3" xfId="0" applyNumberFormat="1" applyFont="1" applyFill="1" applyBorder="1"/>
    <xf numFmtId="3" fontId="0" fillId="8" borderId="3" xfId="0" applyNumberFormat="1" applyFill="1" applyBorder="1"/>
    <xf numFmtId="3" fontId="0" fillId="8" borderId="28" xfId="0" applyNumberFormat="1" applyFill="1" applyBorder="1"/>
    <xf numFmtId="3" fontId="0" fillId="8" borderId="47" xfId="0" applyNumberFormat="1" applyFill="1" applyBorder="1"/>
    <xf numFmtId="3" fontId="0" fillId="0" borderId="34" xfId="0" applyNumberFormat="1" applyBorder="1"/>
    <xf numFmtId="3" fontId="22" fillId="0" borderId="0" xfId="0" applyNumberFormat="1" applyFont="1"/>
    <xf numFmtId="0" fontId="54" fillId="8" borderId="45" xfId="0" applyFont="1" applyFill="1" applyBorder="1"/>
    <xf numFmtId="0" fontId="54" fillId="8" borderId="48" xfId="0" applyFont="1" applyFill="1" applyBorder="1"/>
    <xf numFmtId="3" fontId="4" fillId="7" borderId="3" xfId="0" applyNumberFormat="1" applyFont="1" applyFill="1" applyBorder="1" applyAlignment="1">
      <alignment vertical="center"/>
    </xf>
    <xf numFmtId="0" fontId="84" fillId="11" borderId="0" xfId="14" applyFont="1" applyFill="1" applyAlignment="1">
      <alignment horizontal="center" wrapText="1"/>
    </xf>
    <xf numFmtId="0" fontId="84" fillId="11" borderId="0" xfId="14" applyFont="1" applyFill="1" applyAlignment="1">
      <alignment horizontal="center"/>
    </xf>
    <xf numFmtId="0" fontId="0" fillId="0" borderId="1" xfId="0" applyBorder="1" applyAlignment="1">
      <alignment wrapText="1"/>
    </xf>
    <xf numFmtId="0" fontId="5" fillId="0" borderId="4" xfId="0" applyFont="1" applyBorder="1" applyAlignment="1">
      <alignment horizontal="left" vertical="center"/>
    </xf>
    <xf numFmtId="3" fontId="5" fillId="0" borderId="5" xfId="0" applyNumberFormat="1" applyFont="1" applyBorder="1" applyAlignment="1">
      <alignment horizontal="right"/>
    </xf>
    <xf numFmtId="0" fontId="7" fillId="0" borderId="1" xfId="14" applyFont="1" applyBorder="1" applyAlignment="1">
      <alignment horizontal="right"/>
    </xf>
    <xf numFmtId="0" fontId="15" fillId="0" borderId="1" xfId="14" applyFont="1" applyBorder="1" applyAlignment="1">
      <alignment horizontal="left" vertical="center" indent="1"/>
    </xf>
    <xf numFmtId="3" fontId="15" fillId="0" borderId="1" xfId="14" applyNumberFormat="1" applyFont="1" applyBorder="1" applyAlignment="1">
      <alignment vertical="center"/>
    </xf>
    <xf numFmtId="0" fontId="90" fillId="0" borderId="1" xfId="0" applyFont="1" applyBorder="1"/>
    <xf numFmtId="3" fontId="90" fillId="0" borderId="1" xfId="0" applyNumberFormat="1" applyFont="1" applyBorder="1" applyAlignment="1">
      <alignment horizontal="right"/>
    </xf>
    <xf numFmtId="0" fontId="26" fillId="0" borderId="0" xfId="0" applyFont="1" applyAlignment="1">
      <alignment wrapText="1"/>
    </xf>
    <xf numFmtId="3" fontId="26" fillId="0" borderId="0" xfId="0" applyNumberFormat="1" applyFont="1" applyAlignment="1">
      <alignment wrapText="1"/>
    </xf>
    <xf numFmtId="0" fontId="14" fillId="0" borderId="0" xfId="0" applyFont="1" applyAlignment="1">
      <alignment wrapText="1"/>
    </xf>
    <xf numFmtId="3" fontId="14" fillId="0" borderId="0" xfId="0" applyNumberFormat="1" applyFont="1" applyAlignment="1">
      <alignment wrapText="1"/>
    </xf>
    <xf numFmtId="3" fontId="0" fillId="0" borderId="0" xfId="0" applyNumberFormat="1" applyAlignment="1">
      <alignment wrapText="1"/>
    </xf>
    <xf numFmtId="3" fontId="33" fillId="0" borderId="0" xfId="0" applyNumberFormat="1" applyFont="1" applyAlignment="1">
      <alignment horizontal="center" wrapText="1"/>
    </xf>
    <xf numFmtId="3" fontId="17" fillId="0" borderId="0" xfId="0" applyNumberFormat="1" applyFont="1" applyAlignment="1">
      <alignment wrapText="1"/>
    </xf>
    <xf numFmtId="3" fontId="14" fillId="0" borderId="7" xfId="0" applyNumberFormat="1" applyFont="1" applyBorder="1"/>
    <xf numFmtId="3" fontId="4" fillId="7" borderId="0" xfId="0" applyNumberFormat="1" applyFont="1" applyFill="1"/>
    <xf numFmtId="0" fontId="4" fillId="0" borderId="1" xfId="0" applyFont="1" applyBorder="1" applyAlignment="1">
      <alignment vertical="center" wrapText="1"/>
    </xf>
    <xf numFmtId="0" fontId="20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6" fillId="4" borderId="20" xfId="0" applyFont="1" applyFill="1" applyBorder="1" applyAlignment="1">
      <alignment horizontal="center" vertical="center"/>
    </xf>
    <xf numFmtId="0" fontId="6" fillId="4" borderId="53" xfId="0" applyFont="1" applyFill="1" applyBorder="1" applyAlignment="1">
      <alignment horizontal="center" vertical="center"/>
    </xf>
    <xf numFmtId="0" fontId="5" fillId="4" borderId="54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5" fillId="4" borderId="55" xfId="0" applyFont="1" applyFill="1" applyBorder="1" applyAlignment="1">
      <alignment horizontal="center" vertical="center" wrapText="1"/>
    </xf>
    <xf numFmtId="0" fontId="5" fillId="4" borderId="56" xfId="0" applyFont="1" applyFill="1" applyBorder="1" applyAlignment="1">
      <alignment horizontal="center" vertical="center" wrapText="1"/>
    </xf>
    <xf numFmtId="0" fontId="0" fillId="0" borderId="0" xfId="0"/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0" fillId="5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wrapText="1"/>
    </xf>
    <xf numFmtId="3" fontId="14" fillId="0" borderId="0" xfId="0" applyNumberFormat="1" applyFont="1" applyAlignment="1">
      <alignment horizontal="center" vertical="center" wrapText="1"/>
    </xf>
    <xf numFmtId="3" fontId="4" fillId="0" borderId="2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78" fillId="0" borderId="2" xfId="0" applyNumberFormat="1" applyFont="1" applyBorder="1" applyAlignment="1">
      <alignment horizontal="right" vertical="center"/>
    </xf>
    <xf numFmtId="3" fontId="78" fillId="0" borderId="7" xfId="0" applyNumberFormat="1" applyFont="1" applyBorder="1" applyAlignment="1">
      <alignment horizontal="right" vertical="center"/>
    </xf>
    <xf numFmtId="3" fontId="78" fillId="0" borderId="3" xfId="0" applyNumberFormat="1" applyFont="1" applyBorder="1" applyAlignment="1">
      <alignment horizontal="right"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right" vertical="center"/>
    </xf>
    <xf numFmtId="0" fontId="11" fillId="5" borderId="0" xfId="0" applyFont="1" applyFill="1" applyAlignment="1">
      <alignment horizontal="center" vertical="center"/>
    </xf>
    <xf numFmtId="3" fontId="7" fillId="3" borderId="15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3" fontId="7" fillId="3" borderId="22" xfId="0" applyNumberFormat="1" applyFont="1" applyFill="1" applyBorder="1" applyAlignment="1">
      <alignment horizontal="center" vertical="center" wrapText="1"/>
    </xf>
    <xf numFmtId="3" fontId="7" fillId="3" borderId="23" xfId="0" applyNumberFormat="1" applyFont="1" applyFill="1" applyBorder="1" applyAlignment="1">
      <alignment horizontal="center"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3" fontId="30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0" fontId="46" fillId="0" borderId="16" xfId="0" applyFont="1" applyBorder="1" applyAlignment="1">
      <alignment horizontal="center" vertical="center"/>
    </xf>
    <xf numFmtId="3" fontId="7" fillId="3" borderId="14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3" fontId="18" fillId="3" borderId="17" xfId="0" applyNumberFormat="1" applyFont="1" applyFill="1" applyBorder="1" applyAlignment="1">
      <alignment horizontal="center" vertical="center" wrapText="1"/>
    </xf>
    <xf numFmtId="3" fontId="18" fillId="3" borderId="16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 wrapText="1"/>
    </xf>
    <xf numFmtId="3" fontId="7" fillId="3" borderId="37" xfId="0" applyNumberFormat="1" applyFont="1" applyFill="1" applyBorder="1" applyAlignment="1">
      <alignment horizontal="center" vertical="center" wrapText="1"/>
    </xf>
    <xf numFmtId="3" fontId="7" fillId="3" borderId="57" xfId="0" applyNumberFormat="1" applyFont="1" applyFill="1" applyBorder="1" applyAlignment="1">
      <alignment horizontal="center" vertical="center" wrapText="1"/>
    </xf>
    <xf numFmtId="3" fontId="7" fillId="3" borderId="38" xfId="0" applyNumberFormat="1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top" wrapText="1"/>
    </xf>
    <xf numFmtId="0" fontId="20" fillId="5" borderId="0" xfId="0" applyFont="1" applyFill="1" applyAlignment="1">
      <alignment horizontal="center" vertical="top"/>
    </xf>
    <xf numFmtId="0" fontId="7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7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7" fillId="6" borderId="1" xfId="25" applyFont="1" applyFill="1" applyBorder="1" applyAlignment="1">
      <alignment horizontal="center" vertical="center"/>
    </xf>
    <xf numFmtId="9" fontId="0" fillId="0" borderId="1" xfId="25" applyFont="1" applyBorder="1" applyAlignment="1">
      <alignment horizontal="center" vertical="center"/>
    </xf>
    <xf numFmtId="0" fontId="27" fillId="6" borderId="17" xfId="0" applyFont="1" applyFill="1" applyBorder="1" applyAlignment="1">
      <alignment horizontal="center" vertical="center" wrapText="1"/>
    </xf>
    <xf numFmtId="0" fontId="27" fillId="6" borderId="34" xfId="0" applyFont="1" applyFill="1" applyBorder="1" applyAlignment="1">
      <alignment horizontal="center" vertical="center" wrapText="1"/>
    </xf>
    <xf numFmtId="0" fontId="27" fillId="6" borderId="16" xfId="0" applyFont="1" applyFill="1" applyBorder="1" applyAlignment="1">
      <alignment horizontal="center" vertical="center" wrapText="1"/>
    </xf>
    <xf numFmtId="0" fontId="27" fillId="6" borderId="59" xfId="0" applyFont="1" applyFill="1" applyBorder="1" applyAlignment="1">
      <alignment horizontal="center" vertical="center" wrapText="1"/>
    </xf>
    <xf numFmtId="0" fontId="27" fillId="6" borderId="60" xfId="0" applyFont="1" applyFill="1" applyBorder="1" applyAlignment="1">
      <alignment horizontal="center" vertical="center" wrapText="1"/>
    </xf>
    <xf numFmtId="0" fontId="27" fillId="6" borderId="61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/>
    </xf>
    <xf numFmtId="0" fontId="6" fillId="6" borderId="58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0" fontId="41" fillId="2" borderId="0" xfId="0" applyFont="1" applyFill="1" applyAlignment="1">
      <alignment horizontal="center"/>
    </xf>
    <xf numFmtId="0" fontId="40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3" fontId="40" fillId="6" borderId="34" xfId="0" applyNumberFormat="1" applyFont="1" applyFill="1" applyBorder="1" applyAlignment="1">
      <alignment horizontal="center" vertical="center" wrapText="1"/>
    </xf>
    <xf numFmtId="3" fontId="40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40" fillId="6" borderId="17" xfId="0" applyNumberFormat="1" applyFont="1" applyFill="1" applyBorder="1" applyAlignment="1">
      <alignment horizontal="center" vertical="center" wrapText="1"/>
    </xf>
    <xf numFmtId="1" fontId="40" fillId="6" borderId="16" xfId="0" applyNumberFormat="1" applyFont="1" applyFill="1" applyBorder="1" applyAlignment="1">
      <alignment horizontal="center" vertical="center" wrapText="1"/>
    </xf>
    <xf numFmtId="3" fontId="40" fillId="6" borderId="16" xfId="0" applyNumberFormat="1" applyFont="1" applyFill="1" applyBorder="1" applyAlignment="1">
      <alignment horizontal="center" vertical="center" wrapText="1"/>
    </xf>
    <xf numFmtId="3" fontId="49" fillId="0" borderId="18" xfId="0" applyNumberFormat="1" applyFont="1" applyBorder="1" applyAlignment="1">
      <alignment horizontal="right" vertical="center"/>
    </xf>
    <xf numFmtId="0" fontId="40" fillId="3" borderId="59" xfId="0" applyFont="1" applyFill="1" applyBorder="1" applyAlignment="1">
      <alignment horizontal="center" vertical="center" wrapText="1"/>
    </xf>
    <xf numFmtId="0" fontId="40" fillId="3" borderId="60" xfId="0" applyFont="1" applyFill="1" applyBorder="1" applyAlignment="1">
      <alignment horizontal="center" vertical="center" wrapText="1"/>
    </xf>
    <xf numFmtId="0" fontId="40" fillId="3" borderId="61" xfId="0" applyFont="1" applyFill="1" applyBorder="1" applyAlignment="1">
      <alignment horizontal="center" vertical="center" wrapText="1"/>
    </xf>
    <xf numFmtId="0" fontId="40" fillId="3" borderId="18" xfId="0" applyFont="1" applyFill="1" applyBorder="1" applyAlignment="1">
      <alignment horizontal="center" vertical="center" wrapText="1"/>
    </xf>
    <xf numFmtId="0" fontId="40" fillId="3" borderId="0" xfId="0" applyFont="1" applyFill="1" applyAlignment="1">
      <alignment horizontal="center" vertical="center" wrapText="1"/>
    </xf>
    <xf numFmtId="0" fontId="40" fillId="3" borderId="62" xfId="0" applyFont="1" applyFill="1" applyBorder="1" applyAlignment="1">
      <alignment horizontal="center" vertical="center" wrapText="1"/>
    </xf>
    <xf numFmtId="0" fontId="40" fillId="3" borderId="47" xfId="0" applyFont="1" applyFill="1" applyBorder="1" applyAlignment="1">
      <alignment horizontal="center" vertical="center" wrapText="1"/>
    </xf>
    <xf numFmtId="0" fontId="40" fillId="3" borderId="46" xfId="0" applyFont="1" applyFill="1" applyBorder="1" applyAlignment="1">
      <alignment horizontal="center" vertical="center" wrapText="1"/>
    </xf>
    <xf numFmtId="0" fontId="40" fillId="3" borderId="28" xfId="0" applyFont="1" applyFill="1" applyBorder="1" applyAlignment="1">
      <alignment horizontal="center" vertical="center" wrapText="1"/>
    </xf>
    <xf numFmtId="1" fontId="10" fillId="6" borderId="17" xfId="0" applyNumberFormat="1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1" fontId="10" fillId="0" borderId="17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3" fontId="8" fillId="6" borderId="17" xfId="0" applyNumberFormat="1" applyFont="1" applyFill="1" applyBorder="1" applyAlignment="1">
      <alignment horizontal="center"/>
    </xf>
    <xf numFmtId="3" fontId="8" fillId="6" borderId="16" xfId="0" applyNumberFormat="1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43" fillId="2" borderId="0" xfId="0" applyFont="1" applyFill="1" applyAlignment="1">
      <alignment horizontal="center"/>
    </xf>
    <xf numFmtId="0" fontId="51" fillId="3" borderId="63" xfId="0" applyFont="1" applyFill="1" applyBorder="1" applyAlignment="1">
      <alignment horizontal="center" vertical="center" wrapText="1"/>
    </xf>
    <xf numFmtId="0" fontId="51" fillId="3" borderId="41" xfId="0" applyFont="1" applyFill="1" applyBorder="1" applyAlignment="1">
      <alignment horizontal="center" vertical="center" wrapText="1"/>
    </xf>
    <xf numFmtId="0" fontId="51" fillId="3" borderId="52" xfId="0" applyFont="1" applyFill="1" applyBorder="1" applyAlignment="1">
      <alignment horizontal="center" vertical="center" wrapText="1"/>
    </xf>
    <xf numFmtId="0" fontId="42" fillId="3" borderId="47" xfId="0" applyFont="1" applyFill="1" applyBorder="1" applyAlignment="1">
      <alignment horizontal="center" vertical="center" wrapText="1"/>
    </xf>
    <xf numFmtId="0" fontId="42" fillId="3" borderId="28" xfId="0" applyFont="1" applyFill="1" applyBorder="1" applyAlignment="1">
      <alignment horizontal="center" vertical="center" wrapText="1"/>
    </xf>
    <xf numFmtId="0" fontId="42" fillId="3" borderId="7" xfId="0" applyFont="1" applyFill="1" applyBorder="1" applyAlignment="1">
      <alignment horizontal="center" vertical="center" wrapText="1"/>
    </xf>
    <xf numFmtId="0" fontId="42" fillId="3" borderId="36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wrapText="1"/>
    </xf>
    <xf numFmtId="0" fontId="42" fillId="3" borderId="20" xfId="0" applyFont="1" applyFill="1" applyBorder="1" applyAlignment="1">
      <alignment horizontal="center" vertical="center" wrapText="1"/>
    </xf>
    <xf numFmtId="0" fontId="42" fillId="3" borderId="29" xfId="0" applyFont="1" applyFill="1" applyBorder="1" applyAlignment="1">
      <alignment horizontal="center" vertical="center" wrapText="1"/>
    </xf>
    <xf numFmtId="0" fontId="42" fillId="3" borderId="53" xfId="0" applyFont="1" applyFill="1" applyBorder="1" applyAlignment="1">
      <alignment horizontal="center" vertical="center" wrapText="1"/>
    </xf>
    <xf numFmtId="0" fontId="42" fillId="3" borderId="21" xfId="0" applyFont="1" applyFill="1" applyBorder="1" applyAlignment="1">
      <alignment horizontal="center" vertical="center" wrapText="1"/>
    </xf>
    <xf numFmtId="0" fontId="48" fillId="3" borderId="21" xfId="0" applyFont="1" applyFill="1" applyBorder="1" applyAlignment="1">
      <alignment horizontal="center" vertical="center" wrapText="1"/>
    </xf>
    <xf numFmtId="0" fontId="48" fillId="3" borderId="7" xfId="0" applyFont="1" applyFill="1" applyBorder="1" applyAlignment="1">
      <alignment horizontal="center" vertical="center" wrapText="1"/>
    </xf>
    <xf numFmtId="0" fontId="48" fillId="3" borderId="36" xfId="0" applyFont="1" applyFill="1" applyBorder="1" applyAlignment="1">
      <alignment horizontal="center" vertical="center" wrapText="1"/>
    </xf>
    <xf numFmtId="0" fontId="42" fillId="3" borderId="37" xfId="0" applyFont="1" applyFill="1" applyBorder="1" applyAlignment="1">
      <alignment horizontal="center" vertical="center" wrapText="1"/>
    </xf>
    <xf numFmtId="0" fontId="42" fillId="3" borderId="57" xfId="0" applyFont="1" applyFill="1" applyBorder="1" applyAlignment="1">
      <alignment horizontal="center" vertical="center" wrapText="1"/>
    </xf>
    <xf numFmtId="0" fontId="42" fillId="3" borderId="38" xfId="0" applyFont="1" applyFill="1" applyBorder="1" applyAlignment="1">
      <alignment horizontal="center" vertical="center" wrapText="1"/>
    </xf>
    <xf numFmtId="0" fontId="42" fillId="6" borderId="21" xfId="0" applyFont="1" applyFill="1" applyBorder="1" applyAlignment="1">
      <alignment horizontal="center" vertical="center" wrapText="1"/>
    </xf>
    <xf numFmtId="0" fontId="42" fillId="6" borderId="7" xfId="0" applyFont="1" applyFill="1" applyBorder="1" applyAlignment="1">
      <alignment horizontal="center" vertical="center" wrapText="1"/>
    </xf>
    <xf numFmtId="0" fontId="42" fillId="6" borderId="36" xfId="0" applyFont="1" applyFill="1" applyBorder="1" applyAlignment="1">
      <alignment horizontal="center" vertical="center" wrapText="1"/>
    </xf>
    <xf numFmtId="0" fontId="84" fillId="11" borderId="0" xfId="14" applyFont="1" applyFill="1" applyAlignment="1">
      <alignment horizontal="center" wrapText="1"/>
    </xf>
    <xf numFmtId="0" fontId="84" fillId="11" borderId="0" xfId="14" applyFont="1" applyFill="1" applyAlignment="1">
      <alignment horizontal="center"/>
    </xf>
    <xf numFmtId="0" fontId="61" fillId="7" borderId="48" xfId="0" applyFont="1" applyFill="1" applyBorder="1" applyAlignment="1">
      <alignment horizontal="center" vertical="center" wrapText="1"/>
    </xf>
    <xf numFmtId="0" fontId="61" fillId="7" borderId="33" xfId="0" applyFont="1" applyFill="1" applyBorder="1" applyAlignment="1">
      <alignment horizontal="center" vertical="center" wrapText="1"/>
    </xf>
    <xf numFmtId="0" fontId="54" fillId="7" borderId="64" xfId="0" applyFont="1" applyFill="1" applyBorder="1" applyAlignment="1">
      <alignment horizontal="center" vertical="center"/>
    </xf>
    <xf numFmtId="0" fontId="54" fillId="7" borderId="65" xfId="0" applyFont="1" applyFill="1" applyBorder="1" applyAlignment="1">
      <alignment horizontal="center" vertical="center"/>
    </xf>
    <xf numFmtId="0" fontId="60" fillId="7" borderId="48" xfId="0" applyFont="1" applyFill="1" applyBorder="1" applyAlignment="1">
      <alignment horizontal="center" vertical="center" wrapText="1"/>
    </xf>
    <xf numFmtId="0" fontId="60" fillId="7" borderId="33" xfId="0" applyFont="1" applyFill="1" applyBorder="1" applyAlignment="1">
      <alignment horizontal="center" vertical="center" wrapText="1"/>
    </xf>
    <xf numFmtId="0" fontId="54" fillId="7" borderId="58" xfId="0" applyFont="1" applyFill="1" applyBorder="1" applyAlignment="1">
      <alignment horizontal="center" vertical="center" wrapText="1"/>
    </xf>
    <xf numFmtId="0" fontId="54" fillId="7" borderId="50" xfId="0" applyFont="1" applyFill="1" applyBorder="1" applyAlignment="1">
      <alignment horizontal="center" vertical="center" wrapText="1"/>
    </xf>
    <xf numFmtId="0" fontId="23" fillId="7" borderId="58" xfId="0" applyFont="1" applyFill="1" applyBorder="1" applyAlignment="1">
      <alignment horizontal="center" vertical="center" wrapText="1"/>
    </xf>
    <xf numFmtId="0" fontId="23" fillId="7" borderId="50" xfId="0" applyFont="1" applyFill="1" applyBorder="1" applyAlignment="1">
      <alignment horizontal="center" vertical="center"/>
    </xf>
    <xf numFmtId="0" fontId="54" fillId="7" borderId="48" xfId="0" applyFont="1" applyFill="1" applyBorder="1" applyAlignment="1">
      <alignment horizontal="center" vertical="center" wrapText="1"/>
    </xf>
    <xf numFmtId="0" fontId="54" fillId="7" borderId="33" xfId="0" applyFont="1" applyFill="1" applyBorder="1" applyAlignment="1">
      <alignment horizontal="center" vertical="center" wrapText="1"/>
    </xf>
    <xf numFmtId="0" fontId="61" fillId="7" borderId="67" xfId="0" applyFont="1" applyFill="1" applyBorder="1" applyAlignment="1">
      <alignment horizontal="center" vertical="center" wrapText="1"/>
    </xf>
    <xf numFmtId="0" fontId="61" fillId="7" borderId="66" xfId="0" applyFont="1" applyFill="1" applyBorder="1" applyAlignment="1">
      <alignment horizontal="center" vertical="center" wrapText="1"/>
    </xf>
    <xf numFmtId="0" fontId="54" fillId="7" borderId="19" xfId="0" applyFont="1" applyFill="1" applyBorder="1" applyAlignment="1">
      <alignment horizontal="center"/>
    </xf>
    <xf numFmtId="0" fontId="54" fillId="7" borderId="66" xfId="0" applyFont="1" applyFill="1" applyBorder="1" applyAlignment="1">
      <alignment horizontal="center" vertical="center"/>
    </xf>
    <xf numFmtId="0" fontId="54" fillId="7" borderId="4" xfId="0" applyFont="1" applyFill="1" applyBorder="1" applyAlignment="1">
      <alignment horizontal="center"/>
    </xf>
    <xf numFmtId="0" fontId="54" fillId="7" borderId="5" xfId="0" applyFont="1" applyFill="1" applyBorder="1" applyAlignment="1">
      <alignment horizontal="center"/>
    </xf>
    <xf numFmtId="0" fontId="54" fillId="7" borderId="30" xfId="0" applyFont="1" applyFill="1" applyBorder="1" applyAlignment="1">
      <alignment horizontal="center"/>
    </xf>
    <xf numFmtId="3" fontId="68" fillId="0" borderId="3" xfId="6" applyNumberFormat="1" applyFont="1" applyBorder="1" applyAlignment="1">
      <alignment horizontal="right"/>
    </xf>
    <xf numFmtId="3" fontId="68" fillId="0" borderId="1" xfId="6" applyNumberFormat="1" applyFont="1" applyBorder="1" applyAlignment="1">
      <alignment horizontal="right"/>
    </xf>
    <xf numFmtId="3" fontId="76" fillId="0" borderId="47" xfId="6" applyNumberFormat="1" applyFont="1" applyBorder="1" applyAlignment="1">
      <alignment horizontal="center"/>
    </xf>
    <xf numFmtId="3" fontId="76" fillId="0" borderId="28" xfId="6" applyNumberFormat="1" applyFont="1" applyBorder="1" applyAlignment="1">
      <alignment horizontal="center"/>
    </xf>
    <xf numFmtId="0" fontId="83" fillId="5" borderId="0" xfId="6" applyFont="1" applyFill="1" applyAlignment="1">
      <alignment horizontal="center"/>
    </xf>
    <xf numFmtId="0" fontId="71" fillId="4" borderId="20" xfId="6" applyFont="1" applyFill="1" applyBorder="1" applyAlignment="1">
      <alignment horizontal="center" vertical="center" wrapText="1"/>
    </xf>
    <xf numFmtId="0" fontId="71" fillId="4" borderId="53" xfId="6" applyFont="1" applyFill="1" applyBorder="1" applyAlignment="1">
      <alignment horizontal="center" vertical="center"/>
    </xf>
    <xf numFmtId="0" fontId="71" fillId="4" borderId="37" xfId="6" applyFont="1" applyFill="1" applyBorder="1" applyAlignment="1">
      <alignment horizontal="center"/>
    </xf>
    <xf numFmtId="0" fontId="71" fillId="4" borderId="57" xfId="6" applyFont="1" applyFill="1" applyBorder="1" applyAlignment="1">
      <alignment horizontal="center"/>
    </xf>
    <xf numFmtId="0" fontId="71" fillId="4" borderId="38" xfId="6" applyFont="1" applyFill="1" applyBorder="1" applyAlignment="1">
      <alignment horizontal="center"/>
    </xf>
    <xf numFmtId="0" fontId="71" fillId="4" borderId="22" xfId="6" applyFont="1" applyFill="1" applyBorder="1" applyAlignment="1">
      <alignment horizontal="center"/>
    </xf>
    <xf numFmtId="0" fontId="71" fillId="4" borderId="23" xfId="6" applyFont="1" applyFill="1" applyBorder="1" applyAlignment="1">
      <alignment horizontal="center"/>
    </xf>
  </cellXfs>
  <cellStyles count="26">
    <cellStyle name="Ezres" xfId="1" builtinId="3"/>
    <cellStyle name="Ezres 2" xfId="2" xr:uid="{00000000-0005-0000-0000-000001000000}"/>
    <cellStyle name="Ezres 2 2" xfId="21" xr:uid="{00000000-0005-0000-0000-000002000000}"/>
    <cellStyle name="Ezres 3" xfId="3" xr:uid="{00000000-0005-0000-0000-000003000000}"/>
    <cellStyle name="Ezres 4" xfId="20" xr:uid="{00000000-0005-0000-0000-000004000000}"/>
    <cellStyle name="Normál" xfId="0" builtinId="0"/>
    <cellStyle name="Normál 10" xfId="14" xr:uid="{00000000-0005-0000-0000-000006000000}"/>
    <cellStyle name="Normál 10 2" xfId="23" xr:uid="{00000000-0005-0000-0000-000007000000}"/>
    <cellStyle name="Normál 2" xfId="4" xr:uid="{00000000-0005-0000-0000-000008000000}"/>
    <cellStyle name="Normál 2 2" xfId="5" xr:uid="{00000000-0005-0000-0000-000009000000}"/>
    <cellStyle name="Normál 3" xfId="6" xr:uid="{00000000-0005-0000-0000-00000A000000}"/>
    <cellStyle name="Normál 3 2" xfId="15" xr:uid="{00000000-0005-0000-0000-00000B000000}"/>
    <cellStyle name="Normál 3 2 2" xfId="24" xr:uid="{00000000-0005-0000-0000-00000C000000}"/>
    <cellStyle name="Normál 3 3" xfId="22" xr:uid="{00000000-0005-0000-0000-00000D000000}"/>
    <cellStyle name="Normál 4" xfId="7" xr:uid="{00000000-0005-0000-0000-00000E000000}"/>
    <cellStyle name="Normál 4 2" xfId="16" xr:uid="{00000000-0005-0000-0000-00000F000000}"/>
    <cellStyle name="Normál 5" xfId="8" xr:uid="{00000000-0005-0000-0000-000010000000}"/>
    <cellStyle name="Normál 5 2" xfId="17" xr:uid="{00000000-0005-0000-0000-000011000000}"/>
    <cellStyle name="Normál 6" xfId="9" xr:uid="{00000000-0005-0000-0000-000012000000}"/>
    <cellStyle name="Normál 6 2" xfId="18" xr:uid="{00000000-0005-0000-0000-000013000000}"/>
    <cellStyle name="Normál 7" xfId="10" xr:uid="{00000000-0005-0000-0000-000014000000}"/>
    <cellStyle name="Normál 8" xfId="11" xr:uid="{00000000-0005-0000-0000-000015000000}"/>
    <cellStyle name="Normál 9" xfId="12" xr:uid="{00000000-0005-0000-0000-000016000000}"/>
    <cellStyle name="Normál 9 2" xfId="19" xr:uid="{00000000-0005-0000-0000-000017000000}"/>
    <cellStyle name="Normal_KARSZJ3" xfId="13" xr:uid="{00000000-0005-0000-0000-000018000000}"/>
    <cellStyle name="Százalék" xfId="2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Ernyes\Documents\2005.%20&#233;vi%20k&#246;lt&#233;sgvet&#233;s\Mell&#233;kletek\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\2024_TKT\2024_eim&#243;d_TKT\2024_m&#225;jus_TKT\K&#246;lts&#233;gfeloszt&#225;s_2024_TKT_Im&#243;d.xls" TargetMode="External"/><Relationship Id="rId1" Type="http://schemas.openxmlformats.org/officeDocument/2006/relationships/externalLinkPath" Target="file:///D:\2024\2024_TKT\2024_eim&#243;d_TKT\2024_m&#225;jus_TKT\K&#246;lts&#233;gfeloszt&#225;s_2024_TKT_Im&#243;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Óvoda"/>
      <sheetName val="szoc. egyenkénti feladatok"/>
      <sheetName val="Házi segítségnyújtás"/>
      <sheetName val="Jelzőrendszer"/>
      <sheetName val="Püg.,TV, étkeztetés "/>
      <sheetName val="Társulási hozzájár."/>
      <sheetName val="Ügyelet"/>
      <sheetName val="Labor"/>
      <sheetName val="TKT feladatok"/>
      <sheetName val="TKT műk."/>
      <sheetName val="Családsegítés,gyerm.jólét (2)"/>
      <sheetName val="Családsegítés,gyerm.jólét"/>
      <sheetName val="Családsegítés, gyerm.jólét (2)"/>
      <sheetName val="Családsegítés, gyerm.jólét"/>
      <sheetName val="Összesítő"/>
      <sheetName val="Munka1"/>
      <sheetName val="házi segítségnyújtás bér"/>
    </sheetNames>
    <sheetDataSet>
      <sheetData sheetId="0"/>
      <sheetData sheetId="1"/>
      <sheetData sheetId="2"/>
      <sheetData sheetId="3">
        <row r="31">
          <cell r="C31">
            <v>0</v>
          </cell>
        </row>
      </sheetData>
      <sheetData sheetId="4">
        <row r="33">
          <cell r="C33">
            <v>2200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7">
          <cell r="V57">
            <v>0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856"/>
  <sheetViews>
    <sheetView tabSelected="1" topLeftCell="B55" zoomScaleNormal="100" zoomScaleSheetLayoutView="70" workbookViewId="0">
      <selection activeCell="C132" sqref="C132"/>
    </sheetView>
  </sheetViews>
  <sheetFormatPr defaultRowHeight="12.75" x14ac:dyDescent="0.2"/>
  <cols>
    <col min="1" max="1" width="0" hidden="1" customWidth="1"/>
    <col min="2" max="2" width="8" style="2" customWidth="1"/>
    <col min="3" max="3" width="75.7109375" customWidth="1"/>
    <col min="4" max="4" width="16.42578125" customWidth="1"/>
    <col min="5" max="5" width="13" customWidth="1"/>
    <col min="6" max="6" width="13.42578125" style="35" customWidth="1"/>
    <col min="7" max="7" width="6.42578125" hidden="1" customWidth="1"/>
    <col min="8" max="8" width="17.85546875" hidden="1" customWidth="1"/>
    <col min="9" max="9" width="17" hidden="1" customWidth="1"/>
  </cols>
  <sheetData>
    <row r="1" spans="2:35" ht="4.5" customHeight="1" x14ac:dyDescent="0.3">
      <c r="B1" s="54"/>
      <c r="C1" s="32"/>
      <c r="D1" s="32"/>
      <c r="E1" s="32"/>
      <c r="F1" s="5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2:35" ht="18.75" customHeight="1" x14ac:dyDescent="0.35">
      <c r="B2" s="54"/>
      <c r="C2" s="652" t="s">
        <v>24</v>
      </c>
      <c r="D2" s="652"/>
      <c r="E2" s="652"/>
      <c r="F2" s="65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2:35" ht="18.75" customHeight="1" x14ac:dyDescent="0.35">
      <c r="B3" s="54"/>
      <c r="C3" s="652" t="s">
        <v>1054</v>
      </c>
      <c r="D3" s="652"/>
      <c r="E3" s="652"/>
      <c r="F3" s="65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2:35" ht="10.5" customHeight="1" thickBot="1" x14ac:dyDescent="0.25">
      <c r="B4" s="54"/>
      <c r="C4" s="1"/>
      <c r="D4" s="1"/>
      <c r="E4" s="1"/>
      <c r="F4" s="55" t="s">
        <v>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2:35" ht="18.75" customHeight="1" thickBot="1" x14ac:dyDescent="0.25">
      <c r="B5" s="654" t="s">
        <v>109</v>
      </c>
      <c r="C5" s="656" t="s">
        <v>483</v>
      </c>
      <c r="D5" s="658" t="s">
        <v>715</v>
      </c>
      <c r="E5" s="656"/>
      <c r="F5" s="65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2:35" ht="16.5" thickBot="1" x14ac:dyDescent="0.25">
      <c r="B6" s="655"/>
      <c r="C6" s="657"/>
      <c r="D6" s="110" t="s">
        <v>41</v>
      </c>
      <c r="E6" s="43" t="s">
        <v>484</v>
      </c>
      <c r="F6" s="378" t="s">
        <v>44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2:35" ht="18.75" customHeight="1" x14ac:dyDescent="0.2">
      <c r="B7" s="379" t="s">
        <v>110</v>
      </c>
      <c r="C7" s="221" t="s">
        <v>309</v>
      </c>
      <c r="D7" s="168">
        <f>SUM(D8+D31+D37+D42+D55+D58+D62)</f>
        <v>14735</v>
      </c>
      <c r="E7" s="168">
        <f>SUM(E8+E31+E37+E42+E55+E58+E62)</f>
        <v>1833</v>
      </c>
      <c r="F7" s="392">
        <f>SUM(F8+F31+F37+F42+F55+F58+F62)</f>
        <v>16568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2:35" ht="15" x14ac:dyDescent="0.25">
      <c r="B8" s="380" t="s">
        <v>111</v>
      </c>
      <c r="C8" s="22" t="s">
        <v>211</v>
      </c>
      <c r="D8" s="36">
        <f>SUM(D9:D30)</f>
        <v>22320</v>
      </c>
      <c r="E8" s="36">
        <f>SUM(E9:E30)</f>
        <v>1833</v>
      </c>
      <c r="F8" s="393">
        <f>SUM(F9:F30)</f>
        <v>24153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2:35" hidden="1" x14ac:dyDescent="0.2">
      <c r="B9" s="381" t="s">
        <v>200</v>
      </c>
      <c r="C9" s="463" t="s">
        <v>566</v>
      </c>
      <c r="D9" s="13"/>
      <c r="E9" s="13"/>
      <c r="F9" s="394">
        <f>D9+E9</f>
        <v>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2:35" hidden="1" x14ac:dyDescent="0.2">
      <c r="B10" s="381" t="s">
        <v>200</v>
      </c>
      <c r="C10" s="463" t="s">
        <v>681</v>
      </c>
      <c r="D10" s="13"/>
      <c r="E10" s="13"/>
      <c r="F10" s="394">
        <f>D10+E10</f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2:35" hidden="1" x14ac:dyDescent="0.2">
      <c r="B11" s="381" t="s">
        <v>200</v>
      </c>
      <c r="C11" s="463" t="s">
        <v>566</v>
      </c>
      <c r="D11" s="13"/>
      <c r="E11" s="13"/>
      <c r="F11" s="394">
        <f t="shared" ref="F11:F30" si="0">D11+E11</f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2:35" hidden="1" x14ac:dyDescent="0.2">
      <c r="B12" s="381" t="s">
        <v>201</v>
      </c>
      <c r="C12" s="463" t="s">
        <v>568</v>
      </c>
      <c r="D12" s="13"/>
      <c r="E12" s="13"/>
      <c r="F12" s="394">
        <f t="shared" si="0"/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2:35" hidden="1" x14ac:dyDescent="0.2">
      <c r="B13" s="381" t="s">
        <v>201</v>
      </c>
      <c r="C13" s="463" t="s">
        <v>575</v>
      </c>
      <c r="D13" s="13"/>
      <c r="E13" s="13"/>
      <c r="F13" s="394">
        <f t="shared" si="0"/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2:35" hidden="1" x14ac:dyDescent="0.2">
      <c r="B14" s="381" t="s">
        <v>1074</v>
      </c>
      <c r="C14" s="463" t="s">
        <v>1075</v>
      </c>
      <c r="D14" s="13"/>
      <c r="E14" s="13"/>
      <c r="F14" s="394">
        <f t="shared" si="0"/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2:35" hidden="1" x14ac:dyDescent="0.2">
      <c r="B15" s="381" t="s">
        <v>202</v>
      </c>
      <c r="C15" s="463" t="s">
        <v>569</v>
      </c>
      <c r="D15" s="13"/>
      <c r="E15" s="13"/>
      <c r="F15" s="394">
        <f t="shared" si="0"/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2:35" hidden="1" x14ac:dyDescent="0.2">
      <c r="B16" s="381" t="s">
        <v>202</v>
      </c>
      <c r="C16" s="463" t="s">
        <v>798</v>
      </c>
      <c r="D16" s="13"/>
      <c r="E16" s="13"/>
      <c r="F16" s="394">
        <f t="shared" si="0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2:35" hidden="1" x14ac:dyDescent="0.2">
      <c r="B17" s="381" t="s">
        <v>202</v>
      </c>
      <c r="C17" s="463" t="s">
        <v>796</v>
      </c>
      <c r="D17" s="13"/>
      <c r="E17" s="13"/>
      <c r="F17" s="394">
        <f t="shared" si="0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2:35" hidden="1" x14ac:dyDescent="0.2">
      <c r="B18" s="381" t="s">
        <v>202</v>
      </c>
      <c r="C18" s="463" t="s">
        <v>700</v>
      </c>
      <c r="D18" s="13"/>
      <c r="E18" s="13"/>
      <c r="F18" s="394">
        <f t="shared" si="0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2:35" hidden="1" x14ac:dyDescent="0.2">
      <c r="B19" s="381" t="s">
        <v>202</v>
      </c>
      <c r="C19" s="463" t="s">
        <v>683</v>
      </c>
      <c r="D19" s="13"/>
      <c r="E19" s="13"/>
      <c r="F19" s="394">
        <f t="shared" si="0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2:35" hidden="1" x14ac:dyDescent="0.2">
      <c r="B20" s="381" t="s">
        <v>1074</v>
      </c>
      <c r="C20" s="463" t="s">
        <v>685</v>
      </c>
      <c r="D20" s="13"/>
      <c r="E20" s="13"/>
      <c r="F20" s="394">
        <f>D20+E20</f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2:35" hidden="1" x14ac:dyDescent="0.2">
      <c r="B21" s="381" t="s">
        <v>203</v>
      </c>
      <c r="C21" s="463" t="s">
        <v>1078</v>
      </c>
      <c r="D21" s="13"/>
      <c r="E21" s="13"/>
      <c r="F21" s="394">
        <f t="shared" si="0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2:35" ht="12" hidden="1" customHeight="1" x14ac:dyDescent="0.2">
      <c r="B22" s="381" t="s">
        <v>204</v>
      </c>
      <c r="C22" s="463" t="s">
        <v>1077</v>
      </c>
      <c r="D22" s="13"/>
      <c r="E22" s="13"/>
      <c r="F22" s="394">
        <f t="shared" si="0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2:35" x14ac:dyDescent="0.2">
      <c r="B23" s="381" t="s">
        <v>204</v>
      </c>
      <c r="C23" s="463" t="s">
        <v>799</v>
      </c>
      <c r="D23" s="13">
        <v>2320</v>
      </c>
      <c r="E23" s="13"/>
      <c r="F23" s="394">
        <f t="shared" si="0"/>
        <v>2320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2:35" x14ac:dyDescent="0.2">
      <c r="B24" s="381" t="s">
        <v>204</v>
      </c>
      <c r="C24" s="463" t="s">
        <v>1132</v>
      </c>
      <c r="D24" s="13">
        <v>20000</v>
      </c>
      <c r="E24" s="13"/>
      <c r="F24" s="394">
        <f t="shared" si="0"/>
        <v>20000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2:35" hidden="1" x14ac:dyDescent="0.2">
      <c r="B25" s="381" t="s">
        <v>204</v>
      </c>
      <c r="C25" s="463" t="s">
        <v>711</v>
      </c>
      <c r="D25" s="13"/>
      <c r="E25" s="13"/>
      <c r="F25" s="394">
        <f t="shared" si="0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2:35" hidden="1" x14ac:dyDescent="0.2">
      <c r="B26" s="381" t="s">
        <v>806</v>
      </c>
      <c r="C26" s="463" t="s">
        <v>1125</v>
      </c>
      <c r="D26" s="13"/>
      <c r="E26" s="13"/>
      <c r="F26" s="394">
        <f t="shared" si="0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2:35" hidden="1" x14ac:dyDescent="0.2">
      <c r="B27" s="381" t="s">
        <v>116</v>
      </c>
      <c r="C27" s="8" t="s">
        <v>807</v>
      </c>
      <c r="D27" s="13"/>
      <c r="E27" s="13"/>
      <c r="F27" s="394">
        <f>D27+E27</f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2:35" ht="13.5" customHeight="1" x14ac:dyDescent="0.2">
      <c r="B28" s="381" t="s">
        <v>116</v>
      </c>
      <c r="C28" s="8" t="s">
        <v>1181</v>
      </c>
      <c r="D28" s="13"/>
      <c r="E28" s="13">
        <v>278</v>
      </c>
      <c r="F28" s="394">
        <f>D28+E28</f>
        <v>278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2:35" x14ac:dyDescent="0.2">
      <c r="B29" s="381" t="s">
        <v>116</v>
      </c>
      <c r="C29" s="8" t="s">
        <v>1182</v>
      </c>
      <c r="D29" s="13"/>
      <c r="E29" s="13">
        <v>1555</v>
      </c>
      <c r="F29" s="394">
        <f>D29+E29</f>
        <v>1555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2:35" hidden="1" x14ac:dyDescent="0.2">
      <c r="B30" s="381" t="s">
        <v>116</v>
      </c>
      <c r="C30" s="8" t="s">
        <v>815</v>
      </c>
      <c r="D30" s="13"/>
      <c r="E30" s="13"/>
      <c r="F30" s="394">
        <f t="shared" si="0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2:35" ht="13.5" customHeight="1" x14ac:dyDescent="0.25">
      <c r="B31" s="380" t="s">
        <v>122</v>
      </c>
      <c r="C31" s="22" t="s">
        <v>212</v>
      </c>
      <c r="D31" s="36">
        <f>SUM(D32:D36)</f>
        <v>0</v>
      </c>
      <c r="E31" s="36">
        <f>SUM(E32:E36)</f>
        <v>0</v>
      </c>
      <c r="F31" s="393">
        <f>SUM(F32:F36)</f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2:35" hidden="1" x14ac:dyDescent="0.2">
      <c r="B32" s="381" t="s">
        <v>123</v>
      </c>
      <c r="C32" s="8" t="s">
        <v>1100</v>
      </c>
      <c r="D32" s="13"/>
      <c r="E32" s="13"/>
      <c r="F32" s="394">
        <f>D32+E32</f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2:35" hidden="1" x14ac:dyDescent="0.2">
      <c r="B33" s="381" t="s">
        <v>126</v>
      </c>
      <c r="C33" s="8" t="s">
        <v>760</v>
      </c>
      <c r="D33" s="13"/>
      <c r="E33" s="13"/>
      <c r="F33" s="394">
        <f>D33+E33</f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2:35" hidden="1" x14ac:dyDescent="0.2">
      <c r="B34" s="381" t="s">
        <v>126</v>
      </c>
      <c r="C34" s="8" t="s">
        <v>762</v>
      </c>
      <c r="D34" s="13"/>
      <c r="E34" s="13"/>
      <c r="F34" s="394">
        <f>D34+E34</f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2:35" hidden="1" x14ac:dyDescent="0.2">
      <c r="B35" s="381" t="s">
        <v>126</v>
      </c>
      <c r="C35" s="8" t="s">
        <v>763</v>
      </c>
      <c r="D35" s="13"/>
      <c r="E35" s="13"/>
      <c r="F35" s="394">
        <f>D35+E35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2:35" hidden="1" x14ac:dyDescent="0.2">
      <c r="B36" s="381" t="s">
        <v>126</v>
      </c>
      <c r="C36" s="8" t="s">
        <v>770</v>
      </c>
      <c r="D36" s="13"/>
      <c r="E36" s="13"/>
      <c r="F36" s="394">
        <f>D36+E36</f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2:35" ht="15" x14ac:dyDescent="0.25">
      <c r="B37" s="380" t="s">
        <v>131</v>
      </c>
      <c r="C37" s="22" t="s">
        <v>95</v>
      </c>
      <c r="D37" s="40">
        <f>SUM(D38:D41)</f>
        <v>0</v>
      </c>
      <c r="E37" s="40">
        <f>SUM(E38:E41)</f>
        <v>0</v>
      </c>
      <c r="F37" s="395">
        <f>SUM(F38:F41)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2:35" hidden="1" x14ac:dyDescent="0.2">
      <c r="B38" s="381" t="s">
        <v>512</v>
      </c>
      <c r="C38" s="8" t="s">
        <v>572</v>
      </c>
      <c r="D38" s="13"/>
      <c r="E38" s="374"/>
      <c r="F38" s="394">
        <f>D38+E38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2:35" hidden="1" x14ac:dyDescent="0.2">
      <c r="B39" s="381" t="s">
        <v>552</v>
      </c>
      <c r="C39" s="8" t="s">
        <v>571</v>
      </c>
      <c r="D39" s="13"/>
      <c r="E39" s="13"/>
      <c r="F39" s="394">
        <f>D39+E39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2:35" hidden="1" x14ac:dyDescent="0.2">
      <c r="B40" s="381" t="s">
        <v>553</v>
      </c>
      <c r="C40" s="8" t="s">
        <v>703</v>
      </c>
      <c r="D40" s="13"/>
      <c r="E40" s="13"/>
      <c r="F40" s="394">
        <f>D40+E40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2:35" hidden="1" x14ac:dyDescent="0.2">
      <c r="B41" s="381" t="s">
        <v>137</v>
      </c>
      <c r="C41" s="8" t="s">
        <v>1079</v>
      </c>
      <c r="D41" s="13"/>
      <c r="E41" s="13"/>
      <c r="F41" s="394">
        <f>D41+E41</f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2:35" s="48" customFormat="1" ht="15" x14ac:dyDescent="0.25">
      <c r="B42" s="380" t="s">
        <v>142</v>
      </c>
      <c r="C42" s="22" t="s">
        <v>213</v>
      </c>
      <c r="D42" s="40">
        <f>SUM(D43:D54)</f>
        <v>-7585</v>
      </c>
      <c r="E42" s="40">
        <f>SUM(E43:E54)</f>
        <v>0</v>
      </c>
      <c r="F42" s="395">
        <f>SUM(F43:F54)</f>
        <v>-7585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2:35" ht="13.5" customHeight="1" x14ac:dyDescent="0.2">
      <c r="B43" s="381" t="s">
        <v>146</v>
      </c>
      <c r="C43" s="8" t="s">
        <v>1144</v>
      </c>
      <c r="D43" s="13">
        <v>250</v>
      </c>
      <c r="E43" s="13"/>
      <c r="F43" s="394">
        <f t="shared" ref="F43:F53" si="1">D43+E43</f>
        <v>250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2:35" ht="13.5" customHeight="1" x14ac:dyDescent="0.2">
      <c r="B44" s="381" t="s">
        <v>147</v>
      </c>
      <c r="C44" s="8" t="s">
        <v>1143</v>
      </c>
      <c r="D44" s="13">
        <v>-250</v>
      </c>
      <c r="E44" s="13"/>
      <c r="F44" s="394">
        <f t="shared" si="1"/>
        <v>-250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2:35" ht="13.5" hidden="1" customHeight="1" x14ac:dyDescent="0.2">
      <c r="B45" s="381" t="s">
        <v>147</v>
      </c>
      <c r="C45" s="8" t="s">
        <v>788</v>
      </c>
      <c r="D45" s="13"/>
      <c r="E45" s="13"/>
      <c r="F45" s="394">
        <f t="shared" si="1"/>
        <v>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2:35" hidden="1" x14ac:dyDescent="0.2">
      <c r="B46" s="381" t="s">
        <v>148</v>
      </c>
      <c r="C46" s="19" t="s">
        <v>801</v>
      </c>
      <c r="D46" s="13"/>
      <c r="E46" s="13"/>
      <c r="F46" s="394">
        <f t="shared" si="1"/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2:35" hidden="1" x14ac:dyDescent="0.2">
      <c r="B47" s="381" t="s">
        <v>149</v>
      </c>
      <c r="C47" s="19" t="s">
        <v>802</v>
      </c>
      <c r="D47" s="13"/>
      <c r="E47" s="13"/>
      <c r="F47" s="394">
        <f t="shared" si="1"/>
        <v>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2:35" ht="13.5" hidden="1" customHeight="1" x14ac:dyDescent="0.2">
      <c r="B48" s="381" t="s">
        <v>153</v>
      </c>
      <c r="C48" s="19" t="s">
        <v>706</v>
      </c>
      <c r="D48" s="13"/>
      <c r="E48" s="13"/>
      <c r="F48" s="394">
        <f t="shared" si="1"/>
        <v>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2:35" ht="13.5" customHeight="1" x14ac:dyDescent="0.2">
      <c r="B49" s="381" t="s">
        <v>155</v>
      </c>
      <c r="C49" s="19" t="s">
        <v>1165</v>
      </c>
      <c r="D49" s="13">
        <f>-7585</f>
        <v>-7585</v>
      </c>
      <c r="E49" s="13"/>
      <c r="F49" s="394">
        <f t="shared" si="1"/>
        <v>-7585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2:35" hidden="1" x14ac:dyDescent="0.2">
      <c r="B50" s="381" t="s">
        <v>157</v>
      </c>
      <c r="C50" s="8" t="s">
        <v>1081</v>
      </c>
      <c r="D50" s="13"/>
      <c r="E50" s="13"/>
      <c r="F50" s="394">
        <f t="shared" si="1"/>
        <v>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2:35" ht="13.5" hidden="1" customHeight="1" x14ac:dyDescent="0.2">
      <c r="B51" s="381" t="s">
        <v>353</v>
      </c>
      <c r="C51" s="19" t="s">
        <v>1082</v>
      </c>
      <c r="D51" s="13"/>
      <c r="E51" s="13"/>
      <c r="F51" s="394">
        <f t="shared" si="1"/>
        <v>0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2:35" ht="13.5" hidden="1" customHeight="1" x14ac:dyDescent="0.2">
      <c r="B52" s="381" t="s">
        <v>353</v>
      </c>
      <c r="C52" s="19" t="s">
        <v>813</v>
      </c>
      <c r="D52" s="13"/>
      <c r="E52" s="13"/>
      <c r="F52" s="394">
        <f t="shared" si="1"/>
        <v>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2:35" ht="13.5" hidden="1" customHeight="1" x14ac:dyDescent="0.2">
      <c r="B53" s="381" t="s">
        <v>353</v>
      </c>
      <c r="C53" s="19" t="s">
        <v>816</v>
      </c>
      <c r="D53" s="13"/>
      <c r="E53" s="13"/>
      <c r="F53" s="394">
        <f t="shared" si="1"/>
        <v>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2:35" ht="13.5" hidden="1" customHeight="1" x14ac:dyDescent="0.2">
      <c r="B54" s="381"/>
      <c r="C54" s="19"/>
      <c r="D54" s="13"/>
      <c r="E54" s="13"/>
      <c r="F54" s="39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2:35" ht="15" x14ac:dyDescent="0.25">
      <c r="B55" s="380" t="s">
        <v>169</v>
      </c>
      <c r="C55" s="22" t="s">
        <v>214</v>
      </c>
      <c r="D55" s="40">
        <f>SUM(D56:D57)</f>
        <v>0</v>
      </c>
      <c r="E55" s="40">
        <f>SUM(E56:E57)</f>
        <v>0</v>
      </c>
      <c r="F55" s="395">
        <f>SUM(F56:F57)</f>
        <v>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2:35" ht="13.5" hidden="1" customHeight="1" x14ac:dyDescent="0.2">
      <c r="B56" s="456" t="s">
        <v>171</v>
      </c>
      <c r="C56" s="19" t="s">
        <v>1088</v>
      </c>
      <c r="D56" s="162"/>
      <c r="E56" s="162"/>
      <c r="F56" s="394">
        <f>D56+E56</f>
        <v>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2:35" ht="13.5" hidden="1" customHeight="1" x14ac:dyDescent="0.2">
      <c r="B57" s="456" t="s">
        <v>171</v>
      </c>
      <c r="C57" s="19"/>
      <c r="D57" s="162"/>
      <c r="E57" s="162"/>
      <c r="F57" s="457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2:35" ht="15.75" customHeight="1" x14ac:dyDescent="0.25">
      <c r="B58" s="380" t="s">
        <v>180</v>
      </c>
      <c r="C58" s="22" t="s">
        <v>215</v>
      </c>
      <c r="D58" s="40">
        <f>SUM(D59:D61)</f>
        <v>0</v>
      </c>
      <c r="E58" s="40">
        <f>SUM(E59:E61)</f>
        <v>0</v>
      </c>
      <c r="F58" s="395">
        <f>SUM(F59:F61)</f>
        <v>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2:35" ht="13.5" hidden="1" customHeight="1" x14ac:dyDescent="0.2">
      <c r="B59" s="458" t="s">
        <v>360</v>
      </c>
      <c r="C59" s="8" t="s">
        <v>1080</v>
      </c>
      <c r="D59" s="13"/>
      <c r="E59" s="13"/>
      <c r="F59" s="394">
        <f>D59+E59</f>
        <v>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2:35" ht="13.5" hidden="1" customHeight="1" x14ac:dyDescent="0.2">
      <c r="B60" s="458" t="s">
        <v>360</v>
      </c>
      <c r="C60" s="8" t="s">
        <v>714</v>
      </c>
      <c r="D60" s="13"/>
      <c r="E60" s="13"/>
      <c r="F60" s="394">
        <f>D60+E60</f>
        <v>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2:35" ht="13.5" hidden="1" customHeight="1" x14ac:dyDescent="0.2">
      <c r="B61" s="458" t="s">
        <v>713</v>
      </c>
      <c r="C61" s="8" t="s">
        <v>697</v>
      </c>
      <c r="D61" s="13"/>
      <c r="E61" s="13"/>
      <c r="F61" s="394">
        <f>D61+E61</f>
        <v>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2:35" ht="14.25" customHeight="1" x14ac:dyDescent="0.25">
      <c r="B62" s="380" t="s">
        <v>181</v>
      </c>
      <c r="C62" s="22" t="s">
        <v>216</v>
      </c>
      <c r="D62" s="40">
        <f>SUM(D63:D63)</f>
        <v>0</v>
      </c>
      <c r="E62" s="40">
        <f>SUM(E63:E63)</f>
        <v>0</v>
      </c>
      <c r="F62" s="395">
        <f>SUM(F63:F63)</f>
        <v>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2:35" ht="13.5" hidden="1" customHeight="1" x14ac:dyDescent="0.2">
      <c r="B63" s="381" t="s">
        <v>442</v>
      </c>
      <c r="C63" s="19" t="s">
        <v>1084</v>
      </c>
      <c r="D63" s="13"/>
      <c r="E63" s="13"/>
      <c r="F63" s="394">
        <f>D63+E63</f>
        <v>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  <row r="64" spans="2:35" ht="15" x14ac:dyDescent="0.25">
      <c r="B64" s="459" t="s">
        <v>485</v>
      </c>
      <c r="C64" s="182" t="s">
        <v>310</v>
      </c>
      <c r="D64" s="40">
        <f>SUM(D65+D70)</f>
        <v>0</v>
      </c>
      <c r="E64" s="40">
        <f>SUM(E65+E70)</f>
        <v>0</v>
      </c>
      <c r="F64" s="395">
        <f>SUM(F65+F70)</f>
        <v>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</row>
    <row r="65" spans="2:35" ht="15" x14ac:dyDescent="0.25">
      <c r="B65" s="459"/>
      <c r="C65" s="22" t="s">
        <v>486</v>
      </c>
      <c r="D65" s="40">
        <f>SUM(D66+D69)</f>
        <v>0</v>
      </c>
      <c r="E65" s="40">
        <f>SUM(E66+E69)</f>
        <v>0</v>
      </c>
      <c r="F65" s="395">
        <f>SUM(F66+F69)</f>
        <v>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</row>
    <row r="66" spans="2:35" ht="13.5" customHeight="1" x14ac:dyDescent="0.2">
      <c r="B66" s="381"/>
      <c r="C66" s="29" t="s">
        <v>487</v>
      </c>
      <c r="D66" s="13">
        <f>D67+D68</f>
        <v>0</v>
      </c>
      <c r="E66" s="13">
        <f>E67+E68</f>
        <v>0</v>
      </c>
      <c r="F66" s="394">
        <f>F67+F68</f>
        <v>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</row>
    <row r="67" spans="2:35" s="385" customFormat="1" ht="13.5" hidden="1" customHeight="1" x14ac:dyDescent="0.2">
      <c r="B67" s="382"/>
      <c r="C67" s="383" t="s">
        <v>1183</v>
      </c>
      <c r="D67" s="189"/>
      <c r="E67" s="189"/>
      <c r="F67" s="396">
        <f>SUM(D67:E67)</f>
        <v>0</v>
      </c>
      <c r="G67" s="384"/>
      <c r="H67" s="384"/>
      <c r="I67" s="384"/>
      <c r="J67" s="384"/>
      <c r="K67" s="384"/>
      <c r="L67" s="384"/>
      <c r="M67" s="384"/>
      <c r="N67" s="384"/>
      <c r="O67" s="384"/>
      <c r="P67" s="384"/>
      <c r="Q67" s="384"/>
      <c r="R67" s="384"/>
      <c r="S67" s="384"/>
      <c r="T67" s="384"/>
      <c r="U67" s="384"/>
      <c r="V67" s="384"/>
      <c r="W67" s="384"/>
      <c r="X67" s="384"/>
      <c r="Y67" s="384"/>
      <c r="Z67" s="384"/>
      <c r="AA67" s="384"/>
      <c r="AB67" s="384"/>
      <c r="AC67" s="384"/>
      <c r="AD67" s="384"/>
      <c r="AE67" s="384"/>
      <c r="AF67" s="384"/>
      <c r="AG67" s="384"/>
      <c r="AH67" s="384"/>
      <c r="AI67" s="384"/>
    </row>
    <row r="68" spans="2:35" s="385" customFormat="1" ht="13.5" hidden="1" customHeight="1" x14ac:dyDescent="0.2">
      <c r="B68" s="382"/>
      <c r="C68" s="383" t="s">
        <v>1184</v>
      </c>
      <c r="D68" s="189">
        <v>0</v>
      </c>
      <c r="E68" s="189"/>
      <c r="F68" s="396">
        <f>SUM(D68:E68)</f>
        <v>0</v>
      </c>
      <c r="G68" s="384"/>
      <c r="H68" s="384"/>
      <c r="I68" s="384"/>
      <c r="J68" s="384"/>
      <c r="K68" s="384"/>
      <c r="L68" s="384"/>
      <c r="M68" s="384"/>
      <c r="N68" s="384"/>
      <c r="O68" s="384"/>
      <c r="P68" s="384"/>
      <c r="Q68" s="384"/>
      <c r="R68" s="384"/>
      <c r="S68" s="384"/>
      <c r="T68" s="384"/>
      <c r="U68" s="384"/>
      <c r="V68" s="384"/>
      <c r="W68" s="384"/>
      <c r="X68" s="384"/>
      <c r="Y68" s="384"/>
      <c r="Z68" s="384"/>
      <c r="AA68" s="384"/>
      <c r="AB68" s="384"/>
      <c r="AC68" s="384"/>
      <c r="AD68" s="384"/>
      <c r="AE68" s="384"/>
      <c r="AF68" s="384"/>
      <c r="AG68" s="384"/>
      <c r="AH68" s="384"/>
      <c r="AI68" s="384"/>
    </row>
    <row r="69" spans="2:35" s="385" customFormat="1" ht="13.5" customHeight="1" x14ac:dyDescent="0.2">
      <c r="B69" s="382"/>
      <c r="C69" s="29" t="s">
        <v>488</v>
      </c>
      <c r="D69" s="13">
        <v>0</v>
      </c>
      <c r="E69" s="13">
        <v>0</v>
      </c>
      <c r="F69" s="394">
        <f>D69+E69</f>
        <v>0</v>
      </c>
      <c r="G69" s="384"/>
      <c r="H69" s="384"/>
      <c r="I69" s="384"/>
      <c r="J69" s="384"/>
      <c r="K69" s="384"/>
      <c r="L69" s="384"/>
      <c r="M69" s="384"/>
      <c r="N69" s="384"/>
      <c r="O69" s="384"/>
      <c r="P69" s="384"/>
      <c r="Q69" s="384"/>
      <c r="R69" s="384"/>
      <c r="S69" s="384"/>
      <c r="T69" s="384"/>
      <c r="U69" s="384"/>
      <c r="V69" s="384"/>
      <c r="W69" s="384"/>
      <c r="X69" s="384"/>
      <c r="Y69" s="384"/>
      <c r="Z69" s="384"/>
      <c r="AA69" s="384"/>
      <c r="AB69" s="384"/>
      <c r="AC69" s="384"/>
      <c r="AD69" s="384"/>
      <c r="AE69" s="384"/>
      <c r="AF69" s="384"/>
      <c r="AG69" s="384"/>
      <c r="AH69" s="384"/>
      <c r="AI69" s="384"/>
    </row>
    <row r="70" spans="2:35" ht="15.75" thickBot="1" x14ac:dyDescent="0.3">
      <c r="B70" s="381"/>
      <c r="C70" s="22" t="s">
        <v>489</v>
      </c>
      <c r="D70" s="40">
        <f>SUM(D71:D71)</f>
        <v>0</v>
      </c>
      <c r="E70" s="40">
        <f>SUM(E71:E71)</f>
        <v>0</v>
      </c>
      <c r="F70" s="395">
        <f>SUM(F71:F71)</f>
        <v>0</v>
      </c>
      <c r="G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2:35" ht="13.5" hidden="1" customHeight="1" thickBot="1" x14ac:dyDescent="0.25">
      <c r="B71" s="386"/>
      <c r="C71" s="8" t="s">
        <v>710</v>
      </c>
      <c r="D71" s="78"/>
      <c r="E71" s="12"/>
      <c r="F71" s="394">
        <f>D71+E71</f>
        <v>0</v>
      </c>
      <c r="G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2:35" ht="20.25" thickBot="1" x14ac:dyDescent="0.4">
      <c r="B72" s="387"/>
      <c r="C72" s="45" t="s">
        <v>490</v>
      </c>
      <c r="D72" s="388">
        <f>SUM(D7+D64)</f>
        <v>14735</v>
      </c>
      <c r="E72" s="388">
        <f>SUM(E7+E64)</f>
        <v>1833</v>
      </c>
      <c r="F72" s="46">
        <f>SUM(F7+F64)</f>
        <v>16568</v>
      </c>
      <c r="G72" s="7">
        <f>F72-F195</f>
        <v>0</v>
      </c>
      <c r="H72" s="74">
        <f>'1.Bev-kiad.'!H63</f>
        <v>0</v>
      </c>
      <c r="J72" s="7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2:35" ht="15.75" x14ac:dyDescent="0.25">
      <c r="B73" s="379" t="s">
        <v>491</v>
      </c>
      <c r="C73" s="220" t="s">
        <v>311</v>
      </c>
      <c r="D73" s="169">
        <f>SUM(D74+D169)</f>
        <v>14735</v>
      </c>
      <c r="E73" s="169">
        <f>SUM(E74+E169)</f>
        <v>1833</v>
      </c>
      <c r="F73" s="397">
        <f>SUM(F74+F169)</f>
        <v>16568</v>
      </c>
      <c r="G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2:35" ht="15" x14ac:dyDescent="0.25">
      <c r="B74" s="380" t="s">
        <v>195</v>
      </c>
      <c r="C74" s="22" t="s">
        <v>8</v>
      </c>
      <c r="D74" s="36">
        <f>SUM(D75:D168)</f>
        <v>-650019</v>
      </c>
      <c r="E74" s="36">
        <f>SUM(E75:E168)</f>
        <v>1833</v>
      </c>
      <c r="F74" s="393">
        <f>SUM(F75:F168)</f>
        <v>-648186</v>
      </c>
      <c r="G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</row>
    <row r="75" spans="2:35" x14ac:dyDescent="0.2">
      <c r="B75" s="381" t="s">
        <v>492</v>
      </c>
      <c r="C75" s="8" t="s">
        <v>1190</v>
      </c>
      <c r="D75" s="162"/>
      <c r="E75" s="162">
        <f>-650-90-350</f>
        <v>-1090</v>
      </c>
      <c r="F75" s="394">
        <f t="shared" ref="F75:F168" si="2">D75+E75</f>
        <v>-1090</v>
      </c>
      <c r="G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</row>
    <row r="76" spans="2:35" hidden="1" x14ac:dyDescent="0.2">
      <c r="B76" s="381" t="s">
        <v>492</v>
      </c>
      <c r="C76" s="8" t="s">
        <v>827</v>
      </c>
      <c r="D76" s="162"/>
      <c r="E76" s="162"/>
      <c r="F76" s="394">
        <f t="shared" si="2"/>
        <v>0</v>
      </c>
      <c r="G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</row>
    <row r="77" spans="2:35" x14ac:dyDescent="0.2">
      <c r="B77" s="381" t="s">
        <v>550</v>
      </c>
      <c r="C77" s="8" t="s">
        <v>900</v>
      </c>
      <c r="D77" s="162"/>
      <c r="E77" s="162">
        <v>304</v>
      </c>
      <c r="F77" s="394">
        <f t="shared" si="2"/>
        <v>304</v>
      </c>
      <c r="G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</row>
    <row r="78" spans="2:35" x14ac:dyDescent="0.2">
      <c r="B78" s="381" t="s">
        <v>804</v>
      </c>
      <c r="C78" s="8" t="s">
        <v>1111</v>
      </c>
      <c r="D78" s="162"/>
      <c r="E78" s="162">
        <v>650</v>
      </c>
      <c r="F78" s="394">
        <f t="shared" si="2"/>
        <v>650</v>
      </c>
      <c r="G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</row>
    <row r="79" spans="2:35" hidden="1" x14ac:dyDescent="0.2">
      <c r="B79" s="381" t="s">
        <v>819</v>
      </c>
      <c r="C79" s="8" t="s">
        <v>820</v>
      </c>
      <c r="D79" s="162"/>
      <c r="E79" s="162"/>
      <c r="F79" s="394">
        <f t="shared" si="2"/>
        <v>0</v>
      </c>
      <c r="G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</row>
    <row r="80" spans="2:35" x14ac:dyDescent="0.2">
      <c r="B80" s="381" t="s">
        <v>516</v>
      </c>
      <c r="C80" s="8" t="s">
        <v>1189</v>
      </c>
      <c r="D80" s="162"/>
      <c r="E80" s="162">
        <v>90</v>
      </c>
      <c r="F80" s="394">
        <f t="shared" si="2"/>
        <v>90</v>
      </c>
      <c r="G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</row>
    <row r="81" spans="2:35" hidden="1" x14ac:dyDescent="0.2">
      <c r="B81" s="381" t="s">
        <v>510</v>
      </c>
      <c r="C81" s="8" t="s">
        <v>817</v>
      </c>
      <c r="D81" s="162"/>
      <c r="E81" s="162"/>
      <c r="F81" s="394">
        <f t="shared" si="2"/>
        <v>0</v>
      </c>
      <c r="G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2:35" hidden="1" x14ac:dyDescent="0.2">
      <c r="B82" s="381" t="s">
        <v>510</v>
      </c>
      <c r="C82" s="8" t="s">
        <v>567</v>
      </c>
      <c r="D82" s="162"/>
      <c r="E82" s="162"/>
      <c r="F82" s="394">
        <f t="shared" si="2"/>
        <v>0</v>
      </c>
      <c r="G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</row>
    <row r="83" spans="2:35" hidden="1" x14ac:dyDescent="0.2">
      <c r="B83" s="381" t="s">
        <v>515</v>
      </c>
      <c r="C83" s="8" t="s">
        <v>769</v>
      </c>
      <c r="D83" s="162"/>
      <c r="E83" s="162"/>
      <c r="F83" s="394">
        <f t="shared" si="2"/>
        <v>0</v>
      </c>
      <c r="G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2:35" hidden="1" x14ac:dyDescent="0.2">
      <c r="B84" s="381" t="s">
        <v>515</v>
      </c>
      <c r="C84" s="8" t="s">
        <v>818</v>
      </c>
      <c r="D84" s="162"/>
      <c r="E84" s="162"/>
      <c r="F84" s="394">
        <f t="shared" si="2"/>
        <v>0</v>
      </c>
      <c r="G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</row>
    <row r="85" spans="2:35" x14ac:dyDescent="0.2">
      <c r="B85" s="381" t="s">
        <v>493</v>
      </c>
      <c r="C85" s="8" t="s">
        <v>1185</v>
      </c>
      <c r="D85" s="162"/>
      <c r="E85" s="162">
        <v>443</v>
      </c>
      <c r="F85" s="394">
        <f t="shared" si="2"/>
        <v>443</v>
      </c>
      <c r="G85" s="2"/>
      <c r="I85" s="7"/>
      <c r="J85" s="7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2:35" hidden="1" x14ac:dyDescent="0.2">
      <c r="B86" s="381" t="s">
        <v>493</v>
      </c>
      <c r="C86" s="8" t="s">
        <v>686</v>
      </c>
      <c r="D86" s="162"/>
      <c r="E86" s="162"/>
      <c r="F86" s="394">
        <f t="shared" si="2"/>
        <v>0</v>
      </c>
      <c r="G86" s="2"/>
      <c r="I86" s="7"/>
      <c r="J86" s="7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</row>
    <row r="87" spans="2:35" hidden="1" x14ac:dyDescent="0.2">
      <c r="B87" s="381" t="s">
        <v>493</v>
      </c>
      <c r="C87" s="8" t="s">
        <v>821</v>
      </c>
      <c r="D87" s="162"/>
      <c r="E87" s="162"/>
      <c r="F87" s="394">
        <f t="shared" si="2"/>
        <v>0</v>
      </c>
      <c r="G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2:35" hidden="1" x14ac:dyDescent="0.2">
      <c r="B88" s="381" t="s">
        <v>493</v>
      </c>
      <c r="C88" s="8" t="s">
        <v>814</v>
      </c>
      <c r="D88" s="162"/>
      <c r="E88" s="162"/>
      <c r="F88" s="394">
        <f t="shared" si="2"/>
        <v>0</v>
      </c>
      <c r="G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</row>
    <row r="89" spans="2:35" hidden="1" x14ac:dyDescent="0.2">
      <c r="B89" s="381" t="s">
        <v>493</v>
      </c>
      <c r="C89" s="8" t="s">
        <v>698</v>
      </c>
      <c r="D89" s="162"/>
      <c r="E89" s="162"/>
      <c r="F89" s="394">
        <f t="shared" si="2"/>
        <v>0</v>
      </c>
      <c r="G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</row>
    <row r="90" spans="2:35" x14ac:dyDescent="0.2">
      <c r="B90" s="381" t="s">
        <v>687</v>
      </c>
      <c r="C90" s="8" t="s">
        <v>1179</v>
      </c>
      <c r="D90" s="162">
        <f>4680+1200</f>
        <v>5880</v>
      </c>
      <c r="E90" s="162"/>
      <c r="F90" s="394">
        <f t="shared" si="2"/>
        <v>5880</v>
      </c>
      <c r="G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</row>
    <row r="91" spans="2:35" x14ac:dyDescent="0.2">
      <c r="B91" s="381" t="s">
        <v>687</v>
      </c>
      <c r="C91" s="8" t="s">
        <v>1202</v>
      </c>
      <c r="D91" s="162">
        <v>3443</v>
      </c>
      <c r="E91" s="162"/>
      <c r="F91" s="394">
        <f t="shared" si="2"/>
        <v>3443</v>
      </c>
      <c r="G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2:35" x14ac:dyDescent="0.2">
      <c r="B92" s="381" t="s">
        <v>494</v>
      </c>
      <c r="C92" s="8" t="s">
        <v>906</v>
      </c>
      <c r="D92" s="162"/>
      <c r="E92" s="162">
        <v>80</v>
      </c>
      <c r="F92" s="394">
        <f t="shared" si="2"/>
        <v>80</v>
      </c>
      <c r="G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2:35" x14ac:dyDescent="0.2">
      <c r="B93" s="381" t="s">
        <v>506</v>
      </c>
      <c r="C93" s="8" t="s">
        <v>1186</v>
      </c>
      <c r="D93" s="162"/>
      <c r="E93" s="162">
        <v>585</v>
      </c>
      <c r="F93" s="394">
        <f t="shared" si="2"/>
        <v>585</v>
      </c>
      <c r="G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</row>
    <row r="94" spans="2:35" hidden="1" x14ac:dyDescent="0.2">
      <c r="B94" s="381" t="s">
        <v>506</v>
      </c>
      <c r="C94" s="8" t="s">
        <v>1120</v>
      </c>
      <c r="D94" s="162"/>
      <c r="E94" s="162"/>
      <c r="F94" s="394">
        <f t="shared" si="2"/>
        <v>0</v>
      </c>
      <c r="G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</row>
    <row r="95" spans="2:35" x14ac:dyDescent="0.2">
      <c r="B95" s="381" t="s">
        <v>207</v>
      </c>
      <c r="C95" s="8" t="s">
        <v>565</v>
      </c>
      <c r="D95" s="162">
        <f>608+78+448</f>
        <v>1134</v>
      </c>
      <c r="E95" s="162">
        <v>143</v>
      </c>
      <c r="F95" s="394">
        <f t="shared" si="2"/>
        <v>1277</v>
      </c>
      <c r="G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</row>
    <row r="96" spans="2:35" hidden="1" x14ac:dyDescent="0.2">
      <c r="B96" s="381" t="s">
        <v>690</v>
      </c>
      <c r="C96" s="8" t="s">
        <v>783</v>
      </c>
      <c r="D96" s="162"/>
      <c r="E96" s="162"/>
      <c r="F96" s="394">
        <f t="shared" si="2"/>
        <v>0</v>
      </c>
      <c r="G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</row>
    <row r="97" spans="2:35" x14ac:dyDescent="0.2">
      <c r="B97" s="381" t="s">
        <v>564</v>
      </c>
      <c r="C97" s="8" t="s">
        <v>800</v>
      </c>
      <c r="D97" s="162">
        <v>2001</v>
      </c>
      <c r="E97" s="162"/>
      <c r="F97" s="394">
        <f t="shared" si="2"/>
        <v>2001</v>
      </c>
      <c r="G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</row>
    <row r="98" spans="2:35" hidden="1" x14ac:dyDescent="0.2">
      <c r="B98" s="381" t="s">
        <v>564</v>
      </c>
      <c r="C98" s="8" t="s">
        <v>1120</v>
      </c>
      <c r="D98" s="162"/>
      <c r="E98" s="162"/>
      <c r="F98" s="394">
        <f t="shared" si="2"/>
        <v>0</v>
      </c>
      <c r="G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2:35" hidden="1" x14ac:dyDescent="0.2">
      <c r="B99" s="381" t="s">
        <v>564</v>
      </c>
      <c r="C99" s="8" t="s">
        <v>823</v>
      </c>
      <c r="D99" s="162"/>
      <c r="E99" s="162"/>
      <c r="F99" s="394">
        <f t="shared" si="2"/>
        <v>0</v>
      </c>
      <c r="G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</row>
    <row r="100" spans="2:35" hidden="1" x14ac:dyDescent="0.2">
      <c r="B100" s="381" t="s">
        <v>564</v>
      </c>
      <c r="C100" s="8" t="s">
        <v>825</v>
      </c>
      <c r="D100" s="162"/>
      <c r="E100" s="162"/>
      <c r="F100" s="394">
        <f t="shared" si="2"/>
        <v>0</v>
      </c>
      <c r="G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2:35" hidden="1" x14ac:dyDescent="0.2">
      <c r="B101" s="381" t="s">
        <v>564</v>
      </c>
      <c r="C101" s="8" t="s">
        <v>1107</v>
      </c>
      <c r="D101" s="162"/>
      <c r="E101" s="162"/>
      <c r="F101" s="394">
        <f t="shared" si="2"/>
        <v>0</v>
      </c>
      <c r="G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</row>
    <row r="102" spans="2:35" hidden="1" x14ac:dyDescent="0.2">
      <c r="B102" s="381" t="s">
        <v>564</v>
      </c>
      <c r="C102" s="8" t="s">
        <v>1106</v>
      </c>
      <c r="D102" s="162"/>
      <c r="E102" s="162"/>
      <c r="F102" s="394">
        <f t="shared" si="2"/>
        <v>0</v>
      </c>
      <c r="G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2:35" hidden="1" x14ac:dyDescent="0.2">
      <c r="B103" s="381" t="s">
        <v>782</v>
      </c>
      <c r="C103" s="8" t="s">
        <v>1095</v>
      </c>
      <c r="D103" s="162"/>
      <c r="E103" s="162"/>
      <c r="F103" s="394">
        <f t="shared" si="2"/>
        <v>0</v>
      </c>
      <c r="G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</row>
    <row r="104" spans="2:35" hidden="1" x14ac:dyDescent="0.2">
      <c r="B104" s="381" t="s">
        <v>782</v>
      </c>
      <c r="C104" s="8" t="s">
        <v>1110</v>
      </c>
      <c r="D104" s="162"/>
      <c r="E104" s="162"/>
      <c r="F104" s="394">
        <f t="shared" si="2"/>
        <v>0</v>
      </c>
      <c r="G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2:35" hidden="1" x14ac:dyDescent="0.2">
      <c r="B105" s="381" t="s">
        <v>691</v>
      </c>
      <c r="C105" s="8" t="s">
        <v>1109</v>
      </c>
      <c r="D105" s="162"/>
      <c r="E105" s="162"/>
      <c r="F105" s="394">
        <f t="shared" si="2"/>
        <v>0</v>
      </c>
      <c r="G105" s="2"/>
      <c r="I105" s="7"/>
      <c r="J105" s="7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</row>
    <row r="106" spans="2:35" x14ac:dyDescent="0.2">
      <c r="B106" s="381" t="s">
        <v>1146</v>
      </c>
      <c r="C106" s="8" t="s">
        <v>1147</v>
      </c>
      <c r="D106" s="162">
        <v>12000</v>
      </c>
      <c r="E106" s="162"/>
      <c r="F106" s="394">
        <f t="shared" si="2"/>
        <v>12000</v>
      </c>
      <c r="G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2:35" hidden="1" x14ac:dyDescent="0.2">
      <c r="B107" s="381" t="s">
        <v>688</v>
      </c>
      <c r="C107" s="8" t="s">
        <v>1076</v>
      </c>
      <c r="D107" s="162"/>
      <c r="E107" s="162"/>
      <c r="F107" s="394">
        <f t="shared" si="2"/>
        <v>0</v>
      </c>
      <c r="G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2:35" x14ac:dyDescent="0.2">
      <c r="B108" s="381" t="s">
        <v>688</v>
      </c>
      <c r="C108" s="8" t="s">
        <v>287</v>
      </c>
      <c r="D108" s="162">
        <v>700</v>
      </c>
      <c r="E108" s="162"/>
      <c r="F108" s="394">
        <f t="shared" si="2"/>
        <v>700</v>
      </c>
      <c r="G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2:35" hidden="1" x14ac:dyDescent="0.2">
      <c r="B109" s="381" t="s">
        <v>772</v>
      </c>
      <c r="C109" s="8" t="s">
        <v>1108</v>
      </c>
      <c r="D109" s="162"/>
      <c r="E109" s="162"/>
      <c r="F109" s="394">
        <f t="shared" si="2"/>
        <v>0</v>
      </c>
      <c r="G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</row>
    <row r="110" spans="2:35" x14ac:dyDescent="0.2">
      <c r="B110" s="381" t="s">
        <v>692</v>
      </c>
      <c r="C110" s="8" t="s">
        <v>1145</v>
      </c>
      <c r="D110" s="162">
        <v>1500</v>
      </c>
      <c r="E110" s="162"/>
      <c r="F110" s="394">
        <f t="shared" si="2"/>
        <v>1500</v>
      </c>
      <c r="G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2:35" x14ac:dyDescent="0.2">
      <c r="B111" s="381" t="s">
        <v>692</v>
      </c>
      <c r="C111" s="8" t="s">
        <v>1154</v>
      </c>
      <c r="D111" s="162">
        <v>-3850</v>
      </c>
      <c r="E111" s="162"/>
      <c r="F111" s="394">
        <f t="shared" si="2"/>
        <v>-3850</v>
      </c>
      <c r="G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2:35" x14ac:dyDescent="0.2">
      <c r="B112" s="381" t="s">
        <v>692</v>
      </c>
      <c r="C112" s="8" t="s">
        <v>1191</v>
      </c>
      <c r="D112" s="162"/>
      <c r="E112" s="162">
        <v>350</v>
      </c>
      <c r="F112" s="394">
        <f t="shared" si="2"/>
        <v>350</v>
      </c>
      <c r="G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</row>
    <row r="113" spans="2:35" hidden="1" x14ac:dyDescent="0.2">
      <c r="B113" s="381" t="s">
        <v>692</v>
      </c>
      <c r="C113" s="8" t="s">
        <v>1087</v>
      </c>
      <c r="D113" s="162"/>
      <c r="E113" s="162"/>
      <c r="F113" s="394">
        <f t="shared" si="2"/>
        <v>0</v>
      </c>
      <c r="G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</row>
    <row r="114" spans="2:35" ht="38.25" x14ac:dyDescent="0.2">
      <c r="B114" s="389" t="s">
        <v>692</v>
      </c>
      <c r="C114" s="19" t="s">
        <v>1138</v>
      </c>
      <c r="D114" s="162">
        <v>3993</v>
      </c>
      <c r="E114" s="162"/>
      <c r="F114" s="457">
        <f t="shared" si="2"/>
        <v>3993</v>
      </c>
      <c r="G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</row>
    <row r="115" spans="2:35" x14ac:dyDescent="0.2">
      <c r="B115" s="381" t="s">
        <v>692</v>
      </c>
      <c r="C115" s="8" t="s">
        <v>1141</v>
      </c>
      <c r="D115" s="162">
        <v>10806</v>
      </c>
      <c r="E115" s="162"/>
      <c r="F115" s="457">
        <f t="shared" si="2"/>
        <v>10806</v>
      </c>
      <c r="G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2:35" x14ac:dyDescent="0.2">
      <c r="B116" s="381" t="s">
        <v>496</v>
      </c>
      <c r="C116" s="19" t="s">
        <v>1142</v>
      </c>
      <c r="D116" s="162">
        <v>6996</v>
      </c>
      <c r="E116" s="162"/>
      <c r="F116" s="394">
        <f t="shared" si="2"/>
        <v>6996</v>
      </c>
      <c r="G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</row>
    <row r="117" spans="2:35" x14ac:dyDescent="0.2">
      <c r="B117" s="381" t="s">
        <v>496</v>
      </c>
      <c r="C117" s="19" t="s">
        <v>1137</v>
      </c>
      <c r="D117" s="162">
        <v>10</v>
      </c>
      <c r="E117" s="162"/>
      <c r="F117" s="394">
        <f t="shared" si="2"/>
        <v>10</v>
      </c>
      <c r="G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</row>
    <row r="118" spans="2:35" x14ac:dyDescent="0.2">
      <c r="B118" s="381" t="s">
        <v>496</v>
      </c>
      <c r="C118" s="8" t="s">
        <v>1162</v>
      </c>
      <c r="D118" s="162">
        <v>-14173</v>
      </c>
      <c r="E118" s="162"/>
      <c r="F118" s="394">
        <f t="shared" si="2"/>
        <v>-14173</v>
      </c>
      <c r="G118" s="2"/>
      <c r="I118" s="7"/>
      <c r="J118" s="7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</row>
    <row r="119" spans="2:35" x14ac:dyDescent="0.2">
      <c r="B119" s="381" t="s">
        <v>496</v>
      </c>
      <c r="C119" s="8" t="s">
        <v>1161</v>
      </c>
      <c r="D119" s="162">
        <v>-3059</v>
      </c>
      <c r="E119" s="162"/>
      <c r="F119" s="394">
        <f t="shared" si="2"/>
        <v>-3059</v>
      </c>
      <c r="G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</row>
    <row r="120" spans="2:35" x14ac:dyDescent="0.2">
      <c r="B120" s="381" t="s">
        <v>496</v>
      </c>
      <c r="C120" s="8" t="s">
        <v>1170</v>
      </c>
      <c r="D120" s="162">
        <f>-1878-1200-550</f>
        <v>-3628</v>
      </c>
      <c r="E120" s="162"/>
      <c r="F120" s="394">
        <f t="shared" si="2"/>
        <v>-3628</v>
      </c>
      <c r="G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2:35" x14ac:dyDescent="0.2">
      <c r="B121" s="381" t="s">
        <v>496</v>
      </c>
      <c r="C121" s="8" t="s">
        <v>1169</v>
      </c>
      <c r="D121" s="162">
        <v>-10861</v>
      </c>
      <c r="E121" s="162"/>
      <c r="F121" s="394">
        <f t="shared" si="2"/>
        <v>-10861</v>
      </c>
      <c r="G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</row>
    <row r="122" spans="2:35" hidden="1" x14ac:dyDescent="0.2">
      <c r="B122" s="381" t="s">
        <v>496</v>
      </c>
      <c r="C122" s="8" t="s">
        <v>794</v>
      </c>
      <c r="D122" s="162"/>
      <c r="E122" s="162"/>
      <c r="F122" s="394">
        <f t="shared" si="2"/>
        <v>0</v>
      </c>
      <c r="G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2:35" hidden="1" x14ac:dyDescent="0.2">
      <c r="B123" s="381" t="s">
        <v>496</v>
      </c>
      <c r="C123" s="8" t="s">
        <v>826</v>
      </c>
      <c r="D123" s="162"/>
      <c r="E123" s="162"/>
      <c r="F123" s="394">
        <f t="shared" si="2"/>
        <v>0</v>
      </c>
      <c r="G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</row>
    <row r="124" spans="2:35" hidden="1" x14ac:dyDescent="0.2">
      <c r="B124" s="381" t="s">
        <v>496</v>
      </c>
      <c r="C124" s="8" t="s">
        <v>805</v>
      </c>
      <c r="D124" s="162"/>
      <c r="E124" s="162"/>
      <c r="F124" s="394">
        <f t="shared" si="2"/>
        <v>0</v>
      </c>
      <c r="G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2:35" hidden="1" x14ac:dyDescent="0.2">
      <c r="B125" s="381" t="s">
        <v>496</v>
      </c>
      <c r="C125" s="8" t="s">
        <v>812</v>
      </c>
      <c r="D125" s="162"/>
      <c r="E125" s="162"/>
      <c r="F125" s="394">
        <f t="shared" si="2"/>
        <v>0</v>
      </c>
      <c r="G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2:35" hidden="1" x14ac:dyDescent="0.2">
      <c r="B126" s="381" t="s">
        <v>496</v>
      </c>
      <c r="C126" s="8" t="s">
        <v>822</v>
      </c>
      <c r="D126" s="162"/>
      <c r="E126" s="162"/>
      <c r="F126" s="394">
        <f t="shared" si="2"/>
        <v>0</v>
      </c>
      <c r="G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</row>
    <row r="127" spans="2:35" hidden="1" x14ac:dyDescent="0.2">
      <c r="B127" s="381" t="s">
        <v>496</v>
      </c>
      <c r="C127" s="8" t="s">
        <v>824</v>
      </c>
      <c r="D127" s="162"/>
      <c r="E127" s="162"/>
      <c r="F127" s="394">
        <f t="shared" si="2"/>
        <v>0</v>
      </c>
      <c r="G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2:35" hidden="1" x14ac:dyDescent="0.2">
      <c r="B128" s="381" t="s">
        <v>496</v>
      </c>
      <c r="C128" s="8" t="s">
        <v>786</v>
      </c>
      <c r="D128" s="162"/>
      <c r="E128" s="162"/>
      <c r="F128" s="394">
        <f t="shared" si="2"/>
        <v>0</v>
      </c>
      <c r="G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2:35" hidden="1" x14ac:dyDescent="0.2">
      <c r="B129" s="381" t="s">
        <v>497</v>
      </c>
      <c r="C129" s="8" t="s">
        <v>1092</v>
      </c>
      <c r="D129" s="162"/>
      <c r="E129" s="162"/>
      <c r="F129" s="394">
        <f t="shared" ref="F129:F136" si="3">D129+E129</f>
        <v>0</v>
      </c>
      <c r="G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2:35" x14ac:dyDescent="0.2">
      <c r="B130" s="381" t="s">
        <v>497</v>
      </c>
      <c r="C130" s="8" t="s">
        <v>1152</v>
      </c>
      <c r="D130" s="162">
        <v>-2809</v>
      </c>
      <c r="E130" s="162"/>
      <c r="F130" s="394">
        <f t="shared" si="3"/>
        <v>-2809</v>
      </c>
      <c r="G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</row>
    <row r="131" spans="2:35" x14ac:dyDescent="0.2">
      <c r="B131" s="381" t="s">
        <v>497</v>
      </c>
      <c r="C131" s="8" t="s">
        <v>1139</v>
      </c>
      <c r="D131" s="162">
        <v>4989</v>
      </c>
      <c r="E131" s="162"/>
      <c r="F131" s="394">
        <f t="shared" si="3"/>
        <v>4989</v>
      </c>
      <c r="G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</row>
    <row r="132" spans="2:35" x14ac:dyDescent="0.2">
      <c r="B132" s="381" t="s">
        <v>497</v>
      </c>
      <c r="C132" s="8" t="s">
        <v>1150</v>
      </c>
      <c r="D132" s="162">
        <v>2200</v>
      </c>
      <c r="E132" s="162"/>
      <c r="F132" s="394">
        <f t="shared" si="3"/>
        <v>2200</v>
      </c>
      <c r="G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</row>
    <row r="133" spans="2:35" hidden="1" x14ac:dyDescent="0.2">
      <c r="B133" s="381" t="s">
        <v>497</v>
      </c>
      <c r="C133" s="8" t="s">
        <v>774</v>
      </c>
      <c r="D133" s="162"/>
      <c r="E133" s="162"/>
      <c r="F133" s="394">
        <f t="shared" si="3"/>
        <v>0</v>
      </c>
      <c r="G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</row>
    <row r="134" spans="2:35" x14ac:dyDescent="0.2">
      <c r="B134" s="381" t="s">
        <v>497</v>
      </c>
      <c r="C134" s="8" t="s">
        <v>1149</v>
      </c>
      <c r="D134" s="162">
        <v>4000</v>
      </c>
      <c r="E134" s="162"/>
      <c r="F134" s="394">
        <f t="shared" si="3"/>
        <v>4000</v>
      </c>
      <c r="G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</row>
    <row r="135" spans="2:35" x14ac:dyDescent="0.2">
      <c r="B135" s="381" t="s">
        <v>497</v>
      </c>
      <c r="C135" s="8" t="s">
        <v>1148</v>
      </c>
      <c r="D135" s="162">
        <v>1200</v>
      </c>
      <c r="E135" s="162"/>
      <c r="F135" s="394">
        <f t="shared" si="3"/>
        <v>1200</v>
      </c>
      <c r="G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2:35" x14ac:dyDescent="0.2">
      <c r="B136" s="381" t="s">
        <v>497</v>
      </c>
      <c r="C136" s="8" t="s">
        <v>1134</v>
      </c>
      <c r="D136" s="162">
        <v>522</v>
      </c>
      <c r="E136" s="162"/>
      <c r="F136" s="394">
        <f t="shared" si="3"/>
        <v>522</v>
      </c>
      <c r="G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</row>
    <row r="137" spans="2:35" x14ac:dyDescent="0.2">
      <c r="B137" s="381" t="s">
        <v>573</v>
      </c>
      <c r="C137" s="8" t="s">
        <v>785</v>
      </c>
      <c r="D137" s="162"/>
      <c r="E137" s="162">
        <v>278</v>
      </c>
      <c r="F137" s="394">
        <f t="shared" si="2"/>
        <v>278</v>
      </c>
      <c r="G137" s="2"/>
      <c r="I137" s="7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</row>
    <row r="138" spans="2:35" hidden="1" x14ac:dyDescent="0.2">
      <c r="B138" s="381" t="s">
        <v>761</v>
      </c>
      <c r="C138" s="8" t="s">
        <v>1091</v>
      </c>
      <c r="D138" s="162"/>
      <c r="E138" s="162"/>
      <c r="F138" s="394">
        <f t="shared" si="2"/>
        <v>0</v>
      </c>
      <c r="G138" s="2"/>
      <c r="I138" s="7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</row>
    <row r="139" spans="2:35" hidden="1" x14ac:dyDescent="0.2">
      <c r="B139" s="381" t="s">
        <v>761</v>
      </c>
      <c r="C139" s="8" t="s">
        <v>776</v>
      </c>
      <c r="D139" s="162"/>
      <c r="E139" s="162"/>
      <c r="F139" s="394">
        <f t="shared" si="2"/>
        <v>0</v>
      </c>
      <c r="G139" s="2"/>
      <c r="I139" s="7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</row>
    <row r="140" spans="2:35" hidden="1" x14ac:dyDescent="0.2">
      <c r="B140" s="381" t="s">
        <v>761</v>
      </c>
      <c r="C140" s="8" t="s">
        <v>775</v>
      </c>
      <c r="D140" s="162"/>
      <c r="E140" s="162"/>
      <c r="F140" s="394">
        <f t="shared" si="2"/>
        <v>0</v>
      </c>
      <c r="G140" s="2"/>
      <c r="I140" s="7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</row>
    <row r="141" spans="2:35" ht="12" customHeight="1" x14ac:dyDescent="0.2">
      <c r="B141" s="381" t="s">
        <v>498</v>
      </c>
      <c r="C141" s="8" t="s">
        <v>1135</v>
      </c>
      <c r="D141" s="162">
        <f>681-189+1078+1347+2918+1889+1080+2809-1040-7585-831</f>
        <v>2157</v>
      </c>
      <c r="E141" s="162"/>
      <c r="F141" s="394">
        <f t="shared" si="2"/>
        <v>2157</v>
      </c>
      <c r="G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</row>
    <row r="142" spans="2:35" hidden="1" x14ac:dyDescent="0.2">
      <c r="B142" s="381" t="s">
        <v>513</v>
      </c>
      <c r="C142" s="8" t="s">
        <v>514</v>
      </c>
      <c r="D142" s="162"/>
      <c r="E142" s="162"/>
      <c r="F142" s="394">
        <f t="shared" si="2"/>
        <v>0</v>
      </c>
      <c r="G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2:35" hidden="1" x14ac:dyDescent="0.2">
      <c r="B143" s="381" t="s">
        <v>513</v>
      </c>
      <c r="C143" s="8" t="s">
        <v>1192</v>
      </c>
      <c r="D143" s="162"/>
      <c r="E143" s="162"/>
      <c r="F143" s="394">
        <f t="shared" si="2"/>
        <v>0</v>
      </c>
      <c r="G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</row>
    <row r="144" spans="2:35" x14ac:dyDescent="0.2">
      <c r="B144" s="381" t="s">
        <v>771</v>
      </c>
      <c r="C144" s="8" t="s">
        <v>1094</v>
      </c>
      <c r="D144" s="162">
        <f>-700-1500-12000-1200-5080-2200-2000-900</f>
        <v>-25580</v>
      </c>
      <c r="E144" s="162"/>
      <c r="F144" s="394">
        <f t="shared" si="2"/>
        <v>-25580</v>
      </c>
      <c r="G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2:35" x14ac:dyDescent="0.2">
      <c r="B145" s="381" t="s">
        <v>499</v>
      </c>
      <c r="C145" s="8" t="s">
        <v>1151</v>
      </c>
      <c r="D145" s="162">
        <v>2900</v>
      </c>
      <c r="E145" s="162"/>
      <c r="F145" s="394">
        <f t="shared" si="2"/>
        <v>2900</v>
      </c>
      <c r="G145" s="2"/>
      <c r="I145" s="7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</row>
    <row r="146" spans="2:35" hidden="1" x14ac:dyDescent="0.2">
      <c r="B146" s="381" t="s">
        <v>499</v>
      </c>
      <c r="C146" s="8" t="s">
        <v>1085</v>
      </c>
      <c r="D146" s="162"/>
      <c r="E146" s="162"/>
      <c r="F146" s="394">
        <f t="shared" si="2"/>
        <v>0</v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</row>
    <row r="147" spans="2:35" hidden="1" x14ac:dyDescent="0.2">
      <c r="B147" s="381" t="s">
        <v>689</v>
      </c>
      <c r="C147" s="8" t="s">
        <v>808</v>
      </c>
      <c r="D147" s="162"/>
      <c r="E147" s="162"/>
      <c r="F147" s="394">
        <f t="shared" si="2"/>
        <v>0</v>
      </c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2:35" hidden="1" x14ac:dyDescent="0.2">
      <c r="B148" s="389" t="s">
        <v>689</v>
      </c>
      <c r="C148" s="15" t="s">
        <v>1121</v>
      </c>
      <c r="D148" s="162"/>
      <c r="E148" s="162"/>
      <c r="F148" s="394">
        <f t="shared" si="2"/>
        <v>0</v>
      </c>
      <c r="G148" s="2"/>
      <c r="H148" s="7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2:35" hidden="1" x14ac:dyDescent="0.2">
      <c r="B149" s="389" t="s">
        <v>500</v>
      </c>
      <c r="C149" s="15" t="s">
        <v>795</v>
      </c>
      <c r="D149" s="162"/>
      <c r="E149" s="162"/>
      <c r="F149" s="394">
        <f t="shared" si="2"/>
        <v>0</v>
      </c>
      <c r="G149" s="2"/>
      <c r="H149" s="7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2:35" hidden="1" x14ac:dyDescent="0.2">
      <c r="B150" s="389" t="s">
        <v>500</v>
      </c>
      <c r="C150" s="15" t="s">
        <v>810</v>
      </c>
      <c r="D150" s="162"/>
      <c r="E150" s="162"/>
      <c r="F150" s="394">
        <f t="shared" si="2"/>
        <v>0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2:35" hidden="1" x14ac:dyDescent="0.2">
      <c r="B151" s="389" t="s">
        <v>500</v>
      </c>
      <c r="C151" s="19" t="s">
        <v>765</v>
      </c>
      <c r="D151" s="162"/>
      <c r="E151" s="162"/>
      <c r="F151" s="394">
        <f t="shared" si="2"/>
        <v>0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</row>
    <row r="152" spans="2:35" hidden="1" x14ac:dyDescent="0.2">
      <c r="B152" s="389" t="s">
        <v>500</v>
      </c>
      <c r="C152" s="15" t="s">
        <v>797</v>
      </c>
      <c r="D152" s="162"/>
      <c r="E152" s="162"/>
      <c r="F152" s="394">
        <f t="shared" si="2"/>
        <v>0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</row>
    <row r="153" spans="2:35" hidden="1" x14ac:dyDescent="0.2">
      <c r="B153" s="389" t="s">
        <v>500</v>
      </c>
      <c r="C153" s="8" t="s">
        <v>779</v>
      </c>
      <c r="D153" s="162"/>
      <c r="E153" s="162"/>
      <c r="F153" s="394">
        <f t="shared" si="2"/>
        <v>0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</row>
    <row r="154" spans="2:35" hidden="1" x14ac:dyDescent="0.2">
      <c r="B154" s="389" t="s">
        <v>500</v>
      </c>
      <c r="C154" s="8" t="s">
        <v>778</v>
      </c>
      <c r="D154" s="162"/>
      <c r="E154" s="162"/>
      <c r="F154" s="394">
        <f t="shared" si="2"/>
        <v>0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</row>
    <row r="155" spans="2:35" hidden="1" x14ac:dyDescent="0.2">
      <c r="B155" s="389" t="s">
        <v>500</v>
      </c>
      <c r="C155" s="15" t="s">
        <v>780</v>
      </c>
      <c r="D155" s="162"/>
      <c r="E155" s="162"/>
      <c r="F155" s="394">
        <f t="shared" si="2"/>
        <v>0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</row>
    <row r="156" spans="2:35" hidden="1" x14ac:dyDescent="0.2">
      <c r="B156" s="389" t="s">
        <v>500</v>
      </c>
      <c r="C156" s="15" t="s">
        <v>701</v>
      </c>
      <c r="D156" s="162"/>
      <c r="E156" s="162"/>
      <c r="F156" s="394">
        <f t="shared" si="2"/>
        <v>0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</row>
    <row r="157" spans="2:35" ht="12" hidden="1" customHeight="1" x14ac:dyDescent="0.2">
      <c r="B157" s="389" t="s">
        <v>500</v>
      </c>
      <c r="C157" s="15" t="s">
        <v>682</v>
      </c>
      <c r="D157" s="13"/>
      <c r="E157" s="13"/>
      <c r="F157" s="394">
        <f t="shared" si="2"/>
        <v>0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</row>
    <row r="158" spans="2:35" ht="12" hidden="1" customHeight="1" x14ac:dyDescent="0.2">
      <c r="B158" s="389" t="s">
        <v>500</v>
      </c>
      <c r="C158" s="8" t="s">
        <v>554</v>
      </c>
      <c r="D158" s="13"/>
      <c r="E158" s="13"/>
      <c r="F158" s="394">
        <f t="shared" si="2"/>
        <v>0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</row>
    <row r="159" spans="2:35" ht="12" hidden="1" customHeight="1" x14ac:dyDescent="0.2">
      <c r="B159" s="389" t="s">
        <v>500</v>
      </c>
      <c r="C159" s="8" t="s">
        <v>570</v>
      </c>
      <c r="D159" s="13"/>
      <c r="E159" s="13"/>
      <c r="F159" s="394">
        <f t="shared" si="2"/>
        <v>0</v>
      </c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2:35" ht="12" hidden="1" customHeight="1" x14ac:dyDescent="0.2">
      <c r="B160" s="389" t="s">
        <v>500</v>
      </c>
      <c r="C160" s="8" t="s">
        <v>1083</v>
      </c>
      <c r="D160" s="13"/>
      <c r="E160" s="13"/>
      <c r="F160" s="394">
        <f t="shared" si="2"/>
        <v>0</v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  <row r="161" spans="2:35" x14ac:dyDescent="0.2">
      <c r="B161" s="381" t="s">
        <v>501</v>
      </c>
      <c r="C161" s="8" t="s">
        <v>766</v>
      </c>
      <c r="D161" s="13">
        <v>20000</v>
      </c>
      <c r="E161" s="13"/>
      <c r="F161" s="394">
        <f t="shared" si="2"/>
        <v>20000</v>
      </c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</row>
    <row r="162" spans="2:35" x14ac:dyDescent="0.2">
      <c r="B162" s="381" t="s">
        <v>501</v>
      </c>
      <c r="C162" s="15" t="s">
        <v>1131</v>
      </c>
      <c r="D162" s="13">
        <v>16333</v>
      </c>
      <c r="E162" s="13"/>
      <c r="F162" s="394">
        <f t="shared" si="2"/>
        <v>16333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</row>
    <row r="163" spans="2:35" x14ac:dyDescent="0.2">
      <c r="B163" s="381" t="s">
        <v>501</v>
      </c>
      <c r="C163" s="8" t="s">
        <v>1156</v>
      </c>
      <c r="D163" s="13">
        <v>-90</v>
      </c>
      <c r="E163" s="13"/>
      <c r="F163" s="394">
        <f t="shared" si="2"/>
        <v>-90</v>
      </c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</row>
    <row r="164" spans="2:35" x14ac:dyDescent="0.2">
      <c r="B164" s="381" t="s">
        <v>501</v>
      </c>
      <c r="C164" s="20" t="s">
        <v>1157</v>
      </c>
      <c r="D164" s="13">
        <v>170</v>
      </c>
      <c r="E164" s="13"/>
      <c r="F164" s="394">
        <f t="shared" si="2"/>
        <v>170</v>
      </c>
      <c r="G164" s="2"/>
      <c r="H164" s="7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</row>
    <row r="165" spans="2:35" ht="13.5" customHeight="1" x14ac:dyDescent="0.2">
      <c r="B165" s="381" t="s">
        <v>502</v>
      </c>
      <c r="C165" s="8" t="s">
        <v>709</v>
      </c>
      <c r="D165" s="13">
        <f>-16333-189-5071-6336-13724-8885-884+90-170-1260-9079-3653-6566-3891-18637</f>
        <v>-94588</v>
      </c>
      <c r="E165" s="13"/>
      <c r="F165" s="394">
        <f t="shared" si="2"/>
        <v>-94588</v>
      </c>
      <c r="G165" s="2"/>
      <c r="H165" s="7">
        <f>'2.működés'!H127</f>
        <v>-79268</v>
      </c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</row>
    <row r="166" spans="2:35" ht="13.5" customHeight="1" x14ac:dyDescent="0.2">
      <c r="B166" s="381" t="s">
        <v>502</v>
      </c>
      <c r="C166" s="8" t="s">
        <v>1168</v>
      </c>
      <c r="D166" s="13">
        <v>4459</v>
      </c>
      <c r="E166" s="13"/>
      <c r="F166" s="394">
        <f t="shared" si="2"/>
        <v>4459</v>
      </c>
      <c r="G166" s="2"/>
      <c r="H166" s="7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</row>
    <row r="167" spans="2:35" ht="13.5" customHeight="1" x14ac:dyDescent="0.2">
      <c r="B167" s="381" t="s">
        <v>502</v>
      </c>
      <c r="C167" s="8" t="s">
        <v>1167</v>
      </c>
      <c r="D167" s="13">
        <v>10861</v>
      </c>
      <c r="E167" s="13"/>
      <c r="F167" s="394">
        <f t="shared" si="2"/>
        <v>10861</v>
      </c>
      <c r="G167" s="2"/>
      <c r="H167" s="7">
        <f>F165+F166+F167</f>
        <v>-79268</v>
      </c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</row>
    <row r="168" spans="2:35" ht="13.5" customHeight="1" x14ac:dyDescent="0.2">
      <c r="B168" s="381" t="s">
        <v>502</v>
      </c>
      <c r="C168" s="8" t="s">
        <v>1166</v>
      </c>
      <c r="D168" s="13">
        <v>-609635</v>
      </c>
      <c r="E168" s="13"/>
      <c r="F168" s="394">
        <f t="shared" si="2"/>
        <v>-609635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</row>
    <row r="169" spans="2:35" ht="15" x14ac:dyDescent="0.25">
      <c r="B169" s="380" t="s">
        <v>196</v>
      </c>
      <c r="C169" s="22" t="s">
        <v>217</v>
      </c>
      <c r="D169" s="40">
        <f>SUM(D170:D188)+D191+D192</f>
        <v>664754</v>
      </c>
      <c r="E169" s="40">
        <f>SUM(E170:E188)+E191</f>
        <v>0</v>
      </c>
      <c r="F169" s="395">
        <f>SUM(F170:F188)+F191+F192</f>
        <v>664754</v>
      </c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</row>
    <row r="170" spans="2:35" s="302" customFormat="1" x14ac:dyDescent="0.2">
      <c r="B170" s="389" t="s">
        <v>241</v>
      </c>
      <c r="C170" s="8" t="s">
        <v>1172</v>
      </c>
      <c r="D170" s="13">
        <v>1260</v>
      </c>
      <c r="E170" s="162"/>
      <c r="F170" s="394">
        <f t="shared" ref="F170:F180" si="4">D170+E170</f>
        <v>1260</v>
      </c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</row>
    <row r="171" spans="2:35" s="48" customFormat="1" ht="13.5" customHeight="1" x14ac:dyDescent="0.2">
      <c r="B171" s="389" t="s">
        <v>241</v>
      </c>
      <c r="C171" s="8" t="s">
        <v>1178</v>
      </c>
      <c r="D171" s="13">
        <v>3653</v>
      </c>
      <c r="E171" s="13"/>
      <c r="F171" s="394">
        <f t="shared" si="4"/>
        <v>3653</v>
      </c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</row>
    <row r="172" spans="2:35" s="48" customFormat="1" x14ac:dyDescent="0.2">
      <c r="B172" s="389" t="s">
        <v>241</v>
      </c>
      <c r="C172" s="19" t="s">
        <v>1205</v>
      </c>
      <c r="D172" s="13">
        <v>18637</v>
      </c>
      <c r="E172" s="13"/>
      <c r="F172" s="394">
        <f t="shared" si="4"/>
        <v>18637</v>
      </c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</row>
    <row r="173" spans="2:35" s="48" customFormat="1" hidden="1" x14ac:dyDescent="0.2">
      <c r="B173" s="389" t="s">
        <v>241</v>
      </c>
      <c r="C173" s="8" t="s">
        <v>1124</v>
      </c>
      <c r="D173" s="13"/>
      <c r="E173" s="13"/>
      <c r="F173" s="394">
        <f t="shared" si="4"/>
        <v>0</v>
      </c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</row>
    <row r="174" spans="2:35" s="48" customFormat="1" hidden="1" x14ac:dyDescent="0.2">
      <c r="B174" s="389" t="s">
        <v>241</v>
      </c>
      <c r="C174" s="8" t="s">
        <v>1089</v>
      </c>
      <c r="D174" s="13"/>
      <c r="E174" s="13"/>
      <c r="F174" s="394">
        <f t="shared" si="4"/>
        <v>0</v>
      </c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</row>
    <row r="175" spans="2:35" s="48" customFormat="1" ht="13.5" hidden="1" customHeight="1" x14ac:dyDescent="0.2">
      <c r="B175" s="389" t="s">
        <v>241</v>
      </c>
      <c r="C175" s="8" t="s">
        <v>1090</v>
      </c>
      <c r="D175" s="13"/>
      <c r="E175" s="13"/>
      <c r="F175" s="394">
        <f t="shared" si="4"/>
        <v>0</v>
      </c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</row>
    <row r="176" spans="2:35" s="48" customFormat="1" x14ac:dyDescent="0.2">
      <c r="B176" s="389" t="s">
        <v>324</v>
      </c>
      <c r="C176" s="8" t="s">
        <v>1136</v>
      </c>
      <c r="D176" s="13">
        <v>368</v>
      </c>
      <c r="E176" s="13"/>
      <c r="F176" s="394">
        <f t="shared" si="4"/>
        <v>368</v>
      </c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</row>
    <row r="177" spans="2:35" s="48" customFormat="1" ht="15" customHeight="1" x14ac:dyDescent="0.2">
      <c r="B177" s="389" t="s">
        <v>324</v>
      </c>
      <c r="C177" s="651" t="s">
        <v>1159</v>
      </c>
      <c r="D177" s="13">
        <v>4890</v>
      </c>
      <c r="E177" s="13"/>
      <c r="F177" s="394">
        <f t="shared" si="4"/>
        <v>4890</v>
      </c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</row>
    <row r="178" spans="2:35" s="48" customFormat="1" ht="13.5" customHeight="1" x14ac:dyDescent="0.2">
      <c r="B178" s="389" t="s">
        <v>324</v>
      </c>
      <c r="C178" s="8" t="s">
        <v>1160</v>
      </c>
      <c r="D178" s="13">
        <v>-222918</v>
      </c>
      <c r="E178" s="13"/>
      <c r="F178" s="394">
        <f t="shared" si="4"/>
        <v>-222918</v>
      </c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</row>
    <row r="179" spans="2:35" s="48" customFormat="1" ht="13.5" customHeight="1" x14ac:dyDescent="0.2">
      <c r="B179" s="389" t="s">
        <v>324</v>
      </c>
      <c r="C179" s="8" t="s">
        <v>1173</v>
      </c>
      <c r="D179" s="13">
        <v>9079</v>
      </c>
      <c r="E179" s="13"/>
      <c r="F179" s="394">
        <f t="shared" si="4"/>
        <v>9079</v>
      </c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</row>
    <row r="180" spans="2:35" s="48" customFormat="1" ht="13.5" hidden="1" customHeight="1" x14ac:dyDescent="0.2">
      <c r="B180" s="389" t="s">
        <v>324</v>
      </c>
      <c r="C180" s="8" t="s">
        <v>764</v>
      </c>
      <c r="D180" s="13"/>
      <c r="E180" s="13"/>
      <c r="F180" s="394">
        <f t="shared" si="4"/>
        <v>0</v>
      </c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</row>
    <row r="181" spans="2:35" s="48" customFormat="1" ht="13.5" hidden="1" customHeight="1" x14ac:dyDescent="0.2">
      <c r="B181" s="389" t="s">
        <v>324</v>
      </c>
      <c r="C181" s="8" t="s">
        <v>708</v>
      </c>
      <c r="D181" s="13"/>
      <c r="E181" s="13"/>
      <c r="F181" s="394">
        <f t="shared" ref="F181:F194" si="5">D181+E181</f>
        <v>0</v>
      </c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</row>
    <row r="182" spans="2:35" s="48" customFormat="1" ht="13.5" hidden="1" customHeight="1" x14ac:dyDescent="0.2">
      <c r="B182" s="389"/>
      <c r="C182" s="8"/>
      <c r="D182" s="13"/>
      <c r="E182" s="13"/>
      <c r="F182" s="394">
        <f t="shared" si="5"/>
        <v>0</v>
      </c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</row>
    <row r="183" spans="2:35" s="48" customFormat="1" hidden="1" x14ac:dyDescent="0.2">
      <c r="B183" s="389"/>
      <c r="C183" s="19" t="s">
        <v>555</v>
      </c>
      <c r="D183" s="13"/>
      <c r="E183" s="13"/>
      <c r="F183" s="394">
        <f t="shared" si="5"/>
        <v>0</v>
      </c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</row>
    <row r="184" spans="2:35" s="48" customFormat="1" ht="13.5" hidden="1" customHeight="1" x14ac:dyDescent="0.2">
      <c r="B184" s="389"/>
      <c r="C184" s="8"/>
      <c r="D184" s="13"/>
      <c r="E184" s="13"/>
      <c r="F184" s="394">
        <f t="shared" si="5"/>
        <v>0</v>
      </c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</row>
    <row r="185" spans="2:35" s="48" customFormat="1" ht="13.5" hidden="1" customHeight="1" x14ac:dyDescent="0.2">
      <c r="B185" s="389" t="s">
        <v>505</v>
      </c>
      <c r="C185" s="8" t="s">
        <v>507</v>
      </c>
      <c r="D185" s="13"/>
      <c r="E185" s="13"/>
      <c r="F185" s="394">
        <f t="shared" si="5"/>
        <v>0</v>
      </c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</row>
    <row r="186" spans="2:35" s="48" customFormat="1" ht="13.5" hidden="1" customHeight="1" x14ac:dyDescent="0.2">
      <c r="B186" s="389" t="s">
        <v>505</v>
      </c>
      <c r="C186" s="8" t="s">
        <v>508</v>
      </c>
      <c r="D186" s="13"/>
      <c r="E186" s="13"/>
      <c r="F186" s="394">
        <f t="shared" si="5"/>
        <v>0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</row>
    <row r="187" spans="2:35" s="48" customFormat="1" ht="13.5" hidden="1" customHeight="1" x14ac:dyDescent="0.2">
      <c r="B187" s="389" t="s">
        <v>505</v>
      </c>
      <c r="C187" s="8" t="s">
        <v>509</v>
      </c>
      <c r="D187" s="13"/>
      <c r="E187" s="13"/>
      <c r="F187" s="394">
        <f t="shared" si="5"/>
        <v>0</v>
      </c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</row>
    <row r="188" spans="2:35" s="48" customFormat="1" ht="13.5" customHeight="1" x14ac:dyDescent="0.25">
      <c r="B188" s="381" t="s">
        <v>323</v>
      </c>
      <c r="C188" s="390" t="s">
        <v>694</v>
      </c>
      <c r="D188" s="156">
        <f>SUM(D189:D190)</f>
        <v>849785</v>
      </c>
      <c r="E188" s="156">
        <f>SUM(E189:E190)</f>
        <v>0</v>
      </c>
      <c r="F188" s="398">
        <f>SUM(F189:F190)</f>
        <v>849785</v>
      </c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</row>
    <row r="189" spans="2:35" s="48" customFormat="1" ht="13.5" customHeight="1" x14ac:dyDescent="0.2">
      <c r="B189" s="381" t="s">
        <v>696</v>
      </c>
      <c r="C189" s="19" t="s">
        <v>1199</v>
      </c>
      <c r="D189" s="13">
        <v>222918</v>
      </c>
      <c r="E189" s="13"/>
      <c r="F189" s="394">
        <f t="shared" si="5"/>
        <v>222918</v>
      </c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</row>
    <row r="190" spans="2:35" s="48" customFormat="1" ht="13.5" customHeight="1" x14ac:dyDescent="0.2">
      <c r="B190" s="381" t="s">
        <v>696</v>
      </c>
      <c r="C190" s="19" t="s">
        <v>1200</v>
      </c>
      <c r="D190" s="13">
        <v>626867</v>
      </c>
      <c r="E190" s="13"/>
      <c r="F190" s="394">
        <f t="shared" si="5"/>
        <v>626867</v>
      </c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</row>
    <row r="191" spans="2:35" s="48" customFormat="1" ht="13.5" hidden="1" customHeight="1" x14ac:dyDescent="0.2">
      <c r="B191" s="381"/>
      <c r="C191" s="8" t="s">
        <v>793</v>
      </c>
      <c r="D191" s="13"/>
      <c r="E191" s="13"/>
      <c r="F191" s="394">
        <f t="shared" si="5"/>
        <v>0</v>
      </c>
      <c r="G191" s="2"/>
      <c r="H191" s="7">
        <f>'3.felh'!H92</f>
        <v>0</v>
      </c>
      <c r="I191" s="2"/>
      <c r="J191" s="7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</row>
    <row r="192" spans="2:35" s="48" customFormat="1" ht="13.5" hidden="1" customHeight="1" x14ac:dyDescent="0.2">
      <c r="B192" s="381"/>
      <c r="C192" s="8" t="s">
        <v>503</v>
      </c>
      <c r="D192" s="13"/>
      <c r="E192" s="13"/>
      <c r="F192" s="394">
        <f t="shared" si="5"/>
        <v>0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</row>
    <row r="193" spans="2:35" ht="16.5" customHeight="1" thickBot="1" x14ac:dyDescent="0.3">
      <c r="B193" s="380" t="s">
        <v>197</v>
      </c>
      <c r="C193" s="182" t="s">
        <v>314</v>
      </c>
      <c r="D193" s="41">
        <f>SUM(D194:D194)</f>
        <v>0</v>
      </c>
      <c r="E193" s="41">
        <f>SUM(E194:E194)</f>
        <v>0</v>
      </c>
      <c r="F193" s="399">
        <f>SUM(F194:F194)</f>
        <v>0</v>
      </c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</row>
    <row r="194" spans="2:35" s="48" customFormat="1" ht="13.5" hidden="1" customHeight="1" thickBot="1" x14ac:dyDescent="0.25">
      <c r="B194" s="386" t="s">
        <v>354</v>
      </c>
      <c r="C194" s="8" t="s">
        <v>358</v>
      </c>
      <c r="D194" s="12"/>
      <c r="E194" s="12"/>
      <c r="F194" s="394">
        <f t="shared" si="5"/>
        <v>0</v>
      </c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</row>
    <row r="195" spans="2:35" ht="20.25" thickBot="1" x14ac:dyDescent="0.4">
      <c r="B195" s="387"/>
      <c r="C195" s="391" t="s">
        <v>504</v>
      </c>
      <c r="D195" s="388">
        <f>SUM(D73+D193)</f>
        <v>14735</v>
      </c>
      <c r="E195" s="388">
        <f>SUM(E73+E193)</f>
        <v>1833</v>
      </c>
      <c r="F195" s="46">
        <f>SUM(F73+F193)</f>
        <v>16568</v>
      </c>
      <c r="G195" s="7">
        <f>F72-F195</f>
        <v>0</v>
      </c>
      <c r="H195" s="7">
        <f>'1.Bev-kiad.'!H89</f>
        <v>0</v>
      </c>
      <c r="I195" s="7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</row>
    <row r="196" spans="2:35" ht="15.75" hidden="1" customHeight="1" x14ac:dyDescent="0.2">
      <c r="F196" s="7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</row>
    <row r="197" spans="2:35" ht="15.75" hidden="1" customHeight="1" x14ac:dyDescent="0.2">
      <c r="D197" s="74">
        <f>D72-D195</f>
        <v>0</v>
      </c>
      <c r="E197" s="74">
        <f>E72-E195</f>
        <v>0</v>
      </c>
      <c r="F197" s="74">
        <f>F72-F195</f>
        <v>0</v>
      </c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</row>
    <row r="198" spans="2:35" ht="15.75" hidden="1" customHeight="1" x14ac:dyDescent="0.2">
      <c r="C198" t="s">
        <v>576</v>
      </c>
      <c r="E198" s="74">
        <f>SUM(E195-E72)</f>
        <v>0</v>
      </c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</row>
    <row r="199" spans="2:35" ht="15.75" customHeight="1" x14ac:dyDescent="0.2"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</row>
    <row r="200" spans="2:35" ht="15.75" customHeight="1" x14ac:dyDescent="0.2">
      <c r="B20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</row>
    <row r="201" spans="2:35" ht="15.75" customHeight="1" x14ac:dyDescent="0.2">
      <c r="B201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</row>
    <row r="202" spans="2:35" ht="15.75" customHeight="1" x14ac:dyDescent="0.2">
      <c r="B20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</row>
    <row r="203" spans="2:35" ht="15.75" customHeight="1" x14ac:dyDescent="0.2">
      <c r="B20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</row>
    <row r="204" spans="2:35" ht="15.75" customHeight="1" x14ac:dyDescent="0.2">
      <c r="B20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</row>
    <row r="205" spans="2:35" ht="15.75" customHeight="1" x14ac:dyDescent="0.2">
      <c r="B205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</row>
    <row r="206" spans="2:35" ht="15.75" customHeight="1" x14ac:dyDescent="0.2">
      <c r="B206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</row>
    <row r="207" spans="2:35" ht="15.75" customHeight="1" x14ac:dyDescent="0.2">
      <c r="B20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</row>
    <row r="208" spans="2:35" ht="15.75" customHeight="1" x14ac:dyDescent="0.2">
      <c r="B208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</row>
    <row r="209" spans="2:35" ht="15.75" customHeight="1" x14ac:dyDescent="0.2">
      <c r="B209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</row>
    <row r="210" spans="2:35" ht="15.75" customHeight="1" x14ac:dyDescent="0.2">
      <c r="B210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</row>
    <row r="211" spans="2:35" ht="15.75" customHeight="1" x14ac:dyDescent="0.2">
      <c r="B21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</row>
    <row r="212" spans="2:35" ht="15.75" customHeight="1" x14ac:dyDescent="0.2">
      <c r="B21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</row>
    <row r="213" spans="2:35" ht="15.75" customHeight="1" x14ac:dyDescent="0.2">
      <c r="B21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</row>
    <row r="214" spans="2:35" ht="15.75" customHeight="1" x14ac:dyDescent="0.2">
      <c r="B21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</row>
    <row r="215" spans="2:35" ht="15.75" customHeight="1" x14ac:dyDescent="0.2">
      <c r="B215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</row>
    <row r="216" spans="2:35" ht="15.75" customHeight="1" x14ac:dyDescent="0.2">
      <c r="B21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</row>
    <row r="217" spans="2:35" ht="15.75" customHeight="1" x14ac:dyDescent="0.2">
      <c r="B21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</row>
    <row r="218" spans="2:35" ht="15.75" customHeight="1" x14ac:dyDescent="0.2">
      <c r="B218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</row>
    <row r="219" spans="2:35" ht="15.75" customHeight="1" x14ac:dyDescent="0.2">
      <c r="B219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</row>
    <row r="220" spans="2:35" ht="15.75" customHeight="1" x14ac:dyDescent="0.2">
      <c r="B220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</row>
    <row r="221" spans="2:35" ht="15.75" customHeight="1" x14ac:dyDescent="0.2">
      <c r="B22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</row>
    <row r="222" spans="2:35" ht="15.75" customHeight="1" x14ac:dyDescent="0.2">
      <c r="B22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</row>
    <row r="223" spans="2:35" ht="15.75" customHeight="1" x14ac:dyDescent="0.2">
      <c r="B22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</row>
    <row r="224" spans="2:35" ht="15.75" customHeight="1" x14ac:dyDescent="0.2">
      <c r="B22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</row>
    <row r="225" spans="2:35" ht="15.75" customHeight="1" x14ac:dyDescent="0.2">
      <c r="B225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</row>
    <row r="226" spans="2:35" ht="15.75" customHeight="1" x14ac:dyDescent="0.2">
      <c r="B22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</row>
    <row r="227" spans="2:35" ht="15.75" customHeight="1" x14ac:dyDescent="0.2">
      <c r="B22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</row>
    <row r="228" spans="2:35" ht="15.75" customHeight="1" x14ac:dyDescent="0.2">
      <c r="B228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</row>
    <row r="229" spans="2:35" ht="15.75" customHeight="1" x14ac:dyDescent="0.2">
      <c r="B229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</row>
    <row r="230" spans="2:35" ht="15.75" customHeight="1" x14ac:dyDescent="0.2">
      <c r="B230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</row>
    <row r="231" spans="2:35" ht="15.75" customHeight="1" x14ac:dyDescent="0.2">
      <c r="B23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</row>
    <row r="232" spans="2:35" ht="15.75" customHeight="1" x14ac:dyDescent="0.2">
      <c r="B23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</row>
    <row r="233" spans="2:35" ht="15.75" customHeight="1" x14ac:dyDescent="0.2">
      <c r="B23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</row>
    <row r="234" spans="2:35" ht="15.75" customHeight="1" x14ac:dyDescent="0.2">
      <c r="B23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</row>
    <row r="235" spans="2:35" ht="15.75" customHeight="1" x14ac:dyDescent="0.2">
      <c r="B235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</row>
    <row r="236" spans="2:35" ht="15.75" customHeight="1" x14ac:dyDescent="0.2">
      <c r="B23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</row>
    <row r="237" spans="2:35" ht="15.75" customHeight="1" x14ac:dyDescent="0.2">
      <c r="B23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</row>
    <row r="238" spans="2:35" ht="15.75" customHeight="1" x14ac:dyDescent="0.2">
      <c r="B238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</row>
    <row r="239" spans="2:35" ht="15.75" customHeight="1" x14ac:dyDescent="0.2">
      <c r="B239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</row>
    <row r="240" spans="2:35" ht="15.75" customHeight="1" x14ac:dyDescent="0.2">
      <c r="B240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</row>
    <row r="241" spans="2:35" ht="15.75" customHeight="1" x14ac:dyDescent="0.2">
      <c r="B24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</row>
    <row r="242" spans="2:35" ht="15.75" customHeight="1" x14ac:dyDescent="0.2">
      <c r="B24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</row>
    <row r="243" spans="2:35" ht="15.75" customHeight="1" x14ac:dyDescent="0.2">
      <c r="B24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</row>
    <row r="244" spans="2:35" ht="15.75" customHeight="1" x14ac:dyDescent="0.2">
      <c r="B24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</row>
    <row r="245" spans="2:35" ht="15.75" customHeight="1" x14ac:dyDescent="0.2">
      <c r="B245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</row>
    <row r="246" spans="2:35" ht="15.75" customHeight="1" x14ac:dyDescent="0.2">
      <c r="B24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</row>
    <row r="247" spans="2:35" ht="15.75" customHeight="1" x14ac:dyDescent="0.2">
      <c r="B24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</row>
    <row r="248" spans="2:35" ht="15.75" customHeight="1" x14ac:dyDescent="0.2">
      <c r="B248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</row>
    <row r="249" spans="2:35" ht="15.75" customHeight="1" x14ac:dyDescent="0.2">
      <c r="B249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</row>
    <row r="250" spans="2:35" ht="15.75" customHeight="1" x14ac:dyDescent="0.2">
      <c r="B250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</row>
    <row r="251" spans="2:35" ht="15.75" customHeight="1" x14ac:dyDescent="0.2">
      <c r="B25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</row>
    <row r="252" spans="2:35" ht="15.75" customHeight="1" x14ac:dyDescent="0.2">
      <c r="B25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</row>
    <row r="253" spans="2:35" ht="15.75" customHeight="1" x14ac:dyDescent="0.2">
      <c r="B25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</row>
    <row r="254" spans="2:35" ht="15.75" customHeight="1" x14ac:dyDescent="0.2">
      <c r="B25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</row>
    <row r="255" spans="2:35" ht="15.75" customHeight="1" x14ac:dyDescent="0.2">
      <c r="B255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</row>
    <row r="256" spans="2:35" ht="15.75" customHeight="1" x14ac:dyDescent="0.2">
      <c r="B25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</row>
    <row r="257" spans="2:35" ht="15.75" customHeight="1" x14ac:dyDescent="0.2">
      <c r="B25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</row>
    <row r="258" spans="2:35" ht="15.75" customHeight="1" x14ac:dyDescent="0.2">
      <c r="B258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</row>
    <row r="259" spans="2:35" ht="15.75" customHeight="1" x14ac:dyDescent="0.2">
      <c r="B259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</row>
    <row r="260" spans="2:35" ht="15.75" customHeight="1" x14ac:dyDescent="0.2">
      <c r="B260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</row>
    <row r="261" spans="2:35" ht="15.75" customHeight="1" x14ac:dyDescent="0.2">
      <c r="B26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</row>
    <row r="262" spans="2:35" ht="15.75" customHeight="1" x14ac:dyDescent="0.2">
      <c r="B26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</row>
    <row r="263" spans="2:35" ht="15.75" customHeight="1" x14ac:dyDescent="0.2">
      <c r="B26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</row>
    <row r="264" spans="2:35" ht="15.75" customHeight="1" x14ac:dyDescent="0.2">
      <c r="B26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</row>
    <row r="265" spans="2:35" ht="15.75" customHeight="1" x14ac:dyDescent="0.2">
      <c r="B265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</row>
    <row r="266" spans="2:35" ht="15.75" customHeight="1" x14ac:dyDescent="0.2">
      <c r="B26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</row>
    <row r="267" spans="2:35" ht="15.75" customHeight="1" x14ac:dyDescent="0.2">
      <c r="B26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</row>
    <row r="268" spans="2:35" ht="15.75" customHeight="1" x14ac:dyDescent="0.2">
      <c r="B268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</row>
    <row r="269" spans="2:35" ht="15.75" customHeight="1" x14ac:dyDescent="0.2">
      <c r="B269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</row>
    <row r="270" spans="2:35" ht="15.75" customHeight="1" x14ac:dyDescent="0.2">
      <c r="B270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</row>
    <row r="271" spans="2:35" ht="15.75" customHeight="1" x14ac:dyDescent="0.2">
      <c r="B27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</row>
    <row r="272" spans="2:35" ht="15.75" customHeight="1" x14ac:dyDescent="0.2">
      <c r="B27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</row>
    <row r="273" spans="2:35" ht="15.75" customHeight="1" x14ac:dyDescent="0.2">
      <c r="B27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</row>
    <row r="274" spans="2:35" ht="15.75" customHeight="1" x14ac:dyDescent="0.2">
      <c r="B27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</row>
    <row r="275" spans="2:35" ht="15.75" customHeight="1" x14ac:dyDescent="0.2">
      <c r="B275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</row>
    <row r="276" spans="2:35" ht="15.75" customHeight="1" x14ac:dyDescent="0.2">
      <c r="B27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</row>
    <row r="277" spans="2:35" ht="15.75" customHeight="1" x14ac:dyDescent="0.2">
      <c r="B277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</row>
    <row r="278" spans="2:35" ht="15.75" customHeight="1" x14ac:dyDescent="0.2">
      <c r="B278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</row>
    <row r="279" spans="2:35" ht="15.75" customHeight="1" x14ac:dyDescent="0.2">
      <c r="B279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</row>
    <row r="280" spans="2:35" ht="15.75" customHeight="1" x14ac:dyDescent="0.2">
      <c r="B280"/>
      <c r="C280" s="2"/>
      <c r="D280" s="2"/>
      <c r="E280" s="2"/>
      <c r="F280" s="27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</row>
    <row r="281" spans="2:35" ht="15.75" customHeight="1" x14ac:dyDescent="0.2">
      <c r="B281"/>
      <c r="C281" s="2"/>
      <c r="D281" s="2"/>
      <c r="E281" s="2"/>
      <c r="F281" s="27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</row>
    <row r="282" spans="2:35" ht="15.75" customHeight="1" x14ac:dyDescent="0.2">
      <c r="B282"/>
      <c r="C282" s="2"/>
      <c r="D282" s="2"/>
      <c r="E282" s="2"/>
      <c r="F282" s="27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</row>
    <row r="283" spans="2:35" ht="15.75" customHeight="1" x14ac:dyDescent="0.2">
      <c r="B283"/>
      <c r="C283" s="2"/>
      <c r="D283" s="2"/>
      <c r="E283" s="2"/>
      <c r="F283" s="27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</row>
    <row r="284" spans="2:35" ht="15.75" customHeight="1" x14ac:dyDescent="0.2">
      <c r="B284"/>
      <c r="C284" s="2"/>
      <c r="D284" s="2"/>
      <c r="E284" s="2"/>
      <c r="F284" s="27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</row>
    <row r="285" spans="2:35" ht="15.75" customHeight="1" x14ac:dyDescent="0.2">
      <c r="B285"/>
      <c r="C285" s="2"/>
      <c r="D285" s="2"/>
      <c r="E285" s="2"/>
      <c r="F285" s="27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</row>
    <row r="286" spans="2:35" ht="15.75" customHeight="1" x14ac:dyDescent="0.2">
      <c r="B286"/>
      <c r="C286" s="2"/>
      <c r="D286" s="2"/>
      <c r="E286" s="2"/>
      <c r="F286" s="27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</row>
    <row r="287" spans="2:35" ht="15.75" customHeight="1" x14ac:dyDescent="0.2">
      <c r="B287"/>
      <c r="C287" s="2"/>
      <c r="D287" s="2"/>
      <c r="E287" s="2"/>
      <c r="F287" s="27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</row>
    <row r="288" spans="2:35" ht="15.75" customHeight="1" x14ac:dyDescent="0.2">
      <c r="B288"/>
      <c r="C288" s="2"/>
      <c r="D288" s="2"/>
      <c r="E288" s="2"/>
      <c r="F288" s="27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</row>
    <row r="289" spans="2:35" ht="15.75" customHeight="1" x14ac:dyDescent="0.2">
      <c r="B289"/>
      <c r="C289" s="2"/>
      <c r="D289" s="2"/>
      <c r="E289" s="2"/>
      <c r="F289" s="27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</row>
    <row r="290" spans="2:35" ht="15.75" customHeight="1" x14ac:dyDescent="0.2">
      <c r="B290"/>
      <c r="C290" s="2"/>
      <c r="D290" s="2"/>
      <c r="E290" s="2"/>
      <c r="F290" s="27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</row>
    <row r="291" spans="2:35" ht="15.75" customHeight="1" x14ac:dyDescent="0.2">
      <c r="B291"/>
      <c r="C291" s="2"/>
      <c r="D291" s="2"/>
      <c r="E291" s="2"/>
      <c r="F291" s="27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</row>
    <row r="292" spans="2:35" ht="15.75" customHeight="1" x14ac:dyDescent="0.2">
      <c r="B292"/>
      <c r="C292" s="2"/>
      <c r="D292" s="2"/>
      <c r="E292" s="2"/>
      <c r="F292" s="27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</row>
    <row r="293" spans="2:35" ht="15.75" customHeight="1" x14ac:dyDescent="0.2">
      <c r="B293"/>
      <c r="C293" s="2"/>
      <c r="D293" s="2"/>
      <c r="E293" s="2"/>
      <c r="F293" s="27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</row>
    <row r="294" spans="2:35" ht="15.75" customHeight="1" x14ac:dyDescent="0.2">
      <c r="B294"/>
      <c r="C294" s="2"/>
      <c r="D294" s="2"/>
      <c r="E294" s="2"/>
      <c r="F294" s="27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</row>
    <row r="295" spans="2:35" ht="15.75" customHeight="1" x14ac:dyDescent="0.2">
      <c r="B295"/>
      <c r="C295" s="2"/>
      <c r="D295" s="2"/>
      <c r="E295" s="2"/>
      <c r="F295" s="27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</row>
    <row r="296" spans="2:35" ht="15.75" customHeight="1" x14ac:dyDescent="0.2">
      <c r="B296"/>
      <c r="C296" s="2"/>
      <c r="D296" s="2"/>
      <c r="E296" s="2"/>
      <c r="F296" s="27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</row>
    <row r="297" spans="2:35" ht="15.75" customHeight="1" x14ac:dyDescent="0.2">
      <c r="B297"/>
      <c r="C297" s="2"/>
      <c r="D297" s="2"/>
      <c r="E297" s="2"/>
      <c r="F297" s="27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</row>
    <row r="298" spans="2:35" ht="15.75" customHeight="1" x14ac:dyDescent="0.2">
      <c r="B298"/>
      <c r="C298" s="2"/>
      <c r="D298" s="2"/>
      <c r="E298" s="2"/>
      <c r="F298" s="27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</row>
    <row r="299" spans="2:35" ht="15.75" customHeight="1" x14ac:dyDescent="0.2">
      <c r="B299"/>
      <c r="C299" s="2"/>
      <c r="D299" s="2"/>
      <c r="E299" s="2"/>
      <c r="F299" s="27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</row>
    <row r="300" spans="2:35" ht="15.75" customHeight="1" x14ac:dyDescent="0.2">
      <c r="B300"/>
      <c r="C300" s="2"/>
      <c r="D300" s="2"/>
      <c r="E300" s="2"/>
      <c r="F300" s="27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</row>
    <row r="301" spans="2:35" ht="15.75" customHeight="1" x14ac:dyDescent="0.2">
      <c r="B301"/>
      <c r="C301" s="2"/>
      <c r="D301" s="2"/>
      <c r="E301" s="2"/>
      <c r="F301" s="27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</row>
    <row r="302" spans="2:35" ht="15.75" customHeight="1" x14ac:dyDescent="0.2">
      <c r="B302"/>
      <c r="C302" s="2"/>
      <c r="D302" s="2"/>
      <c r="E302" s="2"/>
      <c r="F302" s="27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</row>
    <row r="303" spans="2:35" ht="15.75" customHeight="1" x14ac:dyDescent="0.2">
      <c r="B303"/>
      <c r="C303" s="2"/>
      <c r="D303" s="2"/>
      <c r="E303" s="2"/>
      <c r="F303" s="27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</row>
    <row r="304" spans="2:35" ht="15.75" customHeight="1" x14ac:dyDescent="0.2">
      <c r="B304"/>
      <c r="C304" s="2"/>
      <c r="D304" s="2"/>
      <c r="E304" s="2"/>
      <c r="F304" s="27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</row>
    <row r="305" spans="2:35" ht="15.75" customHeight="1" x14ac:dyDescent="0.2">
      <c r="B305"/>
      <c r="C305" s="2"/>
      <c r="D305" s="2"/>
      <c r="E305" s="2"/>
      <c r="F305" s="27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</row>
    <row r="306" spans="2:35" ht="15.75" customHeight="1" x14ac:dyDescent="0.2">
      <c r="B306"/>
      <c r="C306" s="2"/>
      <c r="D306" s="2"/>
      <c r="E306" s="2"/>
      <c r="F306" s="27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</row>
    <row r="307" spans="2:35" ht="15.75" customHeight="1" x14ac:dyDescent="0.2">
      <c r="B307"/>
      <c r="C307" s="2"/>
      <c r="D307" s="2"/>
      <c r="E307" s="2"/>
      <c r="F307" s="27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</row>
    <row r="308" spans="2:35" ht="15.75" customHeight="1" x14ac:dyDescent="0.2">
      <c r="B308"/>
      <c r="C308" s="2"/>
      <c r="D308" s="2"/>
      <c r="E308" s="2"/>
      <c r="F308" s="27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</row>
    <row r="309" spans="2:35" ht="15.75" customHeight="1" x14ac:dyDescent="0.2">
      <c r="B309"/>
      <c r="C309" s="2"/>
      <c r="D309" s="2"/>
      <c r="E309" s="2"/>
      <c r="F309" s="27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</row>
    <row r="310" spans="2:35" ht="15.75" customHeight="1" x14ac:dyDescent="0.2">
      <c r="B310"/>
      <c r="C310" s="2"/>
      <c r="D310" s="2"/>
      <c r="E310" s="2"/>
      <c r="F310" s="27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</row>
    <row r="311" spans="2:35" ht="15.75" customHeight="1" x14ac:dyDescent="0.2">
      <c r="B311"/>
      <c r="C311" s="2"/>
      <c r="D311" s="2"/>
      <c r="E311" s="2"/>
      <c r="F311" s="27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</row>
    <row r="312" spans="2:35" ht="15.75" customHeight="1" x14ac:dyDescent="0.2">
      <c r="B312"/>
      <c r="C312" s="2"/>
      <c r="D312" s="2"/>
      <c r="E312" s="2"/>
      <c r="F312" s="27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</row>
    <row r="313" spans="2:35" ht="15.75" customHeight="1" x14ac:dyDescent="0.2">
      <c r="B313"/>
      <c r="C313" s="2"/>
      <c r="D313" s="2"/>
      <c r="E313" s="2"/>
      <c r="F313" s="27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</row>
    <row r="314" spans="2:35" ht="15.75" customHeight="1" x14ac:dyDescent="0.2">
      <c r="B314"/>
      <c r="C314" s="2"/>
      <c r="D314" s="2"/>
      <c r="E314" s="2"/>
      <c r="F314" s="27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</row>
    <row r="315" spans="2:35" ht="15.75" customHeight="1" x14ac:dyDescent="0.2">
      <c r="B315"/>
      <c r="C315" s="2"/>
      <c r="D315" s="2"/>
      <c r="E315" s="2"/>
      <c r="F315" s="27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</row>
    <row r="316" spans="2:35" ht="15.75" customHeight="1" x14ac:dyDescent="0.2">
      <c r="B316"/>
      <c r="C316" s="2"/>
      <c r="D316" s="2"/>
      <c r="E316" s="2"/>
      <c r="F316" s="27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</row>
    <row r="317" spans="2:35" ht="15.75" customHeight="1" x14ac:dyDescent="0.2">
      <c r="B317"/>
      <c r="C317" s="2"/>
      <c r="D317" s="2"/>
      <c r="E317" s="2"/>
      <c r="F317" s="27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</row>
    <row r="318" spans="2:35" ht="15.75" customHeight="1" x14ac:dyDescent="0.2">
      <c r="B318"/>
      <c r="C318" s="2"/>
      <c r="D318" s="2"/>
      <c r="E318" s="2"/>
      <c r="F318" s="27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</row>
    <row r="319" spans="2:35" ht="15.75" customHeight="1" x14ac:dyDescent="0.2">
      <c r="B319"/>
      <c r="C319" s="2"/>
      <c r="D319" s="2"/>
      <c r="E319" s="2"/>
      <c r="F319" s="27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</row>
    <row r="320" spans="2:35" ht="15.75" customHeight="1" x14ac:dyDescent="0.2">
      <c r="B320"/>
      <c r="C320" s="2"/>
      <c r="D320" s="2"/>
      <c r="E320" s="2"/>
      <c r="F320" s="27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</row>
    <row r="321" spans="2:35" ht="15.75" customHeight="1" x14ac:dyDescent="0.2">
      <c r="B321"/>
      <c r="C321" s="2"/>
      <c r="D321" s="2"/>
      <c r="E321" s="2"/>
      <c r="F321" s="27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</row>
    <row r="322" spans="2:35" ht="15.75" customHeight="1" x14ac:dyDescent="0.2">
      <c r="B322"/>
      <c r="C322" s="2"/>
      <c r="D322" s="2"/>
      <c r="E322" s="2"/>
      <c r="F322" s="27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</row>
    <row r="323" spans="2:35" ht="15.75" customHeight="1" x14ac:dyDescent="0.2">
      <c r="B323"/>
      <c r="C323" s="2"/>
      <c r="D323" s="2"/>
      <c r="E323" s="2"/>
      <c r="F323" s="27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</row>
    <row r="324" spans="2:35" ht="15.75" customHeight="1" x14ac:dyDescent="0.2">
      <c r="B324"/>
      <c r="C324" s="2"/>
      <c r="D324" s="2"/>
      <c r="E324" s="2"/>
      <c r="F324" s="27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</row>
    <row r="325" spans="2:35" ht="15.75" customHeight="1" x14ac:dyDescent="0.2">
      <c r="B325"/>
      <c r="C325" s="2"/>
      <c r="D325" s="2"/>
      <c r="E325" s="2"/>
      <c r="F325" s="27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</row>
    <row r="326" spans="2:35" ht="15.75" customHeight="1" x14ac:dyDescent="0.2">
      <c r="B326"/>
      <c r="C326" s="2"/>
      <c r="D326" s="2"/>
      <c r="E326" s="2"/>
      <c r="F326" s="27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</row>
    <row r="327" spans="2:35" ht="15.75" customHeight="1" x14ac:dyDescent="0.2">
      <c r="B327"/>
      <c r="C327" s="2"/>
      <c r="D327" s="2"/>
      <c r="E327" s="2"/>
      <c r="F327" s="27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</row>
    <row r="328" spans="2:35" ht="15.75" customHeight="1" x14ac:dyDescent="0.2">
      <c r="B328"/>
      <c r="C328" s="2"/>
      <c r="D328" s="2"/>
      <c r="E328" s="2"/>
      <c r="F328" s="27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</row>
    <row r="329" spans="2:35" ht="15.75" customHeight="1" x14ac:dyDescent="0.2">
      <c r="B329"/>
      <c r="C329" s="2"/>
      <c r="D329" s="2"/>
      <c r="E329" s="2"/>
      <c r="F329" s="27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</row>
    <row r="330" spans="2:35" ht="15.75" customHeight="1" x14ac:dyDescent="0.2">
      <c r="B330"/>
      <c r="C330" s="2"/>
      <c r="D330" s="2"/>
      <c r="E330" s="2"/>
      <c r="F330" s="27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</row>
    <row r="331" spans="2:35" ht="15.75" customHeight="1" x14ac:dyDescent="0.2">
      <c r="B331"/>
      <c r="C331" s="2"/>
      <c r="D331" s="2"/>
      <c r="E331" s="2"/>
      <c r="F331" s="27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</row>
    <row r="332" spans="2:35" ht="15.75" customHeight="1" x14ac:dyDescent="0.2">
      <c r="B332"/>
      <c r="C332" s="2"/>
      <c r="D332" s="2"/>
      <c r="E332" s="2"/>
      <c r="F332" s="27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</row>
    <row r="333" spans="2:35" ht="15.75" customHeight="1" x14ac:dyDescent="0.2">
      <c r="B333"/>
      <c r="C333" s="2"/>
      <c r="D333" s="2"/>
      <c r="E333" s="2"/>
      <c r="F333" s="27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</row>
    <row r="334" spans="2:35" ht="15.75" customHeight="1" x14ac:dyDescent="0.2">
      <c r="B334"/>
      <c r="C334" s="2"/>
      <c r="D334" s="2"/>
      <c r="E334" s="2"/>
      <c r="F334" s="27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</row>
    <row r="335" spans="2:35" ht="15.75" customHeight="1" x14ac:dyDescent="0.2">
      <c r="B335"/>
      <c r="C335" s="2"/>
      <c r="D335" s="2"/>
      <c r="E335" s="2"/>
      <c r="F335" s="27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</row>
    <row r="336" spans="2:35" ht="15.75" customHeight="1" x14ac:dyDescent="0.2">
      <c r="B336"/>
      <c r="C336" s="2"/>
      <c r="D336" s="2"/>
      <c r="E336" s="2"/>
      <c r="F336" s="27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</row>
    <row r="337" spans="2:35" ht="15.75" customHeight="1" x14ac:dyDescent="0.2">
      <c r="B337"/>
      <c r="C337" s="2"/>
      <c r="D337" s="2"/>
      <c r="E337" s="2"/>
      <c r="F337" s="27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</row>
    <row r="338" spans="2:35" ht="15.75" customHeight="1" x14ac:dyDescent="0.2">
      <c r="B338"/>
      <c r="C338" s="2"/>
      <c r="D338" s="2"/>
      <c r="E338" s="2"/>
      <c r="F338" s="27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</row>
    <row r="339" spans="2:35" ht="15.75" customHeight="1" x14ac:dyDescent="0.2">
      <c r="B339"/>
      <c r="C339" s="2"/>
      <c r="D339" s="2"/>
      <c r="E339" s="2"/>
      <c r="F339" s="27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</row>
    <row r="340" spans="2:35" ht="15.75" customHeight="1" x14ac:dyDescent="0.2">
      <c r="B340"/>
      <c r="C340" s="2"/>
      <c r="D340" s="2"/>
      <c r="E340" s="2"/>
      <c r="F340" s="27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</row>
    <row r="341" spans="2:35" ht="15.75" customHeight="1" x14ac:dyDescent="0.2">
      <c r="B341"/>
      <c r="C341" s="2"/>
      <c r="D341" s="2"/>
      <c r="E341" s="2"/>
      <c r="F341" s="27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</row>
    <row r="342" spans="2:35" ht="15.75" customHeight="1" x14ac:dyDescent="0.2">
      <c r="B342"/>
      <c r="C342" s="2"/>
      <c r="D342" s="2"/>
      <c r="E342" s="2"/>
      <c r="F342" s="27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</row>
    <row r="343" spans="2:35" ht="15.75" customHeight="1" x14ac:dyDescent="0.2">
      <c r="B343"/>
      <c r="C343" s="2"/>
      <c r="D343" s="2"/>
      <c r="E343" s="2"/>
      <c r="F343" s="27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</row>
    <row r="344" spans="2:35" ht="15.75" customHeight="1" x14ac:dyDescent="0.2">
      <c r="B344"/>
      <c r="C344" s="2"/>
      <c r="D344" s="2"/>
      <c r="E344" s="2"/>
      <c r="F344" s="27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</row>
    <row r="345" spans="2:35" ht="15.75" customHeight="1" x14ac:dyDescent="0.2">
      <c r="B345"/>
      <c r="C345" s="2"/>
      <c r="D345" s="2"/>
      <c r="E345" s="2"/>
      <c r="F345" s="27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</row>
    <row r="346" spans="2:35" ht="15.75" customHeight="1" x14ac:dyDescent="0.2">
      <c r="B346"/>
      <c r="C346" s="2"/>
      <c r="D346" s="2"/>
      <c r="E346" s="2"/>
      <c r="F346" s="27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</row>
    <row r="347" spans="2:35" ht="15.75" customHeight="1" x14ac:dyDescent="0.2">
      <c r="B347"/>
      <c r="C347" s="2"/>
      <c r="D347" s="2"/>
      <c r="E347" s="2"/>
      <c r="F347" s="27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</row>
    <row r="348" spans="2:35" ht="15.75" customHeight="1" x14ac:dyDescent="0.2">
      <c r="B348"/>
      <c r="C348" s="2"/>
      <c r="D348" s="2"/>
      <c r="E348" s="2"/>
      <c r="F348" s="27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</row>
    <row r="349" spans="2:35" ht="15.75" customHeight="1" x14ac:dyDescent="0.2">
      <c r="B349"/>
      <c r="C349" s="2"/>
      <c r="D349" s="2"/>
      <c r="E349" s="2"/>
      <c r="F349" s="27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</row>
    <row r="350" spans="2:35" ht="15.75" customHeight="1" x14ac:dyDescent="0.2">
      <c r="B350"/>
      <c r="C350" s="2"/>
      <c r="D350" s="2"/>
      <c r="E350" s="2"/>
      <c r="F350" s="27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</row>
    <row r="351" spans="2:35" ht="15.75" customHeight="1" x14ac:dyDescent="0.2">
      <c r="B351"/>
      <c r="C351" s="2"/>
      <c r="D351" s="2"/>
      <c r="E351" s="2"/>
      <c r="F351" s="27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</row>
    <row r="352" spans="2:35" ht="15.75" customHeight="1" x14ac:dyDescent="0.2">
      <c r="B352"/>
      <c r="C352" s="2"/>
      <c r="D352" s="2"/>
      <c r="E352" s="2"/>
      <c r="F352" s="27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</row>
    <row r="353" spans="2:35" ht="15.75" customHeight="1" x14ac:dyDescent="0.2">
      <c r="B353"/>
      <c r="C353" s="2"/>
      <c r="D353" s="2"/>
      <c r="E353" s="2"/>
      <c r="F353" s="27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</row>
    <row r="354" spans="2:35" ht="15.75" customHeight="1" x14ac:dyDescent="0.2">
      <c r="B354"/>
      <c r="C354" s="2"/>
      <c r="D354" s="2"/>
      <c r="E354" s="2"/>
      <c r="F354" s="27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</row>
    <row r="355" spans="2:35" ht="15.75" customHeight="1" x14ac:dyDescent="0.2">
      <c r="B355"/>
      <c r="C355" s="2"/>
      <c r="D355" s="2"/>
      <c r="E355" s="2"/>
      <c r="F355" s="27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</row>
    <row r="356" spans="2:35" ht="15.75" customHeight="1" x14ac:dyDescent="0.2">
      <c r="B356"/>
      <c r="C356" s="2"/>
      <c r="D356" s="2"/>
      <c r="E356" s="2"/>
      <c r="F356" s="27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</row>
    <row r="357" spans="2:35" ht="15.75" customHeight="1" x14ac:dyDescent="0.2">
      <c r="B357"/>
      <c r="C357" s="2"/>
      <c r="D357" s="2"/>
      <c r="E357" s="2"/>
      <c r="F357" s="27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</row>
    <row r="358" spans="2:35" ht="15.75" customHeight="1" x14ac:dyDescent="0.2">
      <c r="B358"/>
      <c r="C358" s="2"/>
      <c r="D358" s="2"/>
      <c r="E358" s="2"/>
      <c r="F358" s="27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</row>
    <row r="359" spans="2:35" ht="15.75" customHeight="1" x14ac:dyDescent="0.2">
      <c r="B359"/>
      <c r="C359" s="2"/>
      <c r="D359" s="2"/>
      <c r="E359" s="2"/>
      <c r="F359" s="27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</row>
    <row r="360" spans="2:35" ht="15.75" customHeight="1" x14ac:dyDescent="0.2">
      <c r="B360"/>
      <c r="C360" s="2"/>
      <c r="D360" s="2"/>
      <c r="E360" s="2"/>
      <c r="F360" s="27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</row>
    <row r="361" spans="2:35" ht="15.75" customHeight="1" x14ac:dyDescent="0.2">
      <c r="B361"/>
      <c r="C361" s="2"/>
      <c r="D361" s="2"/>
      <c r="E361" s="2"/>
      <c r="F361" s="27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</row>
    <row r="362" spans="2:35" ht="15.75" customHeight="1" x14ac:dyDescent="0.2">
      <c r="B362"/>
      <c r="C362" s="2"/>
      <c r="D362" s="2"/>
      <c r="E362" s="2"/>
      <c r="F362" s="27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</row>
    <row r="363" spans="2:35" ht="15.75" customHeight="1" x14ac:dyDescent="0.2">
      <c r="B363"/>
      <c r="C363" s="2"/>
      <c r="D363" s="2"/>
      <c r="E363" s="2"/>
      <c r="F363" s="27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</row>
    <row r="364" spans="2:35" ht="15.75" customHeight="1" x14ac:dyDescent="0.2">
      <c r="B364"/>
      <c r="C364" s="2"/>
      <c r="D364" s="2"/>
      <c r="E364" s="2"/>
      <c r="F364" s="27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</row>
    <row r="365" spans="2:35" ht="15.75" customHeight="1" x14ac:dyDescent="0.2">
      <c r="B365"/>
      <c r="C365" s="2"/>
      <c r="D365" s="2"/>
      <c r="E365" s="2"/>
      <c r="F365" s="27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</row>
    <row r="366" spans="2:35" ht="15.75" customHeight="1" x14ac:dyDescent="0.2">
      <c r="B366"/>
      <c r="C366" s="2"/>
      <c r="D366" s="2"/>
      <c r="E366" s="2"/>
      <c r="F366" s="27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</row>
    <row r="367" spans="2:35" ht="15.75" customHeight="1" x14ac:dyDescent="0.2">
      <c r="B367"/>
      <c r="C367" s="2"/>
      <c r="D367" s="2"/>
      <c r="E367" s="2"/>
      <c r="F367" s="27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</row>
    <row r="368" spans="2:35" ht="15.75" customHeight="1" x14ac:dyDescent="0.2">
      <c r="B368"/>
      <c r="C368" s="2"/>
      <c r="D368" s="2"/>
      <c r="E368" s="2"/>
      <c r="F368" s="27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</row>
    <row r="369" spans="2:35" ht="15.75" customHeight="1" x14ac:dyDescent="0.2">
      <c r="B369"/>
      <c r="C369" s="2"/>
      <c r="D369" s="2"/>
      <c r="E369" s="2"/>
      <c r="F369" s="27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</row>
    <row r="370" spans="2:35" ht="15.75" customHeight="1" x14ac:dyDescent="0.2">
      <c r="B370"/>
      <c r="C370" s="2"/>
      <c r="D370" s="2"/>
      <c r="E370" s="2"/>
      <c r="F370" s="27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</row>
    <row r="371" spans="2:35" ht="15.75" customHeight="1" x14ac:dyDescent="0.2">
      <c r="B371"/>
      <c r="C371" s="2"/>
      <c r="D371" s="2"/>
      <c r="E371" s="2"/>
      <c r="F371" s="27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</row>
    <row r="372" spans="2:35" ht="15.75" customHeight="1" x14ac:dyDescent="0.2">
      <c r="B372"/>
      <c r="C372" s="2"/>
      <c r="D372" s="2"/>
      <c r="E372" s="2"/>
      <c r="F372" s="27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</row>
    <row r="373" spans="2:35" ht="15.75" customHeight="1" x14ac:dyDescent="0.2">
      <c r="B373"/>
      <c r="C373" s="2"/>
      <c r="D373" s="2"/>
      <c r="E373" s="2"/>
      <c r="F373" s="27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</row>
    <row r="374" spans="2:35" ht="15.75" customHeight="1" x14ac:dyDescent="0.2">
      <c r="B374"/>
      <c r="C374" s="2"/>
      <c r="D374" s="2"/>
      <c r="E374" s="2"/>
      <c r="F374" s="27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</row>
    <row r="375" spans="2:35" ht="15.75" customHeight="1" x14ac:dyDescent="0.2">
      <c r="B375"/>
      <c r="C375" s="2"/>
      <c r="D375" s="2"/>
      <c r="E375" s="2"/>
      <c r="F375" s="27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</row>
    <row r="376" spans="2:35" ht="15.75" customHeight="1" x14ac:dyDescent="0.2">
      <c r="B376"/>
      <c r="C376" s="2"/>
      <c r="D376" s="2"/>
      <c r="E376" s="2"/>
      <c r="F376" s="27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</row>
    <row r="377" spans="2:35" ht="15.75" customHeight="1" x14ac:dyDescent="0.2">
      <c r="B377"/>
      <c r="C377" s="2"/>
      <c r="D377" s="2"/>
      <c r="E377" s="2"/>
      <c r="F377" s="27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</row>
    <row r="378" spans="2:35" ht="15.75" customHeight="1" x14ac:dyDescent="0.2">
      <c r="B378"/>
      <c r="C378" s="2"/>
      <c r="D378" s="2"/>
      <c r="E378" s="2"/>
      <c r="F378" s="27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</row>
    <row r="379" spans="2:35" ht="15.75" customHeight="1" x14ac:dyDescent="0.2">
      <c r="B379"/>
      <c r="C379" s="2"/>
      <c r="D379" s="2"/>
      <c r="E379" s="2"/>
      <c r="F379" s="27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</row>
    <row r="380" spans="2:35" ht="15.75" customHeight="1" x14ac:dyDescent="0.2">
      <c r="B380"/>
      <c r="C380" s="2"/>
      <c r="D380" s="2"/>
      <c r="E380" s="2"/>
      <c r="F380" s="27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</row>
    <row r="381" spans="2:35" ht="15.75" customHeight="1" x14ac:dyDescent="0.2">
      <c r="B381"/>
      <c r="C381" s="2"/>
      <c r="D381" s="2"/>
      <c r="E381" s="2"/>
      <c r="F381" s="27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</row>
    <row r="382" spans="2:35" ht="15.75" customHeight="1" x14ac:dyDescent="0.2">
      <c r="B382"/>
      <c r="C382" s="2"/>
      <c r="D382" s="2"/>
      <c r="E382" s="2"/>
      <c r="F382" s="27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</row>
    <row r="383" spans="2:35" ht="15.75" customHeight="1" x14ac:dyDescent="0.2">
      <c r="B383"/>
      <c r="C383" s="2"/>
      <c r="D383" s="2"/>
      <c r="E383" s="2"/>
      <c r="F383" s="27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</row>
    <row r="384" spans="2:35" ht="15.75" customHeight="1" x14ac:dyDescent="0.2">
      <c r="B384"/>
      <c r="C384" s="2"/>
      <c r="D384" s="2"/>
      <c r="E384" s="2"/>
      <c r="F384" s="27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</row>
    <row r="385" spans="2:35" ht="15.75" customHeight="1" x14ac:dyDescent="0.2">
      <c r="B385"/>
      <c r="C385" s="2"/>
      <c r="D385" s="2"/>
      <c r="E385" s="2"/>
      <c r="F385" s="27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</row>
    <row r="386" spans="2:35" ht="15.75" customHeight="1" x14ac:dyDescent="0.2">
      <c r="B386"/>
      <c r="C386" s="2"/>
      <c r="D386" s="2"/>
      <c r="E386" s="2"/>
      <c r="F386" s="27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</row>
    <row r="387" spans="2:35" ht="15.75" customHeight="1" x14ac:dyDescent="0.2">
      <c r="B387"/>
      <c r="C387" s="2"/>
      <c r="D387" s="2"/>
      <c r="E387" s="2"/>
      <c r="F387" s="27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</row>
    <row r="388" spans="2:35" ht="15.75" customHeight="1" x14ac:dyDescent="0.2">
      <c r="B388"/>
      <c r="C388" s="2"/>
      <c r="D388" s="2"/>
      <c r="E388" s="2"/>
      <c r="F388" s="27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</row>
    <row r="389" spans="2:35" ht="15.75" customHeight="1" x14ac:dyDescent="0.2">
      <c r="B389"/>
      <c r="C389" s="2"/>
      <c r="D389" s="2"/>
      <c r="E389" s="2"/>
      <c r="F389" s="27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</row>
    <row r="390" spans="2:35" ht="15.75" customHeight="1" x14ac:dyDescent="0.2">
      <c r="B390"/>
      <c r="C390" s="2"/>
      <c r="D390" s="2"/>
      <c r="E390" s="2"/>
      <c r="F390" s="27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</row>
    <row r="391" spans="2:35" ht="15.75" customHeight="1" x14ac:dyDescent="0.2">
      <c r="B391"/>
      <c r="C391" s="2"/>
      <c r="D391" s="2"/>
      <c r="E391" s="2"/>
      <c r="F391" s="27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</row>
    <row r="392" spans="2:35" ht="15.75" customHeight="1" x14ac:dyDescent="0.2">
      <c r="B392"/>
      <c r="C392" s="2"/>
      <c r="D392" s="2"/>
      <c r="E392" s="2"/>
      <c r="F392" s="27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</row>
    <row r="393" spans="2:35" ht="15.75" customHeight="1" x14ac:dyDescent="0.2">
      <c r="B393"/>
      <c r="C393" s="2"/>
      <c r="D393" s="2"/>
      <c r="E393" s="2"/>
      <c r="F393" s="27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</row>
    <row r="394" spans="2:35" ht="15.75" customHeight="1" x14ac:dyDescent="0.2">
      <c r="B394"/>
      <c r="C394" s="2"/>
      <c r="D394" s="2"/>
      <c r="E394" s="2"/>
      <c r="F394" s="27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</row>
    <row r="395" spans="2:35" ht="15.75" customHeight="1" x14ac:dyDescent="0.2">
      <c r="B395"/>
      <c r="C395" s="2"/>
      <c r="D395" s="2"/>
      <c r="E395" s="2"/>
      <c r="F395" s="27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</row>
    <row r="396" spans="2:35" ht="15.75" customHeight="1" x14ac:dyDescent="0.2">
      <c r="B396"/>
      <c r="C396" s="2"/>
      <c r="D396" s="2"/>
      <c r="E396" s="2"/>
      <c r="F396" s="27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</row>
    <row r="397" spans="2:35" ht="15.75" customHeight="1" x14ac:dyDescent="0.2">
      <c r="B397"/>
      <c r="C397" s="2"/>
      <c r="D397" s="2"/>
      <c r="E397" s="2"/>
      <c r="F397" s="27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</row>
    <row r="398" spans="2:35" ht="15.75" customHeight="1" x14ac:dyDescent="0.2">
      <c r="B398"/>
      <c r="C398" s="2"/>
      <c r="D398" s="2"/>
      <c r="E398" s="2"/>
      <c r="F398" s="27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</row>
    <row r="399" spans="2:35" ht="15.75" customHeight="1" x14ac:dyDescent="0.2">
      <c r="B399"/>
      <c r="C399" s="2"/>
      <c r="D399" s="2"/>
      <c r="E399" s="2"/>
      <c r="F399" s="27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</row>
    <row r="400" spans="2:35" ht="15.75" customHeight="1" x14ac:dyDescent="0.2">
      <c r="B400"/>
      <c r="C400" s="2"/>
      <c r="D400" s="2"/>
      <c r="E400" s="2"/>
      <c r="F400" s="27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</row>
    <row r="401" spans="2:35" ht="15.75" customHeight="1" x14ac:dyDescent="0.2">
      <c r="B401"/>
      <c r="C401" s="2"/>
      <c r="D401" s="2"/>
      <c r="E401" s="2"/>
      <c r="F401" s="27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</row>
    <row r="402" spans="2:35" ht="15.75" customHeight="1" x14ac:dyDescent="0.2">
      <c r="B402"/>
      <c r="C402" s="2"/>
      <c r="D402" s="2"/>
      <c r="E402" s="2"/>
      <c r="F402" s="27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</row>
    <row r="403" spans="2:35" ht="15.75" customHeight="1" x14ac:dyDescent="0.2">
      <c r="B403"/>
      <c r="C403" s="2"/>
      <c r="D403" s="2"/>
      <c r="E403" s="2"/>
      <c r="F403" s="27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</row>
    <row r="404" spans="2:35" ht="15.75" customHeight="1" x14ac:dyDescent="0.2">
      <c r="B404"/>
      <c r="C404" s="2"/>
      <c r="D404" s="2"/>
      <c r="E404" s="2"/>
      <c r="F404" s="27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</row>
    <row r="405" spans="2:35" ht="15.75" customHeight="1" x14ac:dyDescent="0.2">
      <c r="B405"/>
      <c r="C405" s="2"/>
      <c r="D405" s="2"/>
      <c r="E405" s="2"/>
      <c r="F405" s="27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</row>
    <row r="406" spans="2:35" ht="15.75" customHeight="1" x14ac:dyDescent="0.2">
      <c r="B406"/>
      <c r="C406" s="2"/>
      <c r="D406" s="2"/>
      <c r="E406" s="2"/>
      <c r="F406" s="27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</row>
    <row r="407" spans="2:35" ht="15.75" customHeight="1" x14ac:dyDescent="0.2">
      <c r="B407"/>
      <c r="C407" s="2"/>
      <c r="D407" s="2"/>
      <c r="E407" s="2"/>
      <c r="F407" s="27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</row>
    <row r="408" spans="2:35" ht="15.75" customHeight="1" x14ac:dyDescent="0.2">
      <c r="B408"/>
      <c r="C408" s="2"/>
      <c r="D408" s="2"/>
      <c r="E408" s="2"/>
      <c r="F408" s="27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</row>
    <row r="409" spans="2:35" ht="15.75" customHeight="1" x14ac:dyDescent="0.2">
      <c r="B409"/>
      <c r="C409" s="2"/>
      <c r="D409" s="2"/>
      <c r="E409" s="2"/>
      <c r="F409" s="27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</row>
    <row r="410" spans="2:35" ht="15.75" customHeight="1" x14ac:dyDescent="0.2">
      <c r="B410"/>
      <c r="C410" s="2"/>
      <c r="D410" s="2"/>
      <c r="E410" s="2"/>
      <c r="F410" s="27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</row>
    <row r="411" spans="2:35" ht="15.75" customHeight="1" x14ac:dyDescent="0.2">
      <c r="B411"/>
      <c r="C411" s="2"/>
      <c r="D411" s="2"/>
      <c r="E411" s="2"/>
      <c r="F411" s="27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</row>
    <row r="412" spans="2:35" ht="15.75" customHeight="1" x14ac:dyDescent="0.2">
      <c r="B412"/>
      <c r="C412" s="2"/>
      <c r="D412" s="2"/>
      <c r="E412" s="2"/>
      <c r="F412" s="27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</row>
    <row r="413" spans="2:35" ht="15.75" customHeight="1" x14ac:dyDescent="0.2">
      <c r="B413"/>
      <c r="C413" s="2"/>
      <c r="D413" s="2"/>
      <c r="E413" s="2"/>
      <c r="F413" s="27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</row>
    <row r="414" spans="2:35" ht="15.75" customHeight="1" x14ac:dyDescent="0.2">
      <c r="B414"/>
      <c r="C414" s="2"/>
      <c r="D414" s="2"/>
      <c r="E414" s="2"/>
      <c r="F414" s="2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</row>
    <row r="415" spans="2:35" ht="15.75" customHeight="1" x14ac:dyDescent="0.2">
      <c r="B415"/>
      <c r="C415" s="2"/>
      <c r="D415" s="2"/>
      <c r="E415" s="2"/>
      <c r="F415" s="27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</row>
    <row r="416" spans="2:35" ht="15.75" customHeight="1" x14ac:dyDescent="0.2">
      <c r="B416"/>
      <c r="C416" s="2"/>
      <c r="D416" s="2"/>
      <c r="E416" s="2"/>
      <c r="F416" s="27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</row>
    <row r="417" spans="2:35" ht="15.75" customHeight="1" x14ac:dyDescent="0.2">
      <c r="B417"/>
      <c r="C417" s="2"/>
      <c r="D417" s="2"/>
      <c r="E417" s="2"/>
      <c r="F417" s="27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</row>
    <row r="418" spans="2:35" ht="15.75" customHeight="1" x14ac:dyDescent="0.2">
      <c r="B418"/>
      <c r="C418" s="2"/>
      <c r="D418" s="2"/>
      <c r="E418" s="2"/>
      <c r="F418" s="27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</row>
    <row r="419" spans="2:35" ht="15.75" customHeight="1" x14ac:dyDescent="0.2">
      <c r="B419"/>
      <c r="C419" s="2"/>
      <c r="D419" s="2"/>
      <c r="E419" s="2"/>
      <c r="F419" s="27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</row>
    <row r="420" spans="2:35" ht="15.75" customHeight="1" x14ac:dyDescent="0.2">
      <c r="B420"/>
      <c r="C420" s="2"/>
      <c r="D420" s="2"/>
      <c r="E420" s="2"/>
      <c r="F420" s="27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</row>
    <row r="421" spans="2:35" ht="15.75" customHeight="1" x14ac:dyDescent="0.2">
      <c r="B421"/>
      <c r="C421" s="2"/>
      <c r="D421" s="2"/>
      <c r="E421" s="2"/>
      <c r="F421" s="27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</row>
    <row r="422" spans="2:35" ht="15.75" customHeight="1" x14ac:dyDescent="0.2">
      <c r="B422"/>
      <c r="C422" s="2"/>
      <c r="D422" s="2"/>
      <c r="E422" s="2"/>
      <c r="F422" s="27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</row>
    <row r="423" spans="2:35" ht="15.75" customHeight="1" x14ac:dyDescent="0.2">
      <c r="B423"/>
      <c r="C423" s="2"/>
      <c r="D423" s="2"/>
      <c r="E423" s="2"/>
      <c r="F423" s="27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</row>
    <row r="424" spans="2:35" ht="15.75" customHeight="1" x14ac:dyDescent="0.2">
      <c r="B424"/>
      <c r="C424" s="2"/>
      <c r="D424" s="2"/>
      <c r="E424" s="2"/>
      <c r="F424" s="27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</row>
    <row r="425" spans="2:35" ht="15.75" customHeight="1" x14ac:dyDescent="0.2">
      <c r="B425"/>
      <c r="C425" s="2"/>
      <c r="D425" s="2"/>
      <c r="E425" s="2"/>
      <c r="F425" s="27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</row>
    <row r="426" spans="2:35" ht="15.75" customHeight="1" x14ac:dyDescent="0.2">
      <c r="B426"/>
      <c r="C426" s="2"/>
      <c r="D426" s="2"/>
      <c r="E426" s="2"/>
      <c r="F426" s="27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</row>
    <row r="427" spans="2:35" ht="15.75" customHeight="1" x14ac:dyDescent="0.2">
      <c r="B427"/>
      <c r="C427" s="2"/>
      <c r="D427" s="2"/>
      <c r="E427" s="2"/>
      <c r="F427" s="27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</row>
    <row r="428" spans="2:35" ht="15.75" customHeight="1" x14ac:dyDescent="0.2">
      <c r="B428"/>
      <c r="C428" s="2"/>
      <c r="D428" s="2"/>
      <c r="E428" s="2"/>
      <c r="F428" s="27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</row>
    <row r="429" spans="2:35" ht="15.75" customHeight="1" x14ac:dyDescent="0.2">
      <c r="B429"/>
      <c r="C429" s="2"/>
      <c r="D429" s="2"/>
      <c r="E429" s="2"/>
      <c r="F429" s="27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</row>
    <row r="430" spans="2:35" ht="15.75" customHeight="1" x14ac:dyDescent="0.2">
      <c r="B430"/>
      <c r="C430" s="2"/>
      <c r="D430" s="2"/>
      <c r="E430" s="2"/>
      <c r="F430" s="27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</row>
    <row r="431" spans="2:35" ht="15.75" customHeight="1" x14ac:dyDescent="0.2">
      <c r="B431"/>
      <c r="C431" s="2"/>
      <c r="D431" s="2"/>
      <c r="E431" s="2"/>
      <c r="F431" s="27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</row>
    <row r="432" spans="2:35" ht="15.75" customHeight="1" x14ac:dyDescent="0.2">
      <c r="B432"/>
      <c r="C432" s="2"/>
      <c r="D432" s="2"/>
      <c r="E432" s="2"/>
      <c r="F432" s="27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</row>
    <row r="433" spans="2:35" ht="15.75" customHeight="1" x14ac:dyDescent="0.2">
      <c r="B433"/>
      <c r="C433" s="2"/>
      <c r="D433" s="2"/>
      <c r="E433" s="2"/>
      <c r="F433" s="27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</row>
    <row r="434" spans="2:35" ht="15.75" customHeight="1" x14ac:dyDescent="0.2">
      <c r="B434"/>
      <c r="C434" s="2"/>
      <c r="D434" s="2"/>
      <c r="E434" s="2"/>
      <c r="F434" s="27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</row>
    <row r="435" spans="2:35" ht="15.75" customHeight="1" x14ac:dyDescent="0.2">
      <c r="B435"/>
      <c r="C435" s="2"/>
      <c r="D435" s="2"/>
      <c r="E435" s="2"/>
      <c r="F435" s="27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</row>
    <row r="436" spans="2:35" ht="15.75" customHeight="1" x14ac:dyDescent="0.2">
      <c r="B436"/>
      <c r="C436" s="2"/>
      <c r="D436" s="2"/>
      <c r="E436" s="2"/>
      <c r="F436" s="27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</row>
    <row r="437" spans="2:35" ht="15.75" customHeight="1" x14ac:dyDescent="0.2">
      <c r="B437"/>
      <c r="C437" s="2"/>
      <c r="D437" s="2"/>
      <c r="E437" s="2"/>
      <c r="F437" s="27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</row>
    <row r="438" spans="2:35" ht="15.75" customHeight="1" x14ac:dyDescent="0.2">
      <c r="B438"/>
      <c r="C438" s="2"/>
      <c r="D438" s="2"/>
      <c r="E438" s="2"/>
      <c r="F438" s="27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</row>
    <row r="439" spans="2:35" ht="15.75" customHeight="1" x14ac:dyDescent="0.2">
      <c r="B439"/>
      <c r="C439" s="2"/>
      <c r="D439" s="2"/>
      <c r="E439" s="2"/>
      <c r="F439" s="27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</row>
    <row r="440" spans="2:35" ht="15.75" customHeight="1" x14ac:dyDescent="0.2">
      <c r="B440"/>
      <c r="C440" s="2"/>
      <c r="D440" s="2"/>
      <c r="E440" s="2"/>
      <c r="F440" s="27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</row>
    <row r="441" spans="2:35" ht="15.75" customHeight="1" x14ac:dyDescent="0.2">
      <c r="B441"/>
      <c r="C441" s="2"/>
      <c r="D441" s="2"/>
      <c r="E441" s="2"/>
      <c r="F441" s="27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</row>
    <row r="442" spans="2:35" ht="15.75" customHeight="1" x14ac:dyDescent="0.2">
      <c r="B442"/>
      <c r="C442" s="2"/>
      <c r="D442" s="2"/>
      <c r="E442" s="2"/>
      <c r="F442" s="27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</row>
    <row r="443" spans="2:35" ht="15.75" customHeight="1" x14ac:dyDescent="0.2">
      <c r="B443"/>
      <c r="C443" s="2"/>
      <c r="D443" s="2"/>
      <c r="E443" s="2"/>
      <c r="F443" s="27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</row>
    <row r="444" spans="2:35" ht="15.75" customHeight="1" x14ac:dyDescent="0.2">
      <c r="B444"/>
      <c r="C444" s="2"/>
      <c r="D444" s="2"/>
      <c r="E444" s="2"/>
      <c r="F444" s="27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</row>
    <row r="445" spans="2:35" ht="15.75" customHeight="1" x14ac:dyDescent="0.2">
      <c r="B445"/>
      <c r="C445" s="2"/>
      <c r="D445" s="2"/>
      <c r="E445" s="2"/>
      <c r="F445" s="27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</row>
    <row r="446" spans="2:35" ht="15.75" customHeight="1" x14ac:dyDescent="0.2">
      <c r="B446"/>
      <c r="C446" s="2"/>
      <c r="D446" s="2"/>
      <c r="E446" s="2"/>
      <c r="F446" s="27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</row>
    <row r="447" spans="2:35" ht="15.75" customHeight="1" x14ac:dyDescent="0.2">
      <c r="B447"/>
      <c r="C447" s="2"/>
      <c r="D447" s="2"/>
      <c r="E447" s="2"/>
      <c r="F447" s="27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</row>
    <row r="448" spans="2:35" ht="15.75" customHeight="1" x14ac:dyDescent="0.2">
      <c r="B448"/>
      <c r="C448" s="2"/>
      <c r="D448" s="2"/>
      <c r="E448" s="2"/>
      <c r="F448" s="27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</row>
    <row r="449" spans="2:35" ht="15.75" customHeight="1" x14ac:dyDescent="0.2">
      <c r="B449"/>
      <c r="C449" s="2"/>
      <c r="D449" s="2"/>
      <c r="E449" s="2"/>
      <c r="F449" s="27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</row>
    <row r="450" spans="2:35" ht="15.75" customHeight="1" x14ac:dyDescent="0.2">
      <c r="B450"/>
      <c r="C450" s="2"/>
      <c r="D450" s="2"/>
      <c r="E450" s="2"/>
      <c r="F450" s="27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</row>
    <row r="451" spans="2:35" ht="15.75" customHeight="1" x14ac:dyDescent="0.2">
      <c r="B451"/>
      <c r="C451" s="2"/>
      <c r="D451" s="2"/>
      <c r="E451" s="2"/>
      <c r="F451" s="27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</row>
    <row r="452" spans="2:35" ht="15.75" customHeight="1" x14ac:dyDescent="0.2">
      <c r="B452"/>
      <c r="C452" s="2"/>
      <c r="D452" s="2"/>
      <c r="E452" s="2"/>
      <c r="F452" s="27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</row>
    <row r="453" spans="2:35" ht="15.75" customHeight="1" x14ac:dyDescent="0.2">
      <c r="B453"/>
      <c r="C453" s="2"/>
      <c r="D453" s="2"/>
      <c r="E453" s="2"/>
      <c r="F453" s="27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</row>
    <row r="454" spans="2:35" ht="15.75" customHeight="1" x14ac:dyDescent="0.2">
      <c r="B454"/>
      <c r="C454" s="2"/>
      <c r="D454" s="2"/>
      <c r="E454" s="2"/>
      <c r="F454" s="27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</row>
    <row r="455" spans="2:35" ht="15.75" customHeight="1" x14ac:dyDescent="0.2">
      <c r="B455"/>
      <c r="C455" s="2"/>
      <c r="D455" s="2"/>
      <c r="E455" s="2"/>
      <c r="F455" s="27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</row>
    <row r="456" spans="2:35" ht="15.75" customHeight="1" x14ac:dyDescent="0.2">
      <c r="B456"/>
      <c r="C456" s="2"/>
      <c r="D456" s="2"/>
      <c r="E456" s="2"/>
      <c r="F456" s="27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</row>
    <row r="457" spans="2:35" ht="15.75" customHeight="1" x14ac:dyDescent="0.2">
      <c r="B457"/>
      <c r="C457" s="2"/>
      <c r="D457" s="2"/>
      <c r="E457" s="2"/>
      <c r="F457" s="27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</row>
    <row r="458" spans="2:35" ht="15.75" customHeight="1" x14ac:dyDescent="0.2">
      <c r="B458"/>
      <c r="C458" s="2"/>
      <c r="D458" s="2"/>
      <c r="E458" s="2"/>
      <c r="F458" s="27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</row>
    <row r="459" spans="2:35" ht="15.75" customHeight="1" x14ac:dyDescent="0.2">
      <c r="B459"/>
      <c r="C459" s="2"/>
      <c r="D459" s="2"/>
      <c r="E459" s="2"/>
      <c r="F459" s="27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</row>
    <row r="460" spans="2:35" ht="15.75" customHeight="1" x14ac:dyDescent="0.2">
      <c r="B460"/>
      <c r="C460" s="2"/>
      <c r="D460" s="2"/>
      <c r="E460" s="2"/>
      <c r="F460" s="27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</row>
    <row r="461" spans="2:35" ht="15.75" customHeight="1" x14ac:dyDescent="0.2">
      <c r="B461"/>
      <c r="C461" s="2"/>
      <c r="D461" s="2"/>
      <c r="E461" s="2"/>
      <c r="F461" s="27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</row>
    <row r="462" spans="2:35" ht="15.75" customHeight="1" x14ac:dyDescent="0.2">
      <c r="B462"/>
      <c r="C462" s="2"/>
      <c r="D462" s="2"/>
      <c r="E462" s="2"/>
      <c r="F462" s="27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</row>
    <row r="463" spans="2:35" ht="15.75" customHeight="1" x14ac:dyDescent="0.2">
      <c r="B463"/>
      <c r="C463" s="2"/>
      <c r="D463" s="2"/>
      <c r="E463" s="2"/>
      <c r="F463" s="27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</row>
    <row r="464" spans="2:35" ht="15.75" customHeight="1" x14ac:dyDescent="0.2">
      <c r="B464"/>
      <c r="C464" s="2"/>
      <c r="D464" s="2"/>
      <c r="E464" s="2"/>
      <c r="F464" s="27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</row>
    <row r="465" spans="2:35" ht="15.75" customHeight="1" x14ac:dyDescent="0.2">
      <c r="B465"/>
      <c r="C465" s="2"/>
      <c r="D465" s="2"/>
      <c r="E465" s="2"/>
      <c r="F465" s="27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</row>
    <row r="466" spans="2:35" ht="15.75" customHeight="1" x14ac:dyDescent="0.2">
      <c r="B466"/>
      <c r="C466" s="2"/>
      <c r="D466" s="2"/>
      <c r="E466" s="2"/>
      <c r="F466" s="27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</row>
    <row r="467" spans="2:35" ht="15.75" customHeight="1" x14ac:dyDescent="0.2">
      <c r="B467"/>
      <c r="C467" s="2"/>
      <c r="D467" s="2"/>
      <c r="E467" s="2"/>
      <c r="F467" s="27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</row>
    <row r="468" spans="2:35" ht="15.75" customHeight="1" x14ac:dyDescent="0.2">
      <c r="B468"/>
      <c r="C468" s="2"/>
      <c r="D468" s="2"/>
      <c r="E468" s="2"/>
      <c r="F468" s="27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</row>
    <row r="469" spans="2:35" ht="15.75" customHeight="1" x14ac:dyDescent="0.2">
      <c r="B469"/>
      <c r="C469" s="2"/>
      <c r="D469" s="2"/>
      <c r="E469" s="2"/>
      <c r="F469" s="27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</row>
    <row r="470" spans="2:35" ht="15.75" customHeight="1" x14ac:dyDescent="0.2">
      <c r="B470"/>
      <c r="C470" s="2"/>
      <c r="D470" s="2"/>
      <c r="E470" s="2"/>
      <c r="F470" s="27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</row>
    <row r="471" spans="2:35" ht="15.75" customHeight="1" x14ac:dyDescent="0.2">
      <c r="B471"/>
      <c r="C471" s="2"/>
      <c r="D471" s="2"/>
      <c r="E471" s="2"/>
      <c r="F471" s="27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</row>
    <row r="472" spans="2:35" ht="15.75" customHeight="1" x14ac:dyDescent="0.2">
      <c r="B472"/>
      <c r="C472" s="2"/>
      <c r="D472" s="2"/>
      <c r="E472" s="2"/>
      <c r="F472" s="27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</row>
    <row r="473" spans="2:35" ht="15.75" customHeight="1" x14ac:dyDescent="0.2">
      <c r="B473"/>
      <c r="C473" s="2"/>
      <c r="D473" s="2"/>
      <c r="E473" s="2"/>
      <c r="F473" s="27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</row>
    <row r="474" spans="2:35" ht="15.75" customHeight="1" x14ac:dyDescent="0.2">
      <c r="B474"/>
      <c r="C474" s="2"/>
      <c r="D474" s="2"/>
      <c r="E474" s="2"/>
      <c r="F474" s="27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</row>
    <row r="475" spans="2:35" ht="15.75" customHeight="1" x14ac:dyDescent="0.2">
      <c r="B475"/>
      <c r="C475" s="2"/>
      <c r="D475" s="2"/>
      <c r="E475" s="2"/>
      <c r="F475" s="27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</row>
    <row r="476" spans="2:35" ht="15.75" customHeight="1" x14ac:dyDescent="0.2">
      <c r="B476"/>
      <c r="C476" s="2"/>
      <c r="D476" s="2"/>
      <c r="E476" s="2"/>
      <c r="F476" s="27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</row>
    <row r="477" spans="2:35" ht="15.75" customHeight="1" x14ac:dyDescent="0.2">
      <c r="B477"/>
      <c r="C477" s="2"/>
      <c r="D477" s="2"/>
      <c r="E477" s="2"/>
      <c r="F477" s="27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</row>
    <row r="478" spans="2:35" ht="15.75" customHeight="1" x14ac:dyDescent="0.2">
      <c r="B478"/>
      <c r="C478" s="2"/>
      <c r="D478" s="2"/>
      <c r="E478" s="2"/>
      <c r="F478" s="27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</row>
    <row r="479" spans="2:35" ht="15.75" customHeight="1" x14ac:dyDescent="0.2">
      <c r="B479"/>
      <c r="C479" s="2"/>
      <c r="D479" s="2"/>
      <c r="E479" s="2"/>
      <c r="F479" s="27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</row>
    <row r="480" spans="2:35" ht="15.75" customHeight="1" x14ac:dyDescent="0.2">
      <c r="B480"/>
      <c r="C480" s="2"/>
      <c r="D480" s="2"/>
      <c r="E480" s="2"/>
      <c r="F480" s="27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</row>
    <row r="481" spans="2:35" ht="15.75" customHeight="1" x14ac:dyDescent="0.2">
      <c r="B481"/>
      <c r="C481" s="2"/>
      <c r="D481" s="2"/>
      <c r="E481" s="2"/>
      <c r="F481" s="27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</row>
    <row r="482" spans="2:35" ht="15.75" customHeight="1" x14ac:dyDescent="0.2">
      <c r="B482"/>
      <c r="C482" s="2"/>
      <c r="D482" s="2"/>
      <c r="E482" s="2"/>
      <c r="F482" s="27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</row>
    <row r="483" spans="2:35" ht="15.75" customHeight="1" x14ac:dyDescent="0.2">
      <c r="B483"/>
      <c r="C483" s="2"/>
      <c r="D483" s="2"/>
      <c r="E483" s="2"/>
      <c r="F483" s="27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</row>
    <row r="484" spans="2:35" ht="15.75" customHeight="1" x14ac:dyDescent="0.2">
      <c r="B484"/>
      <c r="C484" s="2"/>
      <c r="D484" s="2"/>
      <c r="E484" s="2"/>
      <c r="F484" s="27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</row>
    <row r="485" spans="2:35" ht="15.75" customHeight="1" x14ac:dyDescent="0.2">
      <c r="B485"/>
      <c r="C485" s="2"/>
      <c r="D485" s="2"/>
      <c r="E485" s="2"/>
      <c r="F485" s="27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</row>
    <row r="486" spans="2:35" ht="15.75" customHeight="1" x14ac:dyDescent="0.2">
      <c r="B486"/>
      <c r="C486" s="2"/>
      <c r="D486" s="2"/>
      <c r="E486" s="2"/>
      <c r="F486" s="27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</row>
    <row r="487" spans="2:35" ht="15.75" customHeight="1" x14ac:dyDescent="0.2">
      <c r="B487"/>
      <c r="C487" s="2"/>
      <c r="D487" s="2"/>
      <c r="E487" s="2"/>
      <c r="F487" s="27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</row>
    <row r="488" spans="2:35" ht="15.75" customHeight="1" x14ac:dyDescent="0.2">
      <c r="B488"/>
      <c r="C488" s="2"/>
      <c r="D488" s="2"/>
      <c r="E488" s="2"/>
      <c r="F488" s="27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</row>
    <row r="489" spans="2:35" ht="15.75" customHeight="1" x14ac:dyDescent="0.2">
      <c r="B489"/>
      <c r="C489" s="2"/>
      <c r="D489" s="2"/>
      <c r="E489" s="2"/>
      <c r="F489" s="27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</row>
    <row r="490" spans="2:35" ht="15.75" customHeight="1" x14ac:dyDescent="0.2">
      <c r="B490"/>
      <c r="C490" s="2"/>
      <c r="D490" s="2"/>
      <c r="E490" s="2"/>
      <c r="F490" s="27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</row>
    <row r="491" spans="2:35" ht="15.75" customHeight="1" x14ac:dyDescent="0.2">
      <c r="B491"/>
      <c r="C491" s="2"/>
      <c r="D491" s="2"/>
      <c r="E491" s="2"/>
      <c r="F491" s="27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</row>
    <row r="492" spans="2:35" ht="15.75" customHeight="1" x14ac:dyDescent="0.2">
      <c r="B492"/>
      <c r="C492" s="2"/>
      <c r="D492" s="2"/>
      <c r="E492" s="2"/>
      <c r="F492" s="27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</row>
    <row r="493" spans="2:35" ht="15.75" customHeight="1" x14ac:dyDescent="0.2">
      <c r="B493"/>
      <c r="C493" s="2"/>
      <c r="D493" s="2"/>
      <c r="E493" s="2"/>
      <c r="F493" s="27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</row>
    <row r="494" spans="2:35" ht="15.75" customHeight="1" x14ac:dyDescent="0.2">
      <c r="B494"/>
      <c r="C494" s="2"/>
      <c r="D494" s="2"/>
      <c r="E494" s="2"/>
      <c r="F494" s="27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</row>
    <row r="495" spans="2:35" ht="15.75" customHeight="1" x14ac:dyDescent="0.2">
      <c r="B495"/>
      <c r="C495" s="2"/>
      <c r="D495" s="2"/>
      <c r="E495" s="2"/>
      <c r="F495" s="27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</row>
    <row r="496" spans="2:35" ht="15.75" customHeight="1" x14ac:dyDescent="0.2">
      <c r="B496"/>
      <c r="C496" s="2"/>
      <c r="D496" s="2"/>
      <c r="E496" s="2"/>
      <c r="F496" s="27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</row>
    <row r="497" spans="2:35" ht="15.75" customHeight="1" x14ac:dyDescent="0.2">
      <c r="B497"/>
      <c r="C497" s="2"/>
      <c r="D497" s="2"/>
      <c r="E497" s="2"/>
      <c r="F497" s="27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</row>
    <row r="498" spans="2:35" ht="15.75" customHeight="1" x14ac:dyDescent="0.2">
      <c r="B498"/>
      <c r="C498" s="2"/>
      <c r="D498" s="2"/>
      <c r="E498" s="2"/>
      <c r="F498" s="27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</row>
    <row r="499" spans="2:35" ht="15.75" customHeight="1" x14ac:dyDescent="0.2">
      <c r="B499"/>
      <c r="C499" s="2"/>
      <c r="D499" s="2"/>
      <c r="E499" s="2"/>
      <c r="F499" s="27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</row>
    <row r="500" spans="2:35" ht="15.75" customHeight="1" x14ac:dyDescent="0.2">
      <c r="B500"/>
      <c r="C500" s="2"/>
      <c r="D500" s="2"/>
      <c r="E500" s="2"/>
      <c r="F500" s="27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</row>
    <row r="501" spans="2:35" ht="15.75" customHeight="1" x14ac:dyDescent="0.2">
      <c r="B501"/>
      <c r="C501" s="2"/>
      <c r="D501" s="2"/>
      <c r="E501" s="2"/>
      <c r="F501" s="27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</row>
    <row r="502" spans="2:35" ht="15.75" customHeight="1" x14ac:dyDescent="0.2">
      <c r="B502"/>
      <c r="C502" s="2"/>
      <c r="D502" s="2"/>
      <c r="E502" s="2"/>
      <c r="F502" s="27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</row>
    <row r="503" spans="2:35" ht="15.75" customHeight="1" x14ac:dyDescent="0.2">
      <c r="B503"/>
      <c r="C503" s="2"/>
      <c r="D503" s="2"/>
      <c r="E503" s="2"/>
      <c r="F503" s="27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</row>
    <row r="504" spans="2:35" ht="15.75" customHeight="1" x14ac:dyDescent="0.2">
      <c r="B504"/>
      <c r="C504" s="2"/>
      <c r="D504" s="2"/>
      <c r="E504" s="2"/>
      <c r="F504" s="27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</row>
    <row r="505" spans="2:35" ht="15.75" customHeight="1" x14ac:dyDescent="0.2">
      <c r="B505"/>
      <c r="C505" s="2"/>
      <c r="D505" s="2"/>
      <c r="E505" s="2"/>
      <c r="F505" s="27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</row>
    <row r="506" spans="2:35" ht="15.75" customHeight="1" x14ac:dyDescent="0.2">
      <c r="B506"/>
      <c r="C506" s="2"/>
      <c r="D506" s="2"/>
      <c r="E506" s="2"/>
      <c r="F506" s="27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</row>
    <row r="507" spans="2:35" ht="15.75" customHeight="1" x14ac:dyDescent="0.2">
      <c r="B507"/>
      <c r="C507" s="2"/>
      <c r="D507" s="2"/>
      <c r="E507" s="2"/>
      <c r="F507" s="27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</row>
    <row r="508" spans="2:35" ht="15.75" customHeight="1" x14ac:dyDescent="0.2">
      <c r="B508"/>
      <c r="C508" s="2"/>
      <c r="D508" s="2"/>
      <c r="E508" s="2"/>
      <c r="F508" s="27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</row>
    <row r="509" spans="2:35" ht="15.75" customHeight="1" x14ac:dyDescent="0.2">
      <c r="B509"/>
      <c r="C509" s="2"/>
      <c r="D509" s="2"/>
      <c r="E509" s="2"/>
      <c r="F509" s="27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</row>
    <row r="510" spans="2:35" ht="15.75" customHeight="1" x14ac:dyDescent="0.2">
      <c r="B510"/>
      <c r="C510" s="2"/>
      <c r="D510" s="2"/>
      <c r="E510" s="2"/>
      <c r="F510" s="27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</row>
    <row r="511" spans="2:35" ht="15.75" customHeight="1" x14ac:dyDescent="0.2">
      <c r="B511"/>
      <c r="C511" s="2"/>
      <c r="D511" s="2"/>
      <c r="E511" s="2"/>
      <c r="F511" s="27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</row>
    <row r="512" spans="2:35" ht="15.75" customHeight="1" x14ac:dyDescent="0.2">
      <c r="B512"/>
      <c r="C512" s="2"/>
      <c r="D512" s="2"/>
      <c r="E512" s="2"/>
      <c r="F512" s="27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</row>
    <row r="513" spans="2:35" ht="15.75" customHeight="1" x14ac:dyDescent="0.2">
      <c r="B513"/>
      <c r="C513" s="2"/>
      <c r="D513" s="2"/>
      <c r="E513" s="2"/>
      <c r="F513" s="27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</row>
    <row r="514" spans="2:35" ht="15.75" customHeight="1" x14ac:dyDescent="0.2">
      <c r="B514"/>
      <c r="C514" s="2"/>
      <c r="D514" s="2"/>
      <c r="E514" s="2"/>
      <c r="F514" s="27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</row>
    <row r="515" spans="2:35" ht="15.75" customHeight="1" x14ac:dyDescent="0.2">
      <c r="B515"/>
      <c r="C515" s="2"/>
      <c r="D515" s="2"/>
      <c r="E515" s="2"/>
      <c r="F515" s="27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</row>
    <row r="516" spans="2:35" ht="15.75" customHeight="1" x14ac:dyDescent="0.2">
      <c r="B516"/>
      <c r="C516" s="2"/>
      <c r="D516" s="2"/>
      <c r="E516" s="2"/>
      <c r="F516" s="27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</row>
    <row r="517" spans="2:35" ht="15.75" customHeight="1" x14ac:dyDescent="0.2">
      <c r="B517"/>
      <c r="C517" s="2"/>
      <c r="D517" s="2"/>
      <c r="E517" s="2"/>
      <c r="F517" s="27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</row>
    <row r="518" spans="2:35" ht="15.75" customHeight="1" x14ac:dyDescent="0.2">
      <c r="B518"/>
      <c r="C518" s="2"/>
      <c r="D518" s="2"/>
      <c r="E518" s="2"/>
      <c r="F518" s="27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</row>
    <row r="519" spans="2:35" ht="15.75" customHeight="1" x14ac:dyDescent="0.2">
      <c r="B519"/>
      <c r="C519" s="2"/>
      <c r="D519" s="2"/>
      <c r="E519" s="2"/>
      <c r="F519" s="27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</row>
    <row r="520" spans="2:35" ht="15.75" customHeight="1" x14ac:dyDescent="0.2">
      <c r="B520"/>
      <c r="C520" s="2"/>
      <c r="D520" s="2"/>
      <c r="E520" s="2"/>
      <c r="F520" s="27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</row>
    <row r="521" spans="2:35" ht="15.75" customHeight="1" x14ac:dyDescent="0.2">
      <c r="B521"/>
      <c r="C521" s="2"/>
      <c r="D521" s="2"/>
      <c r="E521" s="2"/>
      <c r="F521" s="27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</row>
    <row r="522" spans="2:35" ht="15.75" customHeight="1" x14ac:dyDescent="0.2">
      <c r="B522"/>
      <c r="C522" s="2"/>
      <c r="D522" s="2"/>
      <c r="E522" s="2"/>
      <c r="F522" s="27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</row>
    <row r="523" spans="2:35" ht="15.75" customHeight="1" x14ac:dyDescent="0.2">
      <c r="B523"/>
      <c r="C523" s="2"/>
      <c r="D523" s="2"/>
      <c r="E523" s="2"/>
      <c r="F523" s="27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</row>
    <row r="524" spans="2:35" ht="15.75" customHeight="1" x14ac:dyDescent="0.2">
      <c r="B524"/>
      <c r="C524" s="2"/>
      <c r="D524" s="2"/>
      <c r="E524" s="2"/>
      <c r="F524" s="27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</row>
    <row r="525" spans="2:35" ht="15.75" customHeight="1" x14ac:dyDescent="0.2">
      <c r="B525"/>
      <c r="C525" s="2"/>
      <c r="D525" s="2"/>
      <c r="E525" s="2"/>
      <c r="F525" s="27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</row>
    <row r="526" spans="2:35" ht="15.75" customHeight="1" x14ac:dyDescent="0.2">
      <c r="B526"/>
      <c r="C526" s="2"/>
      <c r="D526" s="2"/>
      <c r="E526" s="2"/>
      <c r="F526" s="27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</row>
    <row r="527" spans="2:35" ht="15.75" customHeight="1" x14ac:dyDescent="0.2">
      <c r="B527"/>
      <c r="C527" s="2"/>
      <c r="D527" s="2"/>
      <c r="E527" s="2"/>
      <c r="F527" s="27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</row>
    <row r="528" spans="2:35" ht="15.75" customHeight="1" x14ac:dyDescent="0.2">
      <c r="B528"/>
      <c r="C528" s="2"/>
      <c r="D528" s="2"/>
      <c r="E528" s="2"/>
      <c r="F528" s="27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</row>
    <row r="529" spans="2:35" ht="15.75" customHeight="1" x14ac:dyDescent="0.2">
      <c r="B529"/>
      <c r="C529" s="2"/>
      <c r="D529" s="2"/>
      <c r="E529" s="2"/>
      <c r="F529" s="27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</row>
    <row r="530" spans="2:35" ht="15.75" customHeight="1" x14ac:dyDescent="0.2">
      <c r="B530"/>
      <c r="C530" s="2"/>
      <c r="D530" s="2"/>
      <c r="E530" s="2"/>
      <c r="F530" s="27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</row>
    <row r="531" spans="2:35" ht="15.75" customHeight="1" x14ac:dyDescent="0.2">
      <c r="B531"/>
      <c r="C531" s="2"/>
      <c r="D531" s="2"/>
      <c r="E531" s="2"/>
      <c r="F531" s="27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</row>
    <row r="532" spans="2:35" ht="15.75" customHeight="1" x14ac:dyDescent="0.2">
      <c r="B532"/>
      <c r="C532" s="2"/>
      <c r="D532" s="2"/>
      <c r="E532" s="2"/>
      <c r="F532" s="27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</row>
    <row r="533" spans="2:35" ht="15.75" customHeight="1" x14ac:dyDescent="0.2">
      <c r="B533"/>
      <c r="C533" s="2"/>
      <c r="D533" s="2"/>
      <c r="E533" s="2"/>
      <c r="F533" s="27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</row>
    <row r="534" spans="2:35" ht="15.75" customHeight="1" x14ac:dyDescent="0.2">
      <c r="B534"/>
      <c r="C534" s="2"/>
      <c r="D534" s="2"/>
      <c r="E534" s="2"/>
      <c r="F534" s="27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</row>
    <row r="535" spans="2:35" ht="15.75" customHeight="1" x14ac:dyDescent="0.2">
      <c r="B535"/>
      <c r="C535" s="2"/>
      <c r="D535" s="2"/>
      <c r="E535" s="2"/>
      <c r="F535" s="27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</row>
    <row r="536" spans="2:35" ht="15.75" customHeight="1" x14ac:dyDescent="0.2">
      <c r="B536"/>
      <c r="C536" s="2"/>
      <c r="D536" s="2"/>
      <c r="E536" s="2"/>
      <c r="F536" s="27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</row>
    <row r="537" spans="2:35" ht="15.75" customHeight="1" x14ac:dyDescent="0.2">
      <c r="B537"/>
      <c r="C537" s="2"/>
      <c r="D537" s="2"/>
      <c r="E537" s="2"/>
      <c r="F537" s="27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</row>
    <row r="538" spans="2:35" ht="15.75" customHeight="1" x14ac:dyDescent="0.2">
      <c r="B538"/>
      <c r="C538" s="2"/>
      <c r="D538" s="2"/>
      <c r="E538" s="2"/>
      <c r="F538" s="27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</row>
    <row r="539" spans="2:35" ht="15.75" customHeight="1" x14ac:dyDescent="0.2">
      <c r="B539"/>
      <c r="C539" s="2"/>
      <c r="D539" s="2"/>
      <c r="E539" s="2"/>
      <c r="F539" s="27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</row>
    <row r="540" spans="2:35" ht="15.75" customHeight="1" x14ac:dyDescent="0.2">
      <c r="B540"/>
      <c r="C540" s="2"/>
      <c r="D540" s="2"/>
      <c r="E540" s="2"/>
      <c r="F540" s="27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</row>
    <row r="541" spans="2:35" ht="15.75" customHeight="1" x14ac:dyDescent="0.2">
      <c r="B541"/>
      <c r="C541" s="2"/>
      <c r="D541" s="2"/>
      <c r="E541" s="2"/>
      <c r="F541" s="27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</row>
    <row r="542" spans="2:35" ht="15.75" customHeight="1" x14ac:dyDescent="0.2">
      <c r="B542"/>
      <c r="C542" s="2"/>
      <c r="D542" s="2"/>
      <c r="E542" s="2"/>
      <c r="F542" s="27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</row>
    <row r="543" spans="2:35" ht="15.75" customHeight="1" x14ac:dyDescent="0.2">
      <c r="B543"/>
      <c r="C543" s="2"/>
      <c r="D543" s="2"/>
      <c r="E543" s="2"/>
      <c r="F543" s="27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</row>
    <row r="544" spans="2:35" ht="15.75" customHeight="1" x14ac:dyDescent="0.2">
      <c r="B544"/>
      <c r="C544" s="2"/>
      <c r="D544" s="2"/>
      <c r="E544" s="2"/>
      <c r="F544" s="27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</row>
    <row r="545" spans="2:35" ht="15.75" customHeight="1" x14ac:dyDescent="0.2">
      <c r="B545"/>
      <c r="C545" s="2"/>
      <c r="D545" s="2"/>
      <c r="E545" s="2"/>
      <c r="F545" s="27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</row>
    <row r="546" spans="2:35" ht="15.75" customHeight="1" x14ac:dyDescent="0.2">
      <c r="B546"/>
      <c r="C546" s="2"/>
      <c r="D546" s="2"/>
      <c r="E546" s="2"/>
      <c r="F546" s="27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</row>
    <row r="547" spans="2:35" ht="15.75" customHeight="1" x14ac:dyDescent="0.2">
      <c r="B547"/>
      <c r="C547" s="2"/>
      <c r="D547" s="2"/>
      <c r="E547" s="2"/>
      <c r="F547" s="27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</row>
    <row r="548" spans="2:35" ht="15.75" customHeight="1" x14ac:dyDescent="0.2">
      <c r="B548"/>
      <c r="C548" s="2"/>
      <c r="D548" s="2"/>
      <c r="E548" s="2"/>
      <c r="F548" s="27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</row>
    <row r="549" spans="2:35" ht="15.75" customHeight="1" x14ac:dyDescent="0.2">
      <c r="B549"/>
      <c r="C549" s="2"/>
      <c r="D549" s="2"/>
      <c r="E549" s="2"/>
      <c r="F549" s="27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</row>
    <row r="550" spans="2:35" ht="15.75" customHeight="1" x14ac:dyDescent="0.2">
      <c r="B550"/>
      <c r="C550" s="2"/>
      <c r="D550" s="2"/>
      <c r="E550" s="2"/>
      <c r="F550" s="27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</row>
    <row r="551" spans="2:35" ht="15.75" customHeight="1" x14ac:dyDescent="0.2">
      <c r="B551"/>
      <c r="C551" s="2"/>
      <c r="D551" s="2"/>
      <c r="E551" s="2"/>
      <c r="F551" s="27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</row>
    <row r="552" spans="2:35" ht="15.75" customHeight="1" x14ac:dyDescent="0.2">
      <c r="B552"/>
      <c r="C552" s="2"/>
      <c r="D552" s="2"/>
      <c r="E552" s="2"/>
      <c r="F552" s="27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</row>
    <row r="553" spans="2:35" ht="15.75" customHeight="1" x14ac:dyDescent="0.2">
      <c r="B553"/>
      <c r="C553" s="2"/>
      <c r="D553" s="2"/>
      <c r="E553" s="2"/>
      <c r="F553" s="27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</row>
    <row r="554" spans="2:35" ht="15.75" customHeight="1" x14ac:dyDescent="0.2">
      <c r="B554"/>
      <c r="C554" s="2"/>
      <c r="D554" s="2"/>
      <c r="E554" s="2"/>
      <c r="F554" s="27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</row>
    <row r="555" spans="2:35" ht="15.75" customHeight="1" x14ac:dyDescent="0.2">
      <c r="B555"/>
      <c r="C555" s="2"/>
      <c r="D555" s="2"/>
      <c r="E555" s="2"/>
      <c r="F555" s="27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</row>
    <row r="556" spans="2:35" ht="15.75" customHeight="1" x14ac:dyDescent="0.2">
      <c r="B556"/>
      <c r="C556" s="2"/>
      <c r="D556" s="2"/>
      <c r="E556" s="2"/>
      <c r="F556" s="27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</row>
    <row r="557" spans="2:35" ht="15.75" customHeight="1" x14ac:dyDescent="0.2">
      <c r="B557"/>
      <c r="C557" s="2"/>
      <c r="D557" s="2"/>
      <c r="E557" s="2"/>
      <c r="F557" s="27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</row>
    <row r="558" spans="2:35" ht="15.75" customHeight="1" x14ac:dyDescent="0.2">
      <c r="B558"/>
      <c r="C558" s="2"/>
      <c r="D558" s="2"/>
      <c r="E558" s="2"/>
      <c r="F558" s="27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</row>
    <row r="559" spans="2:35" ht="15.75" customHeight="1" x14ac:dyDescent="0.2">
      <c r="B559"/>
      <c r="C559" s="2"/>
      <c r="D559" s="2"/>
      <c r="E559" s="2"/>
      <c r="F559" s="27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</row>
    <row r="560" spans="2:35" ht="15.75" customHeight="1" x14ac:dyDescent="0.2">
      <c r="B560"/>
      <c r="C560" s="2"/>
      <c r="D560" s="2"/>
      <c r="E560" s="2"/>
      <c r="F560" s="27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</row>
    <row r="561" spans="2:35" ht="15.75" customHeight="1" x14ac:dyDescent="0.2">
      <c r="B561"/>
      <c r="C561" s="2"/>
      <c r="D561" s="2"/>
      <c r="E561" s="2"/>
      <c r="F561" s="27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</row>
    <row r="562" spans="2:35" ht="15.75" customHeight="1" x14ac:dyDescent="0.2">
      <c r="B562"/>
      <c r="C562" s="2"/>
      <c r="D562" s="2"/>
      <c r="E562" s="2"/>
      <c r="F562" s="27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</row>
    <row r="563" spans="2:35" ht="15.75" customHeight="1" x14ac:dyDescent="0.2">
      <c r="B563"/>
      <c r="C563" s="2"/>
      <c r="D563" s="2"/>
      <c r="E563" s="2"/>
      <c r="F563" s="27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</row>
    <row r="564" spans="2:35" ht="15.75" customHeight="1" x14ac:dyDescent="0.2">
      <c r="B564"/>
      <c r="C564" s="2"/>
      <c r="D564" s="2"/>
      <c r="E564" s="2"/>
      <c r="F564" s="27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</row>
    <row r="565" spans="2:35" ht="15.75" customHeight="1" x14ac:dyDescent="0.2">
      <c r="B565"/>
      <c r="C565" s="2"/>
      <c r="D565" s="2"/>
      <c r="E565" s="2"/>
      <c r="F565" s="27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</row>
    <row r="566" spans="2:35" ht="15.75" customHeight="1" x14ac:dyDescent="0.2">
      <c r="B566"/>
      <c r="C566" s="2"/>
      <c r="D566" s="2"/>
      <c r="E566" s="2"/>
      <c r="F566" s="27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</row>
    <row r="567" spans="2:35" ht="15.75" customHeight="1" x14ac:dyDescent="0.2">
      <c r="B567"/>
      <c r="C567" s="2"/>
      <c r="D567" s="2"/>
      <c r="E567" s="2"/>
      <c r="F567" s="27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</row>
    <row r="568" spans="2:35" ht="15.75" customHeight="1" x14ac:dyDescent="0.2">
      <c r="B568"/>
      <c r="C568" s="2"/>
      <c r="D568" s="2"/>
      <c r="E568" s="2"/>
      <c r="F568" s="27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</row>
    <row r="569" spans="2:35" ht="15.75" customHeight="1" x14ac:dyDescent="0.2">
      <c r="B569"/>
      <c r="C569" s="2"/>
      <c r="D569" s="2"/>
      <c r="E569" s="2"/>
      <c r="F569" s="27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</row>
    <row r="570" spans="2:35" ht="15.75" customHeight="1" x14ac:dyDescent="0.2">
      <c r="B570"/>
      <c r="C570" s="2"/>
      <c r="D570" s="2"/>
      <c r="E570" s="2"/>
      <c r="F570" s="27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</row>
    <row r="571" spans="2:35" ht="15.75" customHeight="1" x14ac:dyDescent="0.2">
      <c r="B571"/>
      <c r="C571" s="2"/>
      <c r="D571" s="2"/>
      <c r="E571" s="2"/>
      <c r="F571" s="27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</row>
    <row r="572" spans="2:35" ht="15.75" customHeight="1" x14ac:dyDescent="0.2">
      <c r="B572"/>
      <c r="C572" s="2"/>
      <c r="D572" s="2"/>
      <c r="E572" s="2"/>
      <c r="F572" s="27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</row>
    <row r="573" spans="2:35" ht="15.75" customHeight="1" x14ac:dyDescent="0.2">
      <c r="B573"/>
      <c r="C573" s="2"/>
      <c r="D573" s="2"/>
      <c r="E573" s="2"/>
      <c r="F573" s="27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</row>
    <row r="574" spans="2:35" ht="15.75" customHeight="1" x14ac:dyDescent="0.2">
      <c r="B574"/>
      <c r="C574" s="2"/>
      <c r="D574" s="2"/>
      <c r="E574" s="2"/>
      <c r="F574" s="27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</row>
    <row r="575" spans="2:35" ht="15.75" customHeight="1" x14ac:dyDescent="0.2">
      <c r="B575"/>
      <c r="C575" s="2"/>
      <c r="D575" s="2"/>
      <c r="E575" s="2"/>
      <c r="F575" s="27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</row>
    <row r="576" spans="2:35" ht="15.75" customHeight="1" x14ac:dyDescent="0.2">
      <c r="B576"/>
      <c r="C576" s="2"/>
      <c r="D576" s="2"/>
      <c r="E576" s="2"/>
      <c r="F576" s="27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</row>
    <row r="577" spans="2:35" ht="15.75" customHeight="1" x14ac:dyDescent="0.2">
      <c r="B577"/>
      <c r="C577" s="2"/>
      <c r="D577" s="2"/>
      <c r="E577" s="2"/>
      <c r="F577" s="27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</row>
    <row r="578" spans="2:35" ht="15.75" customHeight="1" x14ac:dyDescent="0.2">
      <c r="B578"/>
      <c r="C578" s="2"/>
      <c r="D578" s="2"/>
      <c r="E578" s="2"/>
      <c r="F578" s="27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</row>
    <row r="579" spans="2:35" ht="15.75" customHeight="1" x14ac:dyDescent="0.2">
      <c r="B579"/>
      <c r="C579" s="2"/>
      <c r="D579" s="2"/>
      <c r="E579" s="2"/>
      <c r="F579" s="27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</row>
    <row r="580" spans="2:35" ht="15.75" customHeight="1" x14ac:dyDescent="0.2">
      <c r="B580"/>
      <c r="C580" s="2"/>
      <c r="D580" s="2"/>
      <c r="E580" s="2"/>
      <c r="F580" s="27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</row>
    <row r="581" spans="2:35" ht="15.75" customHeight="1" x14ac:dyDescent="0.2">
      <c r="B581"/>
      <c r="C581" s="2"/>
      <c r="D581" s="2"/>
      <c r="E581" s="2"/>
      <c r="F581" s="27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</row>
    <row r="582" spans="2:35" ht="15.75" customHeight="1" x14ac:dyDescent="0.2">
      <c r="B582"/>
      <c r="C582" s="2"/>
      <c r="D582" s="2"/>
      <c r="E582" s="2"/>
      <c r="F582" s="27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</row>
    <row r="583" spans="2:35" ht="15.75" customHeight="1" x14ac:dyDescent="0.2">
      <c r="B583"/>
      <c r="C583" s="2"/>
      <c r="D583" s="2"/>
      <c r="E583" s="2"/>
      <c r="F583" s="27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</row>
    <row r="584" spans="2:35" ht="15.75" customHeight="1" x14ac:dyDescent="0.2">
      <c r="B584"/>
      <c r="C584" s="2"/>
      <c r="D584" s="2"/>
      <c r="E584" s="2"/>
      <c r="F584" s="27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</row>
    <row r="585" spans="2:35" ht="15.75" customHeight="1" x14ac:dyDescent="0.2">
      <c r="B585"/>
      <c r="C585" s="2"/>
      <c r="D585" s="2"/>
      <c r="E585" s="2"/>
      <c r="F585" s="27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</row>
    <row r="586" spans="2:35" ht="15.75" customHeight="1" x14ac:dyDescent="0.2">
      <c r="B586"/>
      <c r="C586" s="2"/>
      <c r="D586" s="2"/>
      <c r="E586" s="2"/>
      <c r="F586" s="27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</row>
    <row r="587" spans="2:35" ht="15.75" customHeight="1" x14ac:dyDescent="0.2">
      <c r="B587"/>
      <c r="C587" s="2"/>
      <c r="D587" s="2"/>
      <c r="E587" s="2"/>
      <c r="F587" s="27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</row>
    <row r="588" spans="2:35" ht="15.75" customHeight="1" x14ac:dyDescent="0.2">
      <c r="B588"/>
      <c r="C588" s="2"/>
      <c r="D588" s="2"/>
      <c r="E588" s="2"/>
      <c r="F588" s="27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</row>
    <row r="589" spans="2:35" ht="15.75" customHeight="1" x14ac:dyDescent="0.2">
      <c r="B589"/>
      <c r="C589" s="2"/>
      <c r="D589" s="2"/>
      <c r="E589" s="2"/>
      <c r="F589" s="27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</row>
    <row r="590" spans="2:35" ht="15.75" customHeight="1" x14ac:dyDescent="0.2">
      <c r="B590"/>
      <c r="C590" s="2"/>
      <c r="D590" s="2"/>
      <c r="E590" s="2"/>
      <c r="F590" s="27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</row>
    <row r="591" spans="2:35" ht="15.75" customHeight="1" x14ac:dyDescent="0.2">
      <c r="B591"/>
      <c r="C591" s="2"/>
      <c r="D591" s="2"/>
      <c r="E591" s="2"/>
      <c r="F591" s="27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</row>
    <row r="592" spans="2:35" ht="15.75" customHeight="1" x14ac:dyDescent="0.2">
      <c r="B592"/>
      <c r="C592" s="2"/>
      <c r="D592" s="2"/>
      <c r="E592" s="2"/>
      <c r="F592" s="27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</row>
    <row r="593" spans="2:35" ht="15.75" customHeight="1" x14ac:dyDescent="0.2">
      <c r="B593"/>
      <c r="C593" s="2"/>
      <c r="D593" s="2"/>
      <c r="E593" s="2"/>
      <c r="F593" s="27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</row>
    <row r="594" spans="2:35" ht="15.75" customHeight="1" x14ac:dyDescent="0.2">
      <c r="B594"/>
      <c r="C594" s="2"/>
      <c r="D594" s="2"/>
      <c r="E594" s="2"/>
      <c r="F594" s="27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</row>
    <row r="595" spans="2:35" ht="15.75" customHeight="1" x14ac:dyDescent="0.2">
      <c r="B595"/>
      <c r="C595" s="2"/>
      <c r="D595" s="2"/>
      <c r="E595" s="2"/>
      <c r="F595" s="27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</row>
    <row r="596" spans="2:35" ht="15.75" customHeight="1" x14ac:dyDescent="0.2">
      <c r="B596"/>
      <c r="C596" s="2"/>
      <c r="D596" s="2"/>
      <c r="E596" s="2"/>
      <c r="F596" s="27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</row>
    <row r="597" spans="2:35" ht="15.75" customHeight="1" x14ac:dyDescent="0.2">
      <c r="B597"/>
      <c r="C597" s="2"/>
      <c r="D597" s="2"/>
      <c r="E597" s="2"/>
      <c r="F597" s="27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</row>
    <row r="598" spans="2:35" ht="15.75" customHeight="1" x14ac:dyDescent="0.2">
      <c r="B598"/>
      <c r="C598" s="2"/>
      <c r="D598" s="2"/>
      <c r="E598" s="2"/>
      <c r="F598" s="27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</row>
    <row r="599" spans="2:35" ht="15.75" customHeight="1" x14ac:dyDescent="0.2">
      <c r="B599"/>
      <c r="C599" s="2"/>
      <c r="D599" s="2"/>
      <c r="E599" s="2"/>
      <c r="F599" s="27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</row>
    <row r="600" spans="2:35" ht="15.75" customHeight="1" x14ac:dyDescent="0.2">
      <c r="B600"/>
      <c r="C600" s="2"/>
      <c r="D600" s="2"/>
      <c r="E600" s="2"/>
      <c r="F600" s="27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</row>
    <row r="601" spans="2:35" ht="15.75" customHeight="1" x14ac:dyDescent="0.2">
      <c r="B601"/>
      <c r="C601" s="2"/>
      <c r="D601" s="2"/>
      <c r="E601" s="2"/>
      <c r="F601" s="27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</row>
    <row r="602" spans="2:35" ht="15.75" customHeight="1" x14ac:dyDescent="0.2">
      <c r="B602"/>
      <c r="C602" s="2"/>
      <c r="D602" s="2"/>
      <c r="E602" s="2"/>
      <c r="F602" s="27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</row>
    <row r="603" spans="2:35" ht="15.75" customHeight="1" x14ac:dyDescent="0.2">
      <c r="B603"/>
      <c r="C603" s="2"/>
      <c r="D603" s="2"/>
      <c r="E603" s="2"/>
      <c r="F603" s="27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</row>
    <row r="604" spans="2:35" ht="15.75" customHeight="1" x14ac:dyDescent="0.2">
      <c r="B604"/>
      <c r="C604" s="2"/>
      <c r="D604" s="2"/>
      <c r="E604" s="2"/>
      <c r="F604" s="27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</row>
    <row r="605" spans="2:35" ht="15.75" customHeight="1" x14ac:dyDescent="0.2">
      <c r="B605"/>
      <c r="C605" s="2"/>
      <c r="D605" s="2"/>
      <c r="E605" s="2"/>
      <c r="F605" s="27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</row>
    <row r="606" spans="2:35" ht="15.75" customHeight="1" x14ac:dyDescent="0.2">
      <c r="B606"/>
      <c r="C606" s="2"/>
      <c r="D606" s="2"/>
      <c r="E606" s="2"/>
      <c r="F606" s="27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</row>
    <row r="607" spans="2:35" ht="15.75" customHeight="1" x14ac:dyDescent="0.2">
      <c r="B607"/>
      <c r="C607" s="2"/>
      <c r="D607" s="2"/>
      <c r="E607" s="2"/>
      <c r="F607" s="27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</row>
    <row r="608" spans="2:35" ht="15.75" customHeight="1" x14ac:dyDescent="0.2">
      <c r="B608"/>
      <c r="C608" s="2"/>
      <c r="D608" s="2"/>
      <c r="E608" s="2"/>
      <c r="F608" s="27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</row>
    <row r="609" spans="2:35" ht="15.75" customHeight="1" x14ac:dyDescent="0.2">
      <c r="B609"/>
      <c r="C609" s="2"/>
      <c r="D609" s="2"/>
      <c r="E609" s="2"/>
      <c r="F609" s="27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</row>
    <row r="610" spans="2:35" ht="15.75" customHeight="1" x14ac:dyDescent="0.2">
      <c r="B610"/>
      <c r="C610" s="2"/>
      <c r="D610" s="2"/>
      <c r="E610" s="2"/>
      <c r="F610" s="27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</row>
    <row r="611" spans="2:35" ht="15.75" customHeight="1" x14ac:dyDescent="0.2">
      <c r="B611"/>
      <c r="C611" s="2"/>
      <c r="D611" s="2"/>
      <c r="E611" s="2"/>
      <c r="F611" s="27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</row>
    <row r="612" spans="2:35" ht="15.75" customHeight="1" x14ac:dyDescent="0.2">
      <c r="B612"/>
      <c r="C612" s="2"/>
      <c r="D612" s="2"/>
      <c r="E612" s="2"/>
      <c r="F612" s="27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</row>
    <row r="613" spans="2:35" ht="15.75" customHeight="1" x14ac:dyDescent="0.2">
      <c r="B613"/>
      <c r="C613" s="2"/>
      <c r="D613" s="2"/>
      <c r="E613" s="2"/>
      <c r="F613" s="27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</row>
    <row r="614" spans="2:35" ht="15.75" customHeight="1" x14ac:dyDescent="0.2">
      <c r="B614"/>
      <c r="C614" s="2"/>
      <c r="D614" s="2"/>
      <c r="E614" s="2"/>
      <c r="F614" s="27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</row>
    <row r="615" spans="2:35" ht="15.75" customHeight="1" x14ac:dyDescent="0.2">
      <c r="B615"/>
      <c r="C615" s="2"/>
      <c r="D615" s="2"/>
      <c r="E615" s="2"/>
      <c r="F615" s="27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</row>
    <row r="616" spans="2:35" ht="15.75" customHeight="1" x14ac:dyDescent="0.2">
      <c r="B616"/>
      <c r="C616" s="2"/>
      <c r="D616" s="2"/>
      <c r="E616" s="2"/>
      <c r="F616" s="27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</row>
    <row r="617" spans="2:35" ht="15.75" customHeight="1" x14ac:dyDescent="0.2">
      <c r="B617"/>
      <c r="C617" s="2"/>
      <c r="D617" s="2"/>
      <c r="E617" s="2"/>
      <c r="F617" s="27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</row>
    <row r="618" spans="2:35" ht="15.75" customHeight="1" x14ac:dyDescent="0.2">
      <c r="B618"/>
      <c r="C618" s="2"/>
      <c r="D618" s="2"/>
      <c r="E618" s="2"/>
      <c r="F618" s="27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</row>
    <row r="619" spans="2:35" ht="15.75" customHeight="1" x14ac:dyDescent="0.2">
      <c r="B619"/>
      <c r="C619" s="2"/>
      <c r="D619" s="2"/>
      <c r="E619" s="2"/>
      <c r="F619" s="27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</row>
    <row r="620" spans="2:35" ht="15.75" customHeight="1" x14ac:dyDescent="0.2">
      <c r="B620"/>
      <c r="C620" s="2"/>
      <c r="D620" s="2"/>
      <c r="E620" s="2"/>
      <c r="F620" s="27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</row>
    <row r="621" spans="2:35" ht="15.75" customHeight="1" x14ac:dyDescent="0.2">
      <c r="B621"/>
      <c r="C621" s="2"/>
      <c r="D621" s="2"/>
      <c r="E621" s="2"/>
      <c r="F621" s="27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</row>
    <row r="622" spans="2:35" ht="15.75" customHeight="1" x14ac:dyDescent="0.2">
      <c r="B622"/>
      <c r="C622" s="2"/>
      <c r="D622" s="2"/>
      <c r="E622" s="2"/>
      <c r="F622" s="27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</row>
    <row r="623" spans="2:35" ht="15.75" customHeight="1" x14ac:dyDescent="0.2">
      <c r="B623"/>
      <c r="C623" s="2"/>
      <c r="D623" s="2"/>
      <c r="E623" s="2"/>
      <c r="F623" s="27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</row>
    <row r="624" spans="2:35" ht="15.75" customHeight="1" x14ac:dyDescent="0.2">
      <c r="B624"/>
      <c r="C624" s="2"/>
      <c r="D624" s="2"/>
      <c r="E624" s="2"/>
      <c r="F624" s="27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</row>
    <row r="625" spans="2:35" ht="15.75" customHeight="1" x14ac:dyDescent="0.2">
      <c r="B625"/>
      <c r="C625" s="2"/>
      <c r="D625" s="2"/>
      <c r="E625" s="2"/>
      <c r="F625" s="27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</row>
    <row r="626" spans="2:35" ht="15.75" customHeight="1" x14ac:dyDescent="0.2">
      <c r="B626"/>
      <c r="C626" s="2"/>
      <c r="D626" s="2"/>
      <c r="E626" s="2"/>
      <c r="F626" s="27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</row>
    <row r="627" spans="2:35" ht="15.75" customHeight="1" x14ac:dyDescent="0.2">
      <c r="B627"/>
      <c r="C627" s="2"/>
      <c r="D627" s="2"/>
      <c r="E627" s="2"/>
      <c r="F627" s="27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</row>
    <row r="628" spans="2:35" ht="15.75" customHeight="1" x14ac:dyDescent="0.2">
      <c r="B628"/>
      <c r="C628" s="2"/>
      <c r="D628" s="2"/>
      <c r="E628" s="2"/>
      <c r="F628" s="27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</row>
    <row r="629" spans="2:35" ht="15.75" customHeight="1" x14ac:dyDescent="0.2">
      <c r="B629"/>
      <c r="C629" s="2"/>
      <c r="D629" s="2"/>
      <c r="E629" s="2"/>
      <c r="F629" s="27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</row>
    <row r="630" spans="2:35" ht="15.75" customHeight="1" x14ac:dyDescent="0.2">
      <c r="B630"/>
      <c r="C630" s="2"/>
      <c r="D630" s="2"/>
      <c r="E630" s="2"/>
      <c r="F630" s="27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</row>
    <row r="631" spans="2:35" ht="15.75" customHeight="1" x14ac:dyDescent="0.2">
      <c r="B631"/>
      <c r="C631" s="2"/>
      <c r="D631" s="2"/>
      <c r="E631" s="2"/>
      <c r="F631" s="27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</row>
    <row r="632" spans="2:35" ht="15.75" customHeight="1" x14ac:dyDescent="0.2">
      <c r="B632"/>
      <c r="C632" s="2"/>
      <c r="D632" s="2"/>
      <c r="E632" s="2"/>
      <c r="F632" s="27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</row>
    <row r="633" spans="2:35" ht="15.75" customHeight="1" x14ac:dyDescent="0.2">
      <c r="B633"/>
      <c r="C633" s="2"/>
      <c r="D633" s="2"/>
      <c r="E633" s="2"/>
      <c r="F633" s="27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</row>
    <row r="634" spans="2:35" ht="15.75" customHeight="1" x14ac:dyDescent="0.2">
      <c r="B634"/>
      <c r="C634" s="2"/>
      <c r="D634" s="2"/>
      <c r="E634" s="2"/>
      <c r="F634" s="27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</row>
    <row r="635" spans="2:35" ht="15.75" customHeight="1" x14ac:dyDescent="0.2">
      <c r="B635"/>
      <c r="C635" s="2"/>
      <c r="D635" s="2"/>
      <c r="E635" s="2"/>
      <c r="F635" s="27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</row>
    <row r="636" spans="2:35" ht="15.75" customHeight="1" x14ac:dyDescent="0.2">
      <c r="B636"/>
      <c r="C636" s="2"/>
      <c r="D636" s="2"/>
      <c r="E636" s="2"/>
      <c r="F636" s="27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</row>
    <row r="637" spans="2:35" ht="15.75" customHeight="1" x14ac:dyDescent="0.2">
      <c r="B637"/>
      <c r="C637" s="2"/>
      <c r="D637" s="2"/>
      <c r="E637" s="2"/>
      <c r="F637" s="27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</row>
    <row r="638" spans="2:35" ht="15.75" customHeight="1" x14ac:dyDescent="0.2">
      <c r="B638"/>
      <c r="C638" s="2"/>
      <c r="D638" s="2"/>
      <c r="E638" s="2"/>
      <c r="F638" s="27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</row>
    <row r="639" spans="2:35" ht="15.75" customHeight="1" x14ac:dyDescent="0.2">
      <c r="B639"/>
      <c r="C639" s="2"/>
      <c r="D639" s="2"/>
      <c r="E639" s="2"/>
      <c r="F639" s="27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</row>
    <row r="640" spans="2:35" ht="15.75" customHeight="1" x14ac:dyDescent="0.2">
      <c r="B640"/>
      <c r="C640" s="2"/>
      <c r="D640" s="2"/>
      <c r="E640" s="2"/>
      <c r="F640" s="27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</row>
    <row r="641" spans="2:35" ht="15.75" customHeight="1" x14ac:dyDescent="0.2">
      <c r="B641"/>
      <c r="C641" s="2"/>
      <c r="D641" s="2"/>
      <c r="E641" s="2"/>
      <c r="F641" s="27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</row>
    <row r="642" spans="2:35" ht="15.75" customHeight="1" x14ac:dyDescent="0.2">
      <c r="B642"/>
      <c r="C642" s="2"/>
      <c r="D642" s="2"/>
      <c r="E642" s="2"/>
      <c r="F642" s="27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</row>
    <row r="643" spans="2:35" ht="15.75" customHeight="1" x14ac:dyDescent="0.2">
      <c r="B643"/>
      <c r="C643" s="2"/>
      <c r="D643" s="2"/>
      <c r="E643" s="2"/>
      <c r="F643" s="27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</row>
    <row r="644" spans="2:35" ht="15.75" customHeight="1" x14ac:dyDescent="0.2">
      <c r="B644"/>
      <c r="C644" s="2"/>
      <c r="D644" s="2"/>
      <c r="E644" s="2"/>
      <c r="F644" s="27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</row>
    <row r="645" spans="2:35" ht="15.75" customHeight="1" x14ac:dyDescent="0.2">
      <c r="B645"/>
      <c r="C645" s="2"/>
      <c r="D645" s="2"/>
      <c r="E645" s="2"/>
      <c r="F645" s="27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</row>
    <row r="646" spans="2:35" ht="15.75" customHeight="1" x14ac:dyDescent="0.2">
      <c r="B646"/>
      <c r="C646" s="2"/>
      <c r="D646" s="2"/>
      <c r="E646" s="2"/>
      <c r="F646" s="27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</row>
    <row r="647" spans="2:35" ht="15.75" customHeight="1" x14ac:dyDescent="0.2">
      <c r="B647"/>
      <c r="C647" s="2"/>
      <c r="D647" s="2"/>
      <c r="E647" s="2"/>
      <c r="F647" s="27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</row>
    <row r="648" spans="2:35" ht="15.75" customHeight="1" x14ac:dyDescent="0.2">
      <c r="B648"/>
      <c r="C648" s="2"/>
      <c r="D648" s="2"/>
      <c r="E648" s="2"/>
      <c r="F648" s="27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</row>
    <row r="649" spans="2:35" ht="15.75" customHeight="1" x14ac:dyDescent="0.2">
      <c r="B649"/>
      <c r="C649" s="2"/>
      <c r="D649" s="2"/>
      <c r="E649" s="2"/>
      <c r="F649" s="27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</row>
    <row r="650" spans="2:35" ht="15.75" customHeight="1" x14ac:dyDescent="0.2">
      <c r="B650"/>
      <c r="C650" s="2"/>
      <c r="D650" s="2"/>
      <c r="E650" s="2"/>
      <c r="F650" s="27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</row>
    <row r="651" spans="2:35" ht="15.75" customHeight="1" x14ac:dyDescent="0.2">
      <c r="B651"/>
      <c r="C651" s="2"/>
      <c r="D651" s="2"/>
      <c r="E651" s="2"/>
      <c r="F651" s="27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</row>
    <row r="652" spans="2:35" ht="15.75" customHeight="1" x14ac:dyDescent="0.2">
      <c r="B652"/>
      <c r="C652" s="2"/>
      <c r="D652" s="2"/>
      <c r="E652" s="2"/>
      <c r="F652" s="27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</row>
    <row r="653" spans="2:35" ht="15.75" customHeight="1" x14ac:dyDescent="0.2">
      <c r="B653"/>
      <c r="C653" s="2"/>
      <c r="D653" s="2"/>
      <c r="E653" s="2"/>
      <c r="F653" s="27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</row>
    <row r="654" spans="2:35" ht="15.75" customHeight="1" x14ac:dyDescent="0.2">
      <c r="B654"/>
      <c r="C654" s="2"/>
      <c r="D654" s="2"/>
      <c r="E654" s="2"/>
      <c r="F654" s="27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</row>
    <row r="655" spans="2:35" ht="15.75" customHeight="1" x14ac:dyDescent="0.2">
      <c r="B655"/>
      <c r="C655" s="2"/>
      <c r="D655" s="2"/>
      <c r="E655" s="2"/>
      <c r="F655" s="27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</row>
    <row r="656" spans="2:35" ht="15.75" customHeight="1" x14ac:dyDescent="0.2">
      <c r="B656"/>
      <c r="C656" s="2"/>
      <c r="D656" s="2"/>
      <c r="E656" s="2"/>
      <c r="F656" s="27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</row>
    <row r="657" spans="2:35" ht="15.75" customHeight="1" x14ac:dyDescent="0.2">
      <c r="B657"/>
      <c r="C657" s="2"/>
      <c r="D657" s="2"/>
      <c r="E657" s="2"/>
      <c r="F657" s="27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</row>
    <row r="658" spans="2:35" ht="15.75" customHeight="1" x14ac:dyDescent="0.2">
      <c r="B658"/>
      <c r="C658" s="2"/>
      <c r="D658" s="2"/>
      <c r="E658" s="2"/>
      <c r="F658" s="27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</row>
    <row r="659" spans="2:35" ht="15.75" customHeight="1" x14ac:dyDescent="0.2">
      <c r="B659"/>
      <c r="C659" s="2"/>
      <c r="D659" s="2"/>
      <c r="E659" s="2"/>
      <c r="F659" s="27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</row>
    <row r="660" spans="2:35" ht="15.75" customHeight="1" x14ac:dyDescent="0.2">
      <c r="B660"/>
      <c r="C660" s="2"/>
      <c r="D660" s="2"/>
      <c r="E660" s="2"/>
      <c r="F660" s="27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</row>
    <row r="661" spans="2:35" ht="15.75" customHeight="1" x14ac:dyDescent="0.2">
      <c r="B661"/>
      <c r="C661" s="2"/>
      <c r="D661" s="2"/>
      <c r="E661" s="2"/>
      <c r="F661" s="27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</row>
    <row r="662" spans="2:35" ht="15.75" customHeight="1" x14ac:dyDescent="0.2">
      <c r="B662"/>
      <c r="C662" s="2"/>
      <c r="D662" s="2"/>
      <c r="E662" s="2"/>
      <c r="F662" s="27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</row>
    <row r="663" spans="2:35" ht="15.75" customHeight="1" x14ac:dyDescent="0.2">
      <c r="B663"/>
      <c r="C663" s="2"/>
      <c r="D663" s="2"/>
      <c r="E663" s="2"/>
      <c r="F663" s="27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</row>
    <row r="664" spans="2:35" ht="15.75" customHeight="1" x14ac:dyDescent="0.2">
      <c r="B664"/>
      <c r="C664" s="2"/>
      <c r="D664" s="2"/>
      <c r="E664" s="2"/>
      <c r="F664" s="27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</row>
    <row r="665" spans="2:35" ht="15.75" customHeight="1" x14ac:dyDescent="0.2">
      <c r="B665"/>
      <c r="C665" s="2"/>
      <c r="D665" s="2"/>
      <c r="E665" s="2"/>
      <c r="F665" s="27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</row>
    <row r="666" spans="2:35" ht="15.75" customHeight="1" x14ac:dyDescent="0.2">
      <c r="B666"/>
      <c r="C666" s="2"/>
      <c r="D666" s="2"/>
      <c r="E666" s="2"/>
      <c r="F666" s="27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</row>
    <row r="667" spans="2:35" ht="15.75" customHeight="1" x14ac:dyDescent="0.2">
      <c r="B667"/>
      <c r="C667" s="2"/>
      <c r="D667" s="2"/>
      <c r="E667" s="2"/>
      <c r="F667" s="27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</row>
    <row r="668" spans="2:35" ht="15.75" customHeight="1" x14ac:dyDescent="0.2">
      <c r="B668"/>
      <c r="C668" s="2"/>
      <c r="D668" s="2"/>
      <c r="E668" s="2"/>
      <c r="F668" s="27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</row>
    <row r="669" spans="2:35" ht="15.75" customHeight="1" x14ac:dyDescent="0.2">
      <c r="B669"/>
      <c r="C669" s="2"/>
      <c r="D669" s="2"/>
      <c r="E669" s="2"/>
      <c r="F669" s="27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</row>
    <row r="670" spans="2:35" ht="15.75" customHeight="1" x14ac:dyDescent="0.2">
      <c r="B670"/>
      <c r="C670" s="2"/>
      <c r="D670" s="2"/>
      <c r="E670" s="2"/>
      <c r="F670" s="27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</row>
    <row r="671" spans="2:35" ht="15.75" customHeight="1" x14ac:dyDescent="0.2">
      <c r="B671"/>
      <c r="C671" s="2"/>
      <c r="D671" s="2"/>
      <c r="E671" s="2"/>
      <c r="F671" s="27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</row>
    <row r="672" spans="2:35" ht="15.75" customHeight="1" x14ac:dyDescent="0.2">
      <c r="B672"/>
      <c r="C672" s="2"/>
      <c r="D672" s="2"/>
      <c r="E672" s="2"/>
      <c r="F672" s="27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</row>
    <row r="673" spans="2:35" ht="15.75" customHeight="1" x14ac:dyDescent="0.2">
      <c r="B673"/>
      <c r="C673" s="2"/>
      <c r="D673" s="2"/>
      <c r="E673" s="2"/>
      <c r="F673" s="27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</row>
    <row r="674" spans="2:35" ht="15.75" customHeight="1" x14ac:dyDescent="0.2">
      <c r="B674"/>
      <c r="C674" s="2"/>
      <c r="D674" s="2"/>
      <c r="E674" s="2"/>
      <c r="F674" s="27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</row>
    <row r="675" spans="2:35" ht="15.75" customHeight="1" x14ac:dyDescent="0.2">
      <c r="B675"/>
      <c r="C675" s="2"/>
      <c r="D675" s="2"/>
      <c r="E675" s="2"/>
      <c r="F675" s="27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</row>
    <row r="676" spans="2:35" ht="15.75" customHeight="1" x14ac:dyDescent="0.2">
      <c r="B676"/>
      <c r="C676" s="2"/>
      <c r="D676" s="2"/>
      <c r="E676" s="2"/>
      <c r="F676" s="27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</row>
    <row r="677" spans="2:35" ht="15.75" customHeight="1" x14ac:dyDescent="0.2">
      <c r="B677"/>
      <c r="C677" s="2"/>
      <c r="D677" s="2"/>
      <c r="E677" s="2"/>
      <c r="F677" s="27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</row>
    <row r="678" spans="2:35" ht="15.75" customHeight="1" x14ac:dyDescent="0.2">
      <c r="B678"/>
      <c r="C678" s="2"/>
      <c r="D678" s="2"/>
      <c r="E678" s="2"/>
      <c r="F678" s="27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</row>
    <row r="679" spans="2:35" ht="15.75" customHeight="1" x14ac:dyDescent="0.2">
      <c r="B679"/>
      <c r="C679" s="2"/>
      <c r="D679" s="2"/>
      <c r="E679" s="2"/>
      <c r="F679" s="27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</row>
    <row r="680" spans="2:35" ht="15.75" customHeight="1" x14ac:dyDescent="0.2">
      <c r="B680"/>
      <c r="C680" s="2"/>
      <c r="D680" s="2"/>
      <c r="E680" s="2"/>
      <c r="F680" s="27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</row>
    <row r="681" spans="2:35" ht="15.75" customHeight="1" x14ac:dyDescent="0.2">
      <c r="B681"/>
      <c r="C681" s="2"/>
      <c r="D681" s="2"/>
      <c r="E681" s="2"/>
      <c r="F681" s="27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</row>
    <row r="682" spans="2:35" ht="15.75" customHeight="1" x14ac:dyDescent="0.2">
      <c r="B682"/>
      <c r="C682" s="2"/>
      <c r="D682" s="2"/>
      <c r="E682" s="2"/>
      <c r="F682" s="27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</row>
    <row r="683" spans="2:35" ht="15.75" customHeight="1" x14ac:dyDescent="0.2">
      <c r="B683"/>
      <c r="C683" s="2"/>
      <c r="D683" s="2"/>
      <c r="E683" s="2"/>
      <c r="F683" s="27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</row>
    <row r="684" spans="2:35" ht="15.75" customHeight="1" x14ac:dyDescent="0.2">
      <c r="B684"/>
      <c r="C684" s="2"/>
      <c r="D684" s="2"/>
      <c r="E684" s="2"/>
      <c r="F684" s="27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</row>
    <row r="685" spans="2:35" ht="15.75" customHeight="1" x14ac:dyDescent="0.2">
      <c r="B685"/>
      <c r="C685" s="2"/>
      <c r="D685" s="2"/>
      <c r="E685" s="2"/>
      <c r="F685" s="27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</row>
    <row r="686" spans="2:35" ht="15.75" customHeight="1" x14ac:dyDescent="0.2">
      <c r="B686"/>
      <c r="C686" s="2"/>
      <c r="D686" s="2"/>
      <c r="E686" s="2"/>
      <c r="F686" s="27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</row>
    <row r="687" spans="2:35" ht="15.75" customHeight="1" x14ac:dyDescent="0.2">
      <c r="B687"/>
      <c r="C687" s="2"/>
      <c r="D687" s="2"/>
      <c r="E687" s="2"/>
      <c r="F687" s="27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</row>
    <row r="688" spans="2:35" ht="15.75" customHeight="1" x14ac:dyDescent="0.2">
      <c r="B688"/>
      <c r="C688" s="2"/>
      <c r="D688" s="2"/>
      <c r="E688" s="2"/>
      <c r="F688" s="27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</row>
    <row r="689" spans="2:35" ht="15.75" customHeight="1" x14ac:dyDescent="0.2">
      <c r="B689"/>
      <c r="C689" s="2"/>
      <c r="D689" s="2"/>
      <c r="E689" s="2"/>
      <c r="F689" s="27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</row>
    <row r="690" spans="2:35" ht="15.75" customHeight="1" x14ac:dyDescent="0.2">
      <c r="B690"/>
      <c r="C690" s="2"/>
      <c r="D690" s="2"/>
      <c r="E690" s="2"/>
      <c r="F690" s="27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</row>
    <row r="691" spans="2:35" ht="15.75" customHeight="1" x14ac:dyDescent="0.2">
      <c r="B691"/>
      <c r="C691" s="2"/>
      <c r="D691" s="2"/>
      <c r="E691" s="2"/>
      <c r="F691" s="27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</row>
    <row r="692" spans="2:35" ht="15.75" customHeight="1" x14ac:dyDescent="0.2">
      <c r="B692"/>
      <c r="C692" s="2"/>
      <c r="D692" s="2"/>
      <c r="E692" s="2"/>
      <c r="F692" s="27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</row>
    <row r="693" spans="2:35" ht="15.75" customHeight="1" x14ac:dyDescent="0.2">
      <c r="B693"/>
      <c r="C693" s="2"/>
      <c r="D693" s="2"/>
      <c r="E693" s="2"/>
      <c r="F693" s="27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</row>
    <row r="694" spans="2:35" ht="15.75" customHeight="1" x14ac:dyDescent="0.2">
      <c r="B694"/>
      <c r="C694" s="2"/>
      <c r="D694" s="2"/>
      <c r="E694" s="2"/>
      <c r="F694" s="27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</row>
    <row r="695" spans="2:35" ht="15.75" customHeight="1" x14ac:dyDescent="0.2">
      <c r="B695"/>
      <c r="C695" s="2"/>
      <c r="D695" s="2"/>
      <c r="E695" s="2"/>
      <c r="F695" s="27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</row>
    <row r="696" spans="2:35" ht="15.75" customHeight="1" x14ac:dyDescent="0.2">
      <c r="B696"/>
      <c r="C696" s="2"/>
      <c r="D696" s="2"/>
      <c r="E696" s="2"/>
      <c r="F696" s="27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</row>
    <row r="697" spans="2:35" ht="15.75" customHeight="1" x14ac:dyDescent="0.2">
      <c r="B697"/>
      <c r="C697" s="2"/>
      <c r="D697" s="2"/>
      <c r="E697" s="2"/>
      <c r="F697" s="27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</row>
    <row r="698" spans="2:35" ht="15.75" customHeight="1" x14ac:dyDescent="0.2">
      <c r="B698"/>
      <c r="C698" s="2"/>
      <c r="D698" s="2"/>
      <c r="E698" s="2"/>
      <c r="F698" s="27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</row>
    <row r="699" spans="2:35" ht="15.75" customHeight="1" x14ac:dyDescent="0.2">
      <c r="B699"/>
      <c r="C699" s="2"/>
      <c r="D699" s="2"/>
      <c r="E699" s="2"/>
      <c r="F699" s="27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</row>
    <row r="700" spans="2:35" ht="15.75" customHeight="1" x14ac:dyDescent="0.2">
      <c r="B700"/>
      <c r="C700" s="2"/>
      <c r="D700" s="2"/>
      <c r="E700" s="2"/>
      <c r="F700" s="27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</row>
    <row r="701" spans="2:35" ht="15.75" customHeight="1" x14ac:dyDescent="0.2">
      <c r="B701"/>
      <c r="C701" s="2"/>
      <c r="D701" s="2"/>
      <c r="E701" s="2"/>
      <c r="F701" s="27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</row>
    <row r="702" spans="2:35" ht="15.75" customHeight="1" x14ac:dyDescent="0.2">
      <c r="B702"/>
      <c r="C702" s="2"/>
      <c r="D702" s="2"/>
      <c r="E702" s="2"/>
      <c r="F702" s="27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</row>
    <row r="703" spans="2:35" ht="15.75" customHeight="1" x14ac:dyDescent="0.2">
      <c r="B703"/>
      <c r="C703" s="2"/>
      <c r="D703" s="2"/>
      <c r="E703" s="2"/>
      <c r="F703" s="27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</row>
    <row r="704" spans="2:35" ht="15.75" customHeight="1" x14ac:dyDescent="0.2">
      <c r="B704"/>
      <c r="C704" s="2"/>
      <c r="D704" s="2"/>
      <c r="E704" s="2"/>
      <c r="F704" s="27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</row>
    <row r="705" spans="2:35" ht="15.75" customHeight="1" x14ac:dyDescent="0.2">
      <c r="B705"/>
      <c r="C705" s="2"/>
      <c r="D705" s="2"/>
      <c r="E705" s="2"/>
      <c r="F705" s="27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</row>
    <row r="706" spans="2:35" ht="15.75" customHeight="1" x14ac:dyDescent="0.2">
      <c r="B706"/>
      <c r="C706" s="2"/>
      <c r="D706" s="2"/>
      <c r="E706" s="2"/>
      <c r="F706" s="27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</row>
    <row r="707" spans="2:35" ht="15.75" customHeight="1" x14ac:dyDescent="0.2">
      <c r="B707"/>
      <c r="C707" s="2"/>
      <c r="D707" s="2"/>
      <c r="E707" s="2"/>
      <c r="F707" s="27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</row>
    <row r="708" spans="2:35" ht="15.75" customHeight="1" x14ac:dyDescent="0.2">
      <c r="B708"/>
      <c r="C708" s="2"/>
      <c r="D708" s="2"/>
      <c r="E708" s="2"/>
      <c r="F708" s="27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</row>
    <row r="709" spans="2:35" ht="15.75" customHeight="1" x14ac:dyDescent="0.2">
      <c r="B709"/>
      <c r="C709" s="2"/>
      <c r="D709" s="2"/>
      <c r="E709" s="2"/>
      <c r="F709" s="27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</row>
    <row r="710" spans="2:35" ht="15.75" customHeight="1" x14ac:dyDescent="0.2">
      <c r="B710"/>
      <c r="C710" s="2"/>
      <c r="D710" s="2"/>
      <c r="E710" s="2"/>
      <c r="F710" s="27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</row>
    <row r="711" spans="2:35" ht="15.75" customHeight="1" x14ac:dyDescent="0.2">
      <c r="B711"/>
      <c r="C711" s="2"/>
      <c r="D711" s="2"/>
      <c r="E711" s="2"/>
      <c r="F711" s="27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</row>
    <row r="712" spans="2:35" ht="15.75" customHeight="1" x14ac:dyDescent="0.2">
      <c r="B712"/>
      <c r="C712" s="2"/>
      <c r="D712" s="2"/>
      <c r="E712" s="2"/>
      <c r="F712" s="27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</row>
    <row r="713" spans="2:35" ht="15.75" customHeight="1" x14ac:dyDescent="0.2">
      <c r="B713"/>
      <c r="C713" s="2"/>
      <c r="D713" s="2"/>
      <c r="E713" s="2"/>
      <c r="F713" s="27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</row>
    <row r="714" spans="2:35" ht="15.75" customHeight="1" x14ac:dyDescent="0.2">
      <c r="B714"/>
      <c r="C714" s="2"/>
      <c r="D714" s="2"/>
      <c r="E714" s="2"/>
      <c r="F714" s="27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</row>
    <row r="715" spans="2:35" ht="15.75" customHeight="1" x14ac:dyDescent="0.2">
      <c r="B715"/>
      <c r="C715" s="2"/>
      <c r="D715" s="2"/>
      <c r="E715" s="2"/>
      <c r="F715" s="27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</row>
    <row r="716" spans="2:35" ht="15.75" customHeight="1" x14ac:dyDescent="0.2">
      <c r="B716"/>
      <c r="C716" s="2"/>
      <c r="D716" s="2"/>
      <c r="E716" s="2"/>
      <c r="F716" s="27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</row>
    <row r="717" spans="2:35" ht="15.75" customHeight="1" x14ac:dyDescent="0.2">
      <c r="B717"/>
      <c r="C717" s="2"/>
      <c r="D717" s="2"/>
      <c r="E717" s="2"/>
      <c r="F717" s="27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</row>
    <row r="718" spans="2:35" ht="15.75" customHeight="1" x14ac:dyDescent="0.2">
      <c r="B718"/>
      <c r="C718" s="2"/>
      <c r="D718" s="2"/>
      <c r="E718" s="2"/>
      <c r="F718" s="27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</row>
    <row r="719" spans="2:35" ht="15.75" customHeight="1" x14ac:dyDescent="0.2">
      <c r="B719"/>
      <c r="C719" s="2"/>
      <c r="D719" s="2"/>
      <c r="E719" s="2"/>
      <c r="F719" s="27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</row>
    <row r="720" spans="2:35" ht="15.75" customHeight="1" x14ac:dyDescent="0.2">
      <c r="B720"/>
      <c r="C720" s="2"/>
      <c r="D720" s="2"/>
      <c r="E720" s="2"/>
      <c r="F720" s="27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</row>
    <row r="721" spans="2:35" ht="15.75" customHeight="1" x14ac:dyDescent="0.2">
      <c r="B721"/>
      <c r="C721" s="2"/>
      <c r="D721" s="2"/>
      <c r="E721" s="2"/>
      <c r="F721" s="27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</row>
    <row r="722" spans="2:35" ht="15.75" customHeight="1" x14ac:dyDescent="0.2">
      <c r="B722"/>
      <c r="C722" s="2"/>
      <c r="D722" s="2"/>
      <c r="E722" s="2"/>
      <c r="F722" s="27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</row>
    <row r="723" spans="2:35" ht="15.75" customHeight="1" x14ac:dyDescent="0.2">
      <c r="B723"/>
      <c r="C723" s="2"/>
      <c r="D723" s="2"/>
      <c r="E723" s="2"/>
      <c r="F723" s="27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</row>
    <row r="724" spans="2:35" ht="15.75" customHeight="1" x14ac:dyDescent="0.2">
      <c r="B724"/>
      <c r="C724" s="2"/>
      <c r="D724" s="2"/>
      <c r="E724" s="2"/>
      <c r="F724" s="27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</row>
    <row r="725" spans="2:35" ht="15.75" customHeight="1" x14ac:dyDescent="0.2">
      <c r="B725"/>
      <c r="C725" s="2"/>
      <c r="D725" s="2"/>
      <c r="E725" s="2"/>
      <c r="F725" s="27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</row>
    <row r="726" spans="2:35" ht="15.75" customHeight="1" x14ac:dyDescent="0.2">
      <c r="B726"/>
      <c r="C726" s="2"/>
      <c r="D726" s="2"/>
      <c r="E726" s="2"/>
      <c r="F726" s="27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</row>
    <row r="727" spans="2:35" ht="15.75" customHeight="1" x14ac:dyDescent="0.2">
      <c r="B727"/>
      <c r="C727" s="2"/>
      <c r="D727" s="2"/>
      <c r="E727" s="2"/>
      <c r="F727" s="27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</row>
    <row r="728" spans="2:35" ht="15.75" customHeight="1" x14ac:dyDescent="0.2">
      <c r="B728"/>
      <c r="C728" s="2"/>
      <c r="D728" s="2"/>
      <c r="E728" s="2"/>
      <c r="F728" s="27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</row>
    <row r="729" spans="2:35" ht="15.75" customHeight="1" x14ac:dyDescent="0.2">
      <c r="B729"/>
      <c r="C729" s="2"/>
      <c r="D729" s="2"/>
      <c r="E729" s="2"/>
      <c r="F729" s="27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</row>
    <row r="730" spans="2:35" ht="15.75" customHeight="1" x14ac:dyDescent="0.2">
      <c r="B730"/>
      <c r="C730" s="2"/>
      <c r="D730" s="2"/>
      <c r="E730" s="2"/>
      <c r="F730" s="27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</row>
    <row r="731" spans="2:35" ht="15.75" customHeight="1" x14ac:dyDescent="0.2">
      <c r="B731"/>
      <c r="C731" s="2"/>
      <c r="D731" s="2"/>
      <c r="E731" s="2"/>
      <c r="F731" s="27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</row>
    <row r="732" spans="2:35" ht="15.75" customHeight="1" x14ac:dyDescent="0.2">
      <c r="B732"/>
      <c r="C732" s="2"/>
      <c r="D732" s="2"/>
      <c r="E732" s="2"/>
      <c r="F732" s="27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</row>
    <row r="733" spans="2:35" ht="15.75" customHeight="1" x14ac:dyDescent="0.2">
      <c r="B733"/>
      <c r="C733" s="2"/>
      <c r="D733" s="2"/>
      <c r="E733" s="2"/>
      <c r="F733" s="27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</row>
    <row r="734" spans="2:35" ht="15.75" customHeight="1" x14ac:dyDescent="0.2">
      <c r="B734"/>
      <c r="C734" s="2"/>
      <c r="D734" s="2"/>
      <c r="E734" s="2"/>
      <c r="F734" s="27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</row>
    <row r="735" spans="2:35" ht="15.75" customHeight="1" x14ac:dyDescent="0.2">
      <c r="B735"/>
      <c r="C735" s="2"/>
      <c r="D735" s="2"/>
      <c r="E735" s="2"/>
      <c r="F735" s="27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</row>
    <row r="736" spans="2:35" ht="15.75" customHeight="1" x14ac:dyDescent="0.2">
      <c r="B736"/>
      <c r="C736" s="2"/>
      <c r="D736" s="2"/>
      <c r="E736" s="2"/>
      <c r="F736" s="27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</row>
    <row r="737" spans="2:35" ht="15.75" customHeight="1" x14ac:dyDescent="0.2">
      <c r="B737"/>
      <c r="C737" s="2"/>
      <c r="D737" s="2"/>
      <c r="E737" s="2"/>
      <c r="F737" s="27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</row>
    <row r="738" spans="2:35" ht="15.75" customHeight="1" x14ac:dyDescent="0.2">
      <c r="B738"/>
      <c r="C738" s="2"/>
      <c r="D738" s="2"/>
      <c r="E738" s="2"/>
      <c r="F738" s="27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</row>
    <row r="739" spans="2:35" ht="15.75" customHeight="1" x14ac:dyDescent="0.2">
      <c r="B739"/>
      <c r="C739" s="2"/>
      <c r="D739" s="2"/>
      <c r="E739" s="2"/>
      <c r="F739" s="27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</row>
    <row r="740" spans="2:35" ht="15.75" customHeight="1" x14ac:dyDescent="0.2">
      <c r="B740"/>
      <c r="C740" s="2"/>
      <c r="D740" s="2"/>
      <c r="E740" s="2"/>
      <c r="F740" s="27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</row>
    <row r="741" spans="2:35" ht="15.75" customHeight="1" x14ac:dyDescent="0.2">
      <c r="B741"/>
      <c r="C741" s="2"/>
      <c r="D741" s="2"/>
      <c r="E741" s="2"/>
      <c r="F741" s="27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</row>
    <row r="742" spans="2:35" ht="15.75" customHeight="1" x14ac:dyDescent="0.2">
      <c r="B742"/>
      <c r="C742" s="2"/>
      <c r="D742" s="2"/>
      <c r="E742" s="2"/>
      <c r="F742" s="27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</row>
    <row r="743" spans="2:35" ht="15.75" customHeight="1" x14ac:dyDescent="0.2">
      <c r="B743"/>
      <c r="C743" s="2"/>
      <c r="D743" s="2"/>
      <c r="E743" s="2"/>
      <c r="F743" s="27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</row>
    <row r="744" spans="2:35" ht="15.75" customHeight="1" x14ac:dyDescent="0.2">
      <c r="B744"/>
      <c r="C744" s="2"/>
      <c r="D744" s="2"/>
      <c r="E744" s="2"/>
      <c r="F744" s="27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</row>
    <row r="745" spans="2:35" ht="15.75" customHeight="1" x14ac:dyDescent="0.2">
      <c r="B745"/>
      <c r="C745" s="2"/>
      <c r="D745" s="2"/>
      <c r="E745" s="2"/>
      <c r="F745" s="27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</row>
    <row r="746" spans="2:35" ht="15.75" customHeight="1" x14ac:dyDescent="0.2">
      <c r="B746"/>
      <c r="C746" s="2"/>
      <c r="D746" s="2"/>
      <c r="E746" s="2"/>
      <c r="F746" s="27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</row>
    <row r="747" spans="2:35" ht="15.75" customHeight="1" x14ac:dyDescent="0.2">
      <c r="B747"/>
      <c r="C747" s="2"/>
      <c r="D747" s="2"/>
      <c r="E747" s="2"/>
      <c r="F747" s="27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</row>
    <row r="748" spans="2:35" ht="15.75" customHeight="1" x14ac:dyDescent="0.2">
      <c r="B748"/>
      <c r="C748" s="2"/>
      <c r="D748" s="2"/>
      <c r="E748" s="2"/>
      <c r="F748" s="27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</row>
    <row r="749" spans="2:35" ht="15.75" customHeight="1" x14ac:dyDescent="0.2">
      <c r="B749"/>
      <c r="C749" s="2"/>
      <c r="D749" s="2"/>
      <c r="E749" s="2"/>
      <c r="F749" s="27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</row>
    <row r="750" spans="2:35" ht="15.75" customHeight="1" x14ac:dyDescent="0.2">
      <c r="B750"/>
      <c r="C750" s="2"/>
      <c r="D750" s="2"/>
      <c r="E750" s="2"/>
      <c r="F750" s="27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</row>
    <row r="751" spans="2:35" ht="15.75" customHeight="1" x14ac:dyDescent="0.2">
      <c r="B751"/>
      <c r="C751" s="2"/>
      <c r="D751" s="2"/>
      <c r="E751" s="2"/>
      <c r="F751" s="27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</row>
    <row r="752" spans="2:35" ht="15.75" customHeight="1" x14ac:dyDescent="0.2">
      <c r="B752"/>
      <c r="C752" s="2"/>
      <c r="D752" s="2"/>
      <c r="E752" s="2"/>
      <c r="F752" s="27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</row>
    <row r="753" spans="2:35" ht="15.75" customHeight="1" x14ac:dyDescent="0.2">
      <c r="B753"/>
    </row>
    <row r="754" spans="2:35" ht="15.75" customHeight="1" x14ac:dyDescent="0.2">
      <c r="B754"/>
    </row>
    <row r="755" spans="2:35" ht="15.75" customHeight="1" x14ac:dyDescent="0.2">
      <c r="B755"/>
    </row>
    <row r="756" spans="2:35" ht="15.75" customHeight="1" x14ac:dyDescent="0.2">
      <c r="B756"/>
    </row>
    <row r="757" spans="2:35" ht="15.75" customHeight="1" x14ac:dyDescent="0.2">
      <c r="B757"/>
    </row>
    <row r="758" spans="2:35" ht="15.75" customHeight="1" x14ac:dyDescent="0.2">
      <c r="B758"/>
    </row>
    <row r="759" spans="2:35" ht="15.75" customHeight="1" x14ac:dyDescent="0.2">
      <c r="B759"/>
    </row>
    <row r="760" spans="2:35" ht="15.75" customHeight="1" x14ac:dyDescent="0.2">
      <c r="B760"/>
    </row>
    <row r="761" spans="2:35" ht="15.75" customHeight="1" x14ac:dyDescent="0.2">
      <c r="B761"/>
    </row>
    <row r="762" spans="2:35" ht="15.75" customHeight="1" x14ac:dyDescent="0.2">
      <c r="B762"/>
    </row>
    <row r="763" spans="2:35" s="2" customFormat="1" ht="15.75" customHeight="1" x14ac:dyDescent="0.2">
      <c r="C763"/>
      <c r="D763"/>
      <c r="E763"/>
      <c r="F763" s="35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</row>
    <row r="764" spans="2:35" s="2" customFormat="1" ht="15.75" customHeight="1" x14ac:dyDescent="0.2">
      <c r="C764"/>
      <c r="D764"/>
      <c r="E764"/>
      <c r="F764" s="35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</row>
    <row r="765" spans="2:35" s="2" customFormat="1" ht="15.75" customHeight="1" x14ac:dyDescent="0.2">
      <c r="C765"/>
      <c r="D765"/>
      <c r="E765"/>
      <c r="F765" s="3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</row>
    <row r="766" spans="2:35" s="2" customFormat="1" ht="15.75" customHeight="1" x14ac:dyDescent="0.2">
      <c r="C766"/>
      <c r="D766"/>
      <c r="E766"/>
      <c r="F766" s="35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</row>
    <row r="767" spans="2:35" s="2" customFormat="1" ht="15.75" customHeight="1" x14ac:dyDescent="0.2">
      <c r="C767"/>
      <c r="D767"/>
      <c r="E767"/>
      <c r="F767" s="35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</row>
    <row r="768" spans="2:35" s="2" customFormat="1" ht="15.75" customHeight="1" x14ac:dyDescent="0.2">
      <c r="C768"/>
      <c r="D768"/>
      <c r="E768"/>
      <c r="F768" s="35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</row>
    <row r="769" spans="3:35" s="2" customFormat="1" ht="15.75" customHeight="1" x14ac:dyDescent="0.2">
      <c r="C769"/>
      <c r="D769"/>
      <c r="E769"/>
      <c r="F769" s="35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</row>
    <row r="770" spans="3:35" s="2" customFormat="1" ht="15.75" customHeight="1" x14ac:dyDescent="0.2">
      <c r="C770"/>
      <c r="D770"/>
      <c r="E770"/>
      <c r="F770" s="35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</row>
    <row r="771" spans="3:35" s="2" customFormat="1" ht="15.75" customHeight="1" x14ac:dyDescent="0.2">
      <c r="C771"/>
      <c r="D771"/>
      <c r="E771"/>
      <c r="F771" s="35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</row>
    <row r="772" spans="3:35" s="2" customFormat="1" ht="15.75" customHeight="1" x14ac:dyDescent="0.2">
      <c r="C772"/>
      <c r="D772"/>
      <c r="E772"/>
      <c r="F772" s="35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</row>
    <row r="773" spans="3:35" s="2" customFormat="1" ht="15.75" customHeight="1" x14ac:dyDescent="0.2">
      <c r="C773"/>
      <c r="D773"/>
      <c r="E773"/>
      <c r="F773" s="35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</row>
    <row r="774" spans="3:35" s="2" customFormat="1" ht="15.75" customHeight="1" x14ac:dyDescent="0.2">
      <c r="C774"/>
      <c r="D774"/>
      <c r="E774"/>
      <c r="F774" s="35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</row>
    <row r="775" spans="3:35" s="2" customFormat="1" ht="15.75" customHeight="1" x14ac:dyDescent="0.2">
      <c r="C775"/>
      <c r="D775"/>
      <c r="E775"/>
      <c r="F775" s="3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</row>
    <row r="776" spans="3:35" s="2" customFormat="1" ht="15.75" customHeight="1" x14ac:dyDescent="0.2">
      <c r="C776"/>
      <c r="D776"/>
      <c r="E776"/>
      <c r="F776" s="35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</row>
    <row r="777" spans="3:35" s="2" customFormat="1" ht="15.75" customHeight="1" x14ac:dyDescent="0.2">
      <c r="C777"/>
      <c r="D777"/>
      <c r="E777"/>
      <c r="F777" s="35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</row>
    <row r="778" spans="3:35" s="2" customFormat="1" ht="15.75" customHeight="1" x14ac:dyDescent="0.2">
      <c r="C778"/>
      <c r="D778"/>
      <c r="E778"/>
      <c r="F778" s="35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</row>
    <row r="779" spans="3:35" s="2" customFormat="1" ht="15.75" customHeight="1" x14ac:dyDescent="0.2">
      <c r="C779"/>
      <c r="D779"/>
      <c r="E779"/>
      <c r="F779" s="35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</row>
    <row r="780" spans="3:35" s="2" customFormat="1" ht="15.75" customHeight="1" x14ac:dyDescent="0.2">
      <c r="C780"/>
      <c r="D780"/>
      <c r="E780"/>
      <c r="F780" s="35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</row>
    <row r="781" spans="3:35" s="2" customFormat="1" ht="15.75" customHeight="1" x14ac:dyDescent="0.2">
      <c r="C781"/>
      <c r="D781"/>
      <c r="E781"/>
      <c r="F781" s="35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</row>
    <row r="782" spans="3:35" s="2" customFormat="1" ht="15.75" customHeight="1" x14ac:dyDescent="0.2">
      <c r="C782"/>
      <c r="D782"/>
      <c r="E782"/>
      <c r="F782" s="35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</row>
    <row r="783" spans="3:35" s="2" customFormat="1" ht="15.75" customHeight="1" x14ac:dyDescent="0.2">
      <c r="C783"/>
      <c r="D783"/>
      <c r="E783"/>
      <c r="F783" s="35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</row>
    <row r="784" spans="3:35" s="2" customFormat="1" ht="15.75" customHeight="1" x14ac:dyDescent="0.2">
      <c r="C784"/>
      <c r="D784"/>
      <c r="E784"/>
      <c r="F784" s="35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</row>
    <row r="785" spans="3:35" s="2" customFormat="1" ht="15.75" customHeight="1" x14ac:dyDescent="0.2">
      <c r="C785"/>
      <c r="D785"/>
      <c r="E785"/>
      <c r="F785" s="3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</row>
    <row r="786" spans="3:35" s="2" customFormat="1" ht="15.75" customHeight="1" x14ac:dyDescent="0.2">
      <c r="C786"/>
      <c r="D786"/>
      <c r="E786"/>
      <c r="F786" s="35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</row>
    <row r="787" spans="3:35" s="2" customFormat="1" ht="15.75" customHeight="1" x14ac:dyDescent="0.2">
      <c r="C787"/>
      <c r="D787"/>
      <c r="E787"/>
      <c r="F787" s="35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</row>
    <row r="788" spans="3:35" s="2" customFormat="1" ht="15.75" customHeight="1" x14ac:dyDescent="0.2">
      <c r="C788"/>
      <c r="D788"/>
      <c r="E788"/>
      <c r="F788" s="35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</row>
    <row r="789" spans="3:35" s="2" customFormat="1" ht="15.75" customHeight="1" x14ac:dyDescent="0.2">
      <c r="C789"/>
      <c r="D789"/>
      <c r="E789"/>
      <c r="F789" s="35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</row>
    <row r="790" spans="3:35" s="2" customFormat="1" ht="15.75" customHeight="1" x14ac:dyDescent="0.2">
      <c r="C790"/>
      <c r="D790"/>
      <c r="E790"/>
      <c r="F790" s="35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</row>
    <row r="791" spans="3:35" s="2" customFormat="1" ht="15.75" customHeight="1" x14ac:dyDescent="0.2">
      <c r="C791"/>
      <c r="D791"/>
      <c r="E791"/>
      <c r="F791" s="35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</row>
    <row r="792" spans="3:35" s="2" customFormat="1" ht="15.75" customHeight="1" x14ac:dyDescent="0.2">
      <c r="C792"/>
      <c r="D792"/>
      <c r="E792"/>
      <c r="F792" s="35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</row>
    <row r="793" spans="3:35" s="2" customFormat="1" ht="15.75" customHeight="1" x14ac:dyDescent="0.2">
      <c r="C793"/>
      <c r="D793"/>
      <c r="E793"/>
      <c r="F793" s="35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</row>
    <row r="794" spans="3:35" s="2" customFormat="1" ht="15.75" customHeight="1" x14ac:dyDescent="0.2">
      <c r="C794"/>
      <c r="D794"/>
      <c r="E794"/>
      <c r="F794" s="35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</row>
    <row r="795" spans="3:35" s="2" customFormat="1" ht="15.75" customHeight="1" x14ac:dyDescent="0.2">
      <c r="C795"/>
      <c r="D795"/>
      <c r="E795"/>
      <c r="F795" s="3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</row>
    <row r="796" spans="3:35" s="2" customFormat="1" ht="15.75" customHeight="1" x14ac:dyDescent="0.2">
      <c r="C796"/>
      <c r="D796"/>
      <c r="E796"/>
      <c r="F796" s="35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</row>
    <row r="797" spans="3:35" s="2" customFormat="1" ht="15.75" customHeight="1" x14ac:dyDescent="0.2">
      <c r="C797"/>
      <c r="D797"/>
      <c r="E797"/>
      <c r="F797" s="35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</row>
    <row r="798" spans="3:35" s="2" customFormat="1" ht="15.75" customHeight="1" x14ac:dyDescent="0.2">
      <c r="C798"/>
      <c r="D798"/>
      <c r="E798"/>
      <c r="F798" s="35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</row>
    <row r="799" spans="3:35" s="2" customFormat="1" ht="15.75" customHeight="1" x14ac:dyDescent="0.2">
      <c r="C799"/>
      <c r="D799"/>
      <c r="E799"/>
      <c r="F799" s="35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</row>
    <row r="800" spans="3:35" s="2" customFormat="1" ht="15.75" customHeight="1" x14ac:dyDescent="0.2">
      <c r="C800"/>
      <c r="D800"/>
      <c r="E800"/>
      <c r="F800" s="35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</row>
    <row r="801" spans="3:35" s="2" customFormat="1" ht="15.75" customHeight="1" x14ac:dyDescent="0.2">
      <c r="C801"/>
      <c r="D801"/>
      <c r="E801"/>
      <c r="F801" s="35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</row>
    <row r="802" spans="3:35" s="2" customFormat="1" ht="15.75" customHeight="1" x14ac:dyDescent="0.2">
      <c r="C802"/>
      <c r="D802"/>
      <c r="E802"/>
      <c r="F802" s="35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</row>
    <row r="803" spans="3:35" s="2" customFormat="1" ht="15.75" customHeight="1" x14ac:dyDescent="0.2">
      <c r="C803"/>
      <c r="D803"/>
      <c r="E803"/>
      <c r="F803" s="35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</row>
    <row r="804" spans="3:35" s="2" customFormat="1" ht="15.75" customHeight="1" x14ac:dyDescent="0.2">
      <c r="C804"/>
      <c r="D804"/>
      <c r="E804"/>
      <c r="F804" s="35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</row>
    <row r="805" spans="3:35" s="2" customFormat="1" ht="15.75" customHeight="1" x14ac:dyDescent="0.2">
      <c r="C805"/>
      <c r="D805"/>
      <c r="E805"/>
      <c r="F805" s="3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</row>
    <row r="806" spans="3:35" s="2" customFormat="1" ht="15.75" customHeight="1" x14ac:dyDescent="0.2">
      <c r="C806"/>
      <c r="D806"/>
      <c r="E806"/>
      <c r="F806" s="35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</row>
    <row r="807" spans="3:35" s="2" customFormat="1" ht="15.75" customHeight="1" x14ac:dyDescent="0.2">
      <c r="C807"/>
      <c r="D807"/>
      <c r="E807"/>
      <c r="F807" s="35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</row>
    <row r="808" spans="3:35" s="2" customFormat="1" ht="15.75" customHeight="1" x14ac:dyDescent="0.2">
      <c r="C808"/>
      <c r="D808"/>
      <c r="E808"/>
      <c r="F808" s="35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</row>
    <row r="809" spans="3:35" s="2" customFormat="1" ht="15.75" customHeight="1" x14ac:dyDescent="0.2">
      <c r="C809"/>
      <c r="D809"/>
      <c r="E809"/>
      <c r="F809" s="35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</row>
    <row r="810" spans="3:35" s="2" customFormat="1" ht="15.75" customHeight="1" x14ac:dyDescent="0.2">
      <c r="C810"/>
      <c r="D810"/>
      <c r="E810"/>
      <c r="F810" s="35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</row>
    <row r="811" spans="3:35" s="2" customFormat="1" ht="15.75" customHeight="1" x14ac:dyDescent="0.2">
      <c r="C811"/>
      <c r="D811"/>
      <c r="E811"/>
      <c r="F811" s="35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</row>
    <row r="812" spans="3:35" s="2" customFormat="1" ht="15.75" customHeight="1" x14ac:dyDescent="0.2">
      <c r="C812"/>
      <c r="D812"/>
      <c r="E812"/>
      <c r="F812" s="35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</row>
    <row r="813" spans="3:35" s="2" customFormat="1" ht="15.75" customHeight="1" x14ac:dyDescent="0.2">
      <c r="C813"/>
      <c r="D813"/>
      <c r="E813"/>
      <c r="F813" s="35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</row>
    <row r="814" spans="3:35" s="2" customFormat="1" ht="15.75" customHeight="1" x14ac:dyDescent="0.2">
      <c r="C814"/>
      <c r="D814"/>
      <c r="E814"/>
      <c r="F814" s="35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</row>
    <row r="815" spans="3:35" s="2" customFormat="1" ht="15.75" customHeight="1" x14ac:dyDescent="0.2">
      <c r="C815"/>
      <c r="D815"/>
      <c r="E815"/>
      <c r="F815" s="3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</row>
    <row r="816" spans="3:35" s="2" customFormat="1" ht="15.75" customHeight="1" x14ac:dyDescent="0.2">
      <c r="C816"/>
      <c r="D816"/>
      <c r="E816"/>
      <c r="F816" s="35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</row>
    <row r="817" spans="3:35" s="2" customFormat="1" ht="15.75" customHeight="1" x14ac:dyDescent="0.2">
      <c r="C817"/>
      <c r="D817"/>
      <c r="E817"/>
      <c r="F817" s="35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</row>
    <row r="818" spans="3:35" s="2" customFormat="1" ht="15.75" customHeight="1" x14ac:dyDescent="0.2">
      <c r="C818"/>
      <c r="D818"/>
      <c r="E818"/>
      <c r="F818" s="35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</row>
    <row r="819" spans="3:35" s="2" customFormat="1" ht="15.75" customHeight="1" x14ac:dyDescent="0.2">
      <c r="C819"/>
      <c r="D819"/>
      <c r="E819"/>
      <c r="F819" s="35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</row>
    <row r="820" spans="3:35" s="2" customFormat="1" ht="15.75" customHeight="1" x14ac:dyDescent="0.2">
      <c r="C820"/>
      <c r="D820"/>
      <c r="E820"/>
      <c r="F820" s="35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</row>
    <row r="821" spans="3:35" s="2" customFormat="1" ht="15.75" customHeight="1" x14ac:dyDescent="0.2">
      <c r="C821"/>
      <c r="D821"/>
      <c r="E821"/>
      <c r="F821" s="35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</row>
    <row r="822" spans="3:35" s="2" customFormat="1" ht="15.75" customHeight="1" x14ac:dyDescent="0.2">
      <c r="C822"/>
      <c r="D822"/>
      <c r="E822"/>
      <c r="F822" s="35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</row>
    <row r="823" spans="3:35" s="2" customFormat="1" ht="15.75" customHeight="1" x14ac:dyDescent="0.2">
      <c r="C823"/>
      <c r="D823"/>
      <c r="E823"/>
      <c r="F823" s="35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</row>
    <row r="824" spans="3:35" s="2" customFormat="1" ht="15.75" customHeight="1" x14ac:dyDescent="0.2">
      <c r="C824"/>
      <c r="D824"/>
      <c r="E824"/>
      <c r="F824" s="35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</row>
    <row r="825" spans="3:35" s="2" customFormat="1" ht="15.75" customHeight="1" x14ac:dyDescent="0.2">
      <c r="C825"/>
      <c r="D825"/>
      <c r="E825"/>
      <c r="F825" s="3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</row>
    <row r="826" spans="3:35" s="2" customFormat="1" ht="15.75" customHeight="1" x14ac:dyDescent="0.2">
      <c r="C826"/>
      <c r="D826"/>
      <c r="E826"/>
      <c r="F826" s="35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</row>
    <row r="827" spans="3:35" s="2" customFormat="1" ht="15.75" customHeight="1" x14ac:dyDescent="0.2">
      <c r="C827"/>
      <c r="D827"/>
      <c r="E827"/>
      <c r="F827" s="35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</row>
    <row r="828" spans="3:35" s="2" customFormat="1" ht="15.75" customHeight="1" x14ac:dyDescent="0.2">
      <c r="C828"/>
      <c r="D828"/>
      <c r="E828"/>
      <c r="F828" s="35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</row>
    <row r="829" spans="3:35" s="2" customFormat="1" ht="15.75" customHeight="1" x14ac:dyDescent="0.2">
      <c r="C829"/>
      <c r="D829"/>
      <c r="E829"/>
      <c r="F829" s="35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</row>
    <row r="830" spans="3:35" s="2" customFormat="1" ht="15.75" customHeight="1" x14ac:dyDescent="0.2">
      <c r="C830"/>
      <c r="D830"/>
      <c r="E830"/>
      <c r="F830" s="35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</row>
    <row r="831" spans="3:35" s="2" customFormat="1" ht="15.75" customHeight="1" x14ac:dyDescent="0.2">
      <c r="C831"/>
      <c r="D831"/>
      <c r="E831"/>
      <c r="F831" s="35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</row>
    <row r="832" spans="3:35" s="2" customFormat="1" ht="15.75" customHeight="1" x14ac:dyDescent="0.2">
      <c r="C832"/>
      <c r="D832"/>
      <c r="E832"/>
      <c r="F832" s="35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</row>
    <row r="833" spans="3:35" s="2" customFormat="1" ht="15.75" customHeight="1" x14ac:dyDescent="0.2">
      <c r="C833"/>
      <c r="D833"/>
      <c r="E833"/>
      <c r="F833" s="35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</row>
    <row r="834" spans="3:35" s="2" customFormat="1" ht="15.75" customHeight="1" x14ac:dyDescent="0.2">
      <c r="C834"/>
      <c r="D834"/>
      <c r="E834"/>
      <c r="F834" s="35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</row>
    <row r="835" spans="3:35" s="2" customFormat="1" ht="15.75" customHeight="1" x14ac:dyDescent="0.2">
      <c r="C835"/>
      <c r="D835"/>
      <c r="E835"/>
      <c r="F835" s="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</row>
    <row r="836" spans="3:35" s="2" customFormat="1" ht="15.75" customHeight="1" x14ac:dyDescent="0.2">
      <c r="C836"/>
      <c r="D836"/>
      <c r="E836"/>
      <c r="F836" s="35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</row>
    <row r="837" spans="3:35" s="2" customFormat="1" ht="15.75" customHeight="1" x14ac:dyDescent="0.2">
      <c r="C837"/>
      <c r="D837"/>
      <c r="E837"/>
      <c r="F837" s="35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</row>
    <row r="838" spans="3:35" s="2" customFormat="1" ht="15.75" customHeight="1" x14ac:dyDescent="0.2">
      <c r="C838"/>
      <c r="D838"/>
      <c r="E838"/>
      <c r="F838" s="35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</row>
    <row r="839" spans="3:35" s="2" customFormat="1" ht="15.75" customHeight="1" x14ac:dyDescent="0.2">
      <c r="C839"/>
      <c r="D839"/>
      <c r="E839"/>
      <c r="F839" s="35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</row>
    <row r="840" spans="3:35" s="2" customFormat="1" ht="15.75" customHeight="1" x14ac:dyDescent="0.2">
      <c r="C840"/>
      <c r="D840"/>
      <c r="E840"/>
      <c r="F840" s="35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</row>
    <row r="841" spans="3:35" s="2" customFormat="1" ht="15.75" customHeight="1" x14ac:dyDescent="0.2">
      <c r="C841"/>
      <c r="D841"/>
      <c r="E841"/>
      <c r="F841" s="35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</row>
    <row r="842" spans="3:35" s="2" customFormat="1" ht="15.75" customHeight="1" x14ac:dyDescent="0.2">
      <c r="C842"/>
      <c r="D842"/>
      <c r="E842"/>
      <c r="F842" s="35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</row>
    <row r="843" spans="3:35" s="2" customFormat="1" ht="15.75" customHeight="1" x14ac:dyDescent="0.2">
      <c r="C843"/>
      <c r="D843"/>
      <c r="E843"/>
      <c r="F843" s="35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</row>
    <row r="844" spans="3:35" s="2" customFormat="1" ht="15.75" customHeight="1" x14ac:dyDescent="0.2">
      <c r="C844"/>
      <c r="D844"/>
      <c r="E844"/>
      <c r="F844" s="35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</row>
    <row r="845" spans="3:35" s="2" customFormat="1" ht="15.75" customHeight="1" x14ac:dyDescent="0.2">
      <c r="C845"/>
      <c r="D845"/>
      <c r="E845"/>
      <c r="F845" s="3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</row>
    <row r="846" spans="3:35" s="2" customFormat="1" ht="15.75" customHeight="1" x14ac:dyDescent="0.2">
      <c r="C846"/>
      <c r="D846"/>
      <c r="E846"/>
      <c r="F846" s="35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</row>
    <row r="847" spans="3:35" s="2" customFormat="1" ht="15.75" customHeight="1" x14ac:dyDescent="0.2">
      <c r="C847"/>
      <c r="D847"/>
      <c r="E847"/>
      <c r="F847" s="35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</row>
    <row r="848" spans="3:35" s="2" customFormat="1" ht="15.75" customHeight="1" x14ac:dyDescent="0.2">
      <c r="C848"/>
      <c r="D848"/>
      <c r="E848"/>
      <c r="F848" s="35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</row>
    <row r="849" spans="3:35" s="2" customFormat="1" ht="15.75" customHeight="1" x14ac:dyDescent="0.2">
      <c r="C849"/>
      <c r="D849"/>
      <c r="E849"/>
      <c r="F849" s="35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</row>
    <row r="850" spans="3:35" s="2" customFormat="1" ht="15.75" customHeight="1" x14ac:dyDescent="0.2">
      <c r="C850"/>
      <c r="D850"/>
      <c r="E850"/>
      <c r="F850" s="35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</row>
    <row r="851" spans="3:35" s="2" customFormat="1" ht="15.75" customHeight="1" x14ac:dyDescent="0.2">
      <c r="C851"/>
      <c r="D851"/>
      <c r="E851"/>
      <c r="F851" s="35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</row>
    <row r="852" spans="3:35" s="2" customFormat="1" ht="15.75" customHeight="1" x14ac:dyDescent="0.2">
      <c r="C852"/>
      <c r="D852"/>
      <c r="E852"/>
      <c r="F852" s="35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</row>
    <row r="853" spans="3:35" s="2" customFormat="1" ht="15.75" customHeight="1" x14ac:dyDescent="0.2">
      <c r="C853"/>
      <c r="D853"/>
      <c r="E853"/>
      <c r="F853" s="35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</row>
    <row r="854" spans="3:35" s="2" customFormat="1" ht="15.75" customHeight="1" x14ac:dyDescent="0.2">
      <c r="C854"/>
      <c r="D854"/>
      <c r="E854"/>
      <c r="F854" s="35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</row>
    <row r="855" spans="3:35" s="2" customFormat="1" ht="15.75" customHeight="1" x14ac:dyDescent="0.2">
      <c r="C855"/>
      <c r="D855"/>
      <c r="E855"/>
      <c r="F855" s="3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</row>
    <row r="856" spans="3:35" s="2" customFormat="1" ht="15.75" customHeight="1" x14ac:dyDescent="0.2">
      <c r="C856"/>
      <c r="D856"/>
      <c r="E856"/>
      <c r="F856" s="35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</row>
  </sheetData>
  <mergeCells count="5">
    <mergeCell ref="C2:F2"/>
    <mergeCell ref="C3:F3"/>
    <mergeCell ref="B5:B6"/>
    <mergeCell ref="C5:C6"/>
    <mergeCell ref="D5:F5"/>
  </mergeCells>
  <phoneticPr fontId="14" type="noConversion"/>
  <printOptions horizontalCentered="1"/>
  <pageMargins left="0.70866141732283472" right="0.70866141732283472" top="0.35433070866141736" bottom="0.74803149606299213" header="0.31496062992125984" footer="0.31496062992125984"/>
  <pageSetup paperSize="9" orientation="landscape" r:id="rId1"/>
  <rowBreaks count="4" manualBreakCount="4">
    <brk id="72" max="5" man="1"/>
    <brk id="128" max="5" man="1"/>
    <brk id="195" max="5" man="1"/>
    <brk id="197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5"/>
  <sheetViews>
    <sheetView workbookViewId="0">
      <selection activeCell="G21" sqref="G21"/>
    </sheetView>
  </sheetViews>
  <sheetFormatPr defaultRowHeight="12.75" x14ac:dyDescent="0.2"/>
  <cols>
    <col min="5" max="6" width="11.140625" bestFit="1" customWidth="1"/>
    <col min="7" max="7" width="14.5703125" customWidth="1"/>
  </cols>
  <sheetData>
    <row r="1" spans="1:9" x14ac:dyDescent="0.2">
      <c r="A1" t="s">
        <v>632</v>
      </c>
    </row>
    <row r="8" spans="1:9" x14ac:dyDescent="0.2">
      <c r="C8" t="s">
        <v>637</v>
      </c>
    </row>
    <row r="10" spans="1:9" x14ac:dyDescent="0.2">
      <c r="E10" s="370" t="s">
        <v>364</v>
      </c>
      <c r="F10" s="370" t="s">
        <v>636</v>
      </c>
      <c r="G10" s="370" t="s">
        <v>520</v>
      </c>
    </row>
    <row r="11" spans="1:9" x14ac:dyDescent="0.2">
      <c r="C11" t="s">
        <v>635</v>
      </c>
      <c r="E11" s="74">
        <v>576798100</v>
      </c>
      <c r="F11" s="74">
        <f>(E11*0.27)</f>
        <v>155735487</v>
      </c>
      <c r="G11" s="430">
        <f>SUM(E11:F11)</f>
        <v>732533587</v>
      </c>
      <c r="H11" s="74"/>
      <c r="I11" s="74"/>
    </row>
    <row r="12" spans="1:9" x14ac:dyDescent="0.2">
      <c r="C12" t="s">
        <v>633</v>
      </c>
      <c r="E12" s="74">
        <v>158700000</v>
      </c>
      <c r="F12" s="74">
        <f>(E12*0.27)</f>
        <v>42849000</v>
      </c>
      <c r="G12" s="430">
        <f>SUM(E12:F12)</f>
        <v>201549000</v>
      </c>
      <c r="H12" s="74"/>
      <c r="I12" s="74"/>
    </row>
    <row r="13" spans="1:9" x14ac:dyDescent="0.2">
      <c r="C13" t="s">
        <v>634</v>
      </c>
      <c r="E13" s="430">
        <f>SUM(E11-E12)</f>
        <v>418098100</v>
      </c>
      <c r="F13" s="430">
        <f>SUM(F11-F12)</f>
        <v>112886487</v>
      </c>
      <c r="G13" s="74">
        <f>SUM(G11-G12)</f>
        <v>530984587</v>
      </c>
      <c r="H13" s="74"/>
      <c r="I13" s="74"/>
    </row>
    <row r="14" spans="1:9" x14ac:dyDescent="0.2">
      <c r="E14" s="74"/>
      <c r="F14" s="35">
        <f>SUM(E13*0.27)</f>
        <v>112886487</v>
      </c>
      <c r="G14" s="74"/>
      <c r="H14" s="74"/>
      <c r="I14" s="74"/>
    </row>
    <row r="15" spans="1:9" x14ac:dyDescent="0.2">
      <c r="E15" s="74"/>
      <c r="F15" s="74"/>
      <c r="G15" s="74"/>
      <c r="H15" s="74"/>
      <c r="I15" s="74"/>
    </row>
    <row r="16" spans="1:9" x14ac:dyDescent="0.2">
      <c r="C16" t="s">
        <v>638</v>
      </c>
      <c r="E16" s="74">
        <v>120703587</v>
      </c>
      <c r="F16" s="74"/>
      <c r="G16" s="74"/>
      <c r="H16" s="74"/>
      <c r="I16" s="74"/>
    </row>
    <row r="17" spans="5:9" x14ac:dyDescent="0.2">
      <c r="E17" s="74"/>
      <c r="F17" s="74"/>
      <c r="G17" s="74"/>
      <c r="H17" s="74"/>
      <c r="I17" s="74"/>
    </row>
    <row r="18" spans="5:9" x14ac:dyDescent="0.2">
      <c r="E18" s="74"/>
      <c r="F18" s="74"/>
      <c r="G18" s="74"/>
      <c r="H18" s="74"/>
      <c r="I18" s="74"/>
    </row>
    <row r="19" spans="5:9" x14ac:dyDescent="0.2">
      <c r="E19" s="74"/>
      <c r="F19" s="74"/>
      <c r="G19" s="74"/>
      <c r="H19" s="74"/>
      <c r="I19" s="74"/>
    </row>
    <row r="20" spans="5:9" x14ac:dyDescent="0.2">
      <c r="E20" s="74"/>
      <c r="F20" s="74"/>
      <c r="G20" s="74"/>
      <c r="H20" s="74"/>
      <c r="I20" s="74"/>
    </row>
    <row r="21" spans="5:9" x14ac:dyDescent="0.2">
      <c r="E21" s="74"/>
      <c r="F21" s="74"/>
      <c r="G21" s="74"/>
      <c r="H21" s="74"/>
      <c r="I21" s="74"/>
    </row>
    <row r="22" spans="5:9" x14ac:dyDescent="0.2">
      <c r="E22" s="74"/>
      <c r="F22" s="74"/>
      <c r="G22" s="74"/>
      <c r="H22" s="74"/>
      <c r="I22" s="74"/>
    </row>
    <row r="23" spans="5:9" x14ac:dyDescent="0.2">
      <c r="E23" s="74"/>
      <c r="F23" s="74"/>
      <c r="G23" s="74"/>
      <c r="H23" s="74"/>
      <c r="I23" s="74"/>
    </row>
    <row r="24" spans="5:9" x14ac:dyDescent="0.2">
      <c r="E24" s="74"/>
      <c r="F24" s="74"/>
      <c r="G24" s="74"/>
      <c r="H24" s="74"/>
      <c r="I24" s="74"/>
    </row>
    <row r="25" spans="5:9" x14ac:dyDescent="0.2">
      <c r="E25" s="74"/>
      <c r="F25" s="74"/>
      <c r="G25" s="74"/>
      <c r="H25" s="74"/>
      <c r="I25" s="7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E231"/>
  <sheetViews>
    <sheetView topLeftCell="A50" zoomScale="90" zoomScaleNormal="90" zoomScaleSheetLayoutView="90" workbookViewId="0">
      <selection activeCell="E27" sqref="E27"/>
    </sheetView>
  </sheetViews>
  <sheetFormatPr defaultRowHeight="12.75" x14ac:dyDescent="0.2"/>
  <cols>
    <col min="1" max="1" width="6.140625" customWidth="1"/>
    <col min="2" max="2" width="53.85546875" customWidth="1"/>
    <col min="3" max="5" width="12.5703125" customWidth="1"/>
    <col min="6" max="6" width="10.85546875" hidden="1" customWidth="1"/>
    <col min="7" max="7" width="8.85546875" hidden="1" customWidth="1"/>
    <col min="8" max="10" width="11.42578125" customWidth="1"/>
    <col min="11" max="17" width="10.85546875" hidden="1" customWidth="1"/>
    <col min="18" max="19" width="12.85546875" customWidth="1"/>
    <col min="20" max="20" width="12.7109375" customWidth="1"/>
    <col min="21" max="21" width="9.42578125" hidden="1" customWidth="1"/>
    <col min="22" max="22" width="9.7109375" hidden="1" customWidth="1"/>
    <col min="23" max="23" width="6" style="9" customWidth="1"/>
    <col min="24" max="24" width="11" style="9" hidden="1" customWidth="1"/>
    <col min="25" max="25" width="6.85546875" style="9" hidden="1" customWidth="1"/>
    <col min="26" max="26" width="9.85546875" style="9" hidden="1" customWidth="1"/>
    <col min="27" max="27" width="12.42578125" style="9" hidden="1" customWidth="1"/>
    <col min="29" max="29" width="9.140625" customWidth="1"/>
  </cols>
  <sheetData>
    <row r="1" spans="1:27" x14ac:dyDescent="0.2">
      <c r="A1" s="52"/>
      <c r="B1" s="1"/>
      <c r="C1" s="83"/>
      <c r="D1" s="83"/>
      <c r="E1" s="83"/>
      <c r="F1" s="83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T1" s="172" t="s">
        <v>561</v>
      </c>
      <c r="U1" s="55"/>
    </row>
    <row r="2" spans="1:27" x14ac:dyDescent="0.2">
      <c r="A2" s="52"/>
      <c r="B2" s="1"/>
      <c r="C2" s="83"/>
      <c r="D2" s="83"/>
      <c r="E2" s="83"/>
      <c r="F2" s="83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T2" s="176" t="str">
        <f>'1.Bev-kiad.'!E2</f>
        <v>a 13/2024.(IX.30.) önkormányzati rendelethez</v>
      </c>
      <c r="U2" s="55"/>
    </row>
    <row r="3" spans="1:27" x14ac:dyDescent="0.2">
      <c r="A3" s="52"/>
      <c r="B3" s="1"/>
      <c r="C3" s="83"/>
      <c r="D3" s="83"/>
      <c r="E3" s="83"/>
      <c r="F3" s="83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T3" s="176" t="s">
        <v>1112</v>
      </c>
      <c r="U3" s="55"/>
    </row>
    <row r="4" spans="1:27" ht="15.75" x14ac:dyDescent="0.25">
      <c r="A4" s="715" t="s">
        <v>89</v>
      </c>
      <c r="B4" s="660"/>
      <c r="C4" s="660"/>
      <c r="D4" s="660"/>
      <c r="E4" s="660"/>
      <c r="F4" s="660"/>
      <c r="G4" s="660"/>
      <c r="H4" s="660"/>
      <c r="I4" s="660"/>
      <c r="J4" s="660"/>
      <c r="K4" s="660"/>
      <c r="L4" s="660"/>
      <c r="M4" s="660"/>
      <c r="N4" s="660"/>
      <c r="O4" s="660"/>
      <c r="P4" s="660"/>
      <c r="Q4" s="660"/>
      <c r="R4" s="660"/>
      <c r="S4" s="660"/>
      <c r="T4" s="660"/>
      <c r="U4" s="660"/>
      <c r="V4" s="660"/>
    </row>
    <row r="5" spans="1:27" ht="15.75" x14ac:dyDescent="0.25">
      <c r="A5" s="715" t="s">
        <v>886</v>
      </c>
      <c r="B5" s="660"/>
      <c r="C5" s="660"/>
      <c r="D5" s="660"/>
      <c r="E5" s="660"/>
      <c r="F5" s="660"/>
      <c r="G5" s="660"/>
      <c r="H5" s="660"/>
      <c r="I5" s="660"/>
      <c r="J5" s="660"/>
      <c r="K5" s="660"/>
      <c r="L5" s="660"/>
      <c r="M5" s="660"/>
      <c r="N5" s="660"/>
      <c r="O5" s="660"/>
      <c r="P5" s="660"/>
      <c r="Q5" s="660"/>
      <c r="R5" s="660"/>
      <c r="S5" s="660"/>
      <c r="T5" s="660"/>
      <c r="U5" s="660"/>
      <c r="V5" s="660"/>
    </row>
    <row r="6" spans="1:27" ht="15.75" x14ac:dyDescent="0.25">
      <c r="A6" s="715" t="s">
        <v>369</v>
      </c>
      <c r="B6" s="660"/>
      <c r="C6" s="660"/>
      <c r="D6" s="660"/>
      <c r="E6" s="660"/>
      <c r="F6" s="660"/>
      <c r="G6" s="660"/>
      <c r="H6" s="660"/>
      <c r="I6" s="660"/>
      <c r="J6" s="660"/>
      <c r="K6" s="660"/>
      <c r="L6" s="660"/>
      <c r="M6" s="660"/>
      <c r="N6" s="660"/>
      <c r="O6" s="660"/>
      <c r="P6" s="660"/>
      <c r="Q6" s="660"/>
      <c r="R6" s="660"/>
      <c r="S6" s="660"/>
      <c r="T6" s="660"/>
      <c r="U6" s="660"/>
      <c r="V6" s="660"/>
    </row>
    <row r="7" spans="1:27" ht="13.5" thickBot="1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T7" s="83" t="s">
        <v>0</v>
      </c>
      <c r="U7" s="176"/>
    </row>
    <row r="8" spans="1:27" ht="77.25" customHeight="1" thickBot="1" x14ac:dyDescent="0.25">
      <c r="A8" s="716" t="s">
        <v>109</v>
      </c>
      <c r="B8" s="716" t="s">
        <v>26</v>
      </c>
      <c r="C8" s="718" t="s">
        <v>1093</v>
      </c>
      <c r="D8" s="719"/>
      <c r="E8" s="719"/>
      <c r="F8" s="719"/>
      <c r="G8" s="720"/>
      <c r="H8" s="718" t="s">
        <v>292</v>
      </c>
      <c r="I8" s="719"/>
      <c r="J8" s="719"/>
      <c r="K8" s="719"/>
      <c r="L8" s="720"/>
      <c r="M8" s="718" t="s">
        <v>695</v>
      </c>
      <c r="N8" s="719"/>
      <c r="O8" s="719"/>
      <c r="P8" s="719"/>
      <c r="Q8" s="720"/>
      <c r="R8" s="718" t="s">
        <v>44</v>
      </c>
      <c r="S8" s="719"/>
      <c r="T8" s="719"/>
      <c r="U8" s="719"/>
      <c r="V8" s="720"/>
      <c r="X8" s="35"/>
      <c r="Y8" s="35"/>
      <c r="Z8" s="429"/>
    </row>
    <row r="9" spans="1:27" ht="39.75" customHeight="1" thickBot="1" x14ac:dyDescent="0.25">
      <c r="A9" s="717"/>
      <c r="B9" s="717"/>
      <c r="C9" s="277" t="s">
        <v>678</v>
      </c>
      <c r="D9" s="277" t="s">
        <v>1060</v>
      </c>
      <c r="E9" s="277" t="s">
        <v>1127</v>
      </c>
      <c r="F9" s="277" t="s">
        <v>888</v>
      </c>
      <c r="G9" s="277" t="s">
        <v>962</v>
      </c>
      <c r="H9" s="277" t="str">
        <f t="shared" ref="H9:Q9" si="0">C9</f>
        <v>2024. évi eredeti előirányzat</v>
      </c>
      <c r="I9" s="277" t="str">
        <f>D9</f>
        <v>mód.ei.          2024.06.hó</v>
      </c>
      <c r="J9" s="277" t="str">
        <f t="shared" ref="J9:L9" si="1">E9</f>
        <v>mód.ei.          2024.09.hó</v>
      </c>
      <c r="K9" s="277" t="str">
        <f t="shared" si="1"/>
        <v>mód.ei.          2024..hó</v>
      </c>
      <c r="L9" s="277" t="str">
        <f t="shared" si="1"/>
        <v>teljesítés 2024.12.31</v>
      </c>
      <c r="M9" s="277" t="str">
        <f t="shared" si="0"/>
        <v>2024. évi eredeti előirányzat</v>
      </c>
      <c r="N9" s="277" t="str">
        <f>D9</f>
        <v>mód.ei.          2024.06.hó</v>
      </c>
      <c r="O9" s="277" t="s">
        <v>792</v>
      </c>
      <c r="P9" s="277" t="str">
        <f t="shared" si="0"/>
        <v>mód.ei.          2024..hó</v>
      </c>
      <c r="Q9" s="277" t="str">
        <f t="shared" si="0"/>
        <v>teljesítés 2024.12.31</v>
      </c>
      <c r="R9" s="277" t="str">
        <f>C9</f>
        <v>2024. évi eredeti előirányzat</v>
      </c>
      <c r="S9" s="277" t="str">
        <f>D9</f>
        <v>mód.ei.          2024.06.hó</v>
      </c>
      <c r="T9" s="277" t="str">
        <f t="shared" ref="T9:V9" si="2">E9</f>
        <v>mód.ei.          2024.09.hó</v>
      </c>
      <c r="U9" s="277" t="str">
        <f t="shared" si="2"/>
        <v>mód.ei.          2024..hó</v>
      </c>
      <c r="V9" s="277" t="str">
        <f t="shared" si="2"/>
        <v>teljesítés 2024.12.31</v>
      </c>
      <c r="X9" s="35"/>
      <c r="Y9" s="435"/>
      <c r="Z9" s="277">
        <v>2023</v>
      </c>
    </row>
    <row r="10" spans="1:27" x14ac:dyDescent="0.2">
      <c r="A10" s="153" t="s">
        <v>267</v>
      </c>
      <c r="B10" s="16" t="s">
        <v>268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297"/>
      <c r="S10" s="297"/>
      <c r="T10" s="297"/>
      <c r="U10" s="297"/>
      <c r="V10" s="297"/>
      <c r="W10" s="27"/>
      <c r="X10" s="35"/>
      <c r="Y10" s="435"/>
      <c r="Z10" s="436"/>
    </row>
    <row r="11" spans="1:27" x14ac:dyDescent="0.2">
      <c r="A11" s="60" t="s">
        <v>492</v>
      </c>
      <c r="B11" s="8" t="s">
        <v>865</v>
      </c>
      <c r="C11" s="13">
        <f>158000+11880</f>
        <v>169880</v>
      </c>
      <c r="D11" s="13">
        <f>158000+11880-1000</f>
        <v>168880</v>
      </c>
      <c r="E11" s="13">
        <f>158000+11880-1000-650-90-350</f>
        <v>167790</v>
      </c>
      <c r="F11" s="13">
        <v>158000</v>
      </c>
      <c r="G11" s="13">
        <v>158000</v>
      </c>
      <c r="H11" s="13">
        <f>20000+1080</f>
        <v>21080</v>
      </c>
      <c r="I11" s="13">
        <f>20000+1080</f>
        <v>21080</v>
      </c>
      <c r="J11" s="13">
        <f>20000+1080</f>
        <v>21080</v>
      </c>
      <c r="K11" s="251">
        <v>20000</v>
      </c>
      <c r="L11" s="251">
        <v>20000</v>
      </c>
      <c r="M11" s="371"/>
      <c r="N11" s="371"/>
      <c r="O11" s="371"/>
      <c r="P11" s="371"/>
      <c r="Q11" s="371"/>
      <c r="R11" s="298">
        <f>C11+H11+M11</f>
        <v>190960</v>
      </c>
      <c r="S11" s="298">
        <f t="shared" ref="S11:V25" si="3">D11+I11+N11</f>
        <v>189960</v>
      </c>
      <c r="T11" s="298">
        <f t="shared" si="3"/>
        <v>188870</v>
      </c>
      <c r="U11" s="298">
        <f t="shared" si="3"/>
        <v>178000</v>
      </c>
      <c r="V11" s="298">
        <f t="shared" si="3"/>
        <v>178000</v>
      </c>
      <c r="W11" s="253"/>
      <c r="X11" s="514"/>
      <c r="Y11" s="437"/>
      <c r="Z11" s="298">
        <v>179400</v>
      </c>
      <c r="AA11" s="35">
        <f>R11-Z11</f>
        <v>11560</v>
      </c>
    </row>
    <row r="12" spans="1:27" x14ac:dyDescent="0.2">
      <c r="A12" s="60" t="s">
        <v>550</v>
      </c>
      <c r="B12" s="8" t="s">
        <v>551</v>
      </c>
      <c r="C12" s="13">
        <v>1000</v>
      </c>
      <c r="D12" s="13">
        <v>1000</v>
      </c>
      <c r="E12" s="13">
        <v>1000</v>
      </c>
      <c r="F12" s="13">
        <v>1000</v>
      </c>
      <c r="G12" s="13">
        <v>1000</v>
      </c>
      <c r="H12" s="13"/>
      <c r="I12" s="13"/>
      <c r="J12" s="13"/>
      <c r="K12" s="13"/>
      <c r="L12" s="13"/>
      <c r="M12" s="371"/>
      <c r="N12" s="371"/>
      <c r="O12" s="371"/>
      <c r="P12" s="371"/>
      <c r="Q12" s="371"/>
      <c r="R12" s="298">
        <f t="shared" ref="R12:R25" si="4">C12+H12+M12</f>
        <v>1000</v>
      </c>
      <c r="S12" s="298">
        <f t="shared" si="3"/>
        <v>1000</v>
      </c>
      <c r="T12" s="298">
        <f t="shared" si="3"/>
        <v>1000</v>
      </c>
      <c r="U12" s="298">
        <f t="shared" si="3"/>
        <v>1000</v>
      </c>
      <c r="V12" s="298">
        <f t="shared" si="3"/>
        <v>1000</v>
      </c>
      <c r="W12" s="253"/>
      <c r="X12" s="514"/>
      <c r="Y12" s="437"/>
      <c r="Z12" s="298">
        <v>1000</v>
      </c>
      <c r="AA12" s="35">
        <f t="shared" ref="AA12:AA76" si="5">R12-Z12</f>
        <v>0</v>
      </c>
    </row>
    <row r="13" spans="1:27" x14ac:dyDescent="0.2">
      <c r="A13" s="60" t="s">
        <v>550</v>
      </c>
      <c r="B13" s="8" t="s">
        <v>900</v>
      </c>
      <c r="C13" s="13">
        <v>500</v>
      </c>
      <c r="D13" s="13">
        <f>500+100</f>
        <v>600</v>
      </c>
      <c r="E13" s="13">
        <f>500+100+304</f>
        <v>904</v>
      </c>
      <c r="F13" s="13">
        <v>500</v>
      </c>
      <c r="G13" s="13">
        <v>500</v>
      </c>
      <c r="H13" s="13"/>
      <c r="I13" s="13"/>
      <c r="J13" s="13"/>
      <c r="K13" s="13"/>
      <c r="L13" s="13"/>
      <c r="M13" s="371"/>
      <c r="N13" s="371"/>
      <c r="O13" s="371"/>
      <c r="P13" s="371"/>
      <c r="Q13" s="371"/>
      <c r="R13" s="298">
        <f t="shared" si="4"/>
        <v>500</v>
      </c>
      <c r="S13" s="298">
        <f t="shared" si="3"/>
        <v>600</v>
      </c>
      <c r="T13" s="298">
        <f t="shared" si="3"/>
        <v>904</v>
      </c>
      <c r="U13" s="298">
        <f t="shared" si="3"/>
        <v>500</v>
      </c>
      <c r="V13" s="298">
        <f t="shared" si="3"/>
        <v>500</v>
      </c>
      <c r="W13" s="253"/>
      <c r="X13" s="514"/>
      <c r="Y13" s="437"/>
      <c r="Z13" s="298">
        <v>0</v>
      </c>
      <c r="AA13" s="35">
        <f t="shared" si="5"/>
        <v>500</v>
      </c>
    </row>
    <row r="14" spans="1:27" x14ac:dyDescent="0.2">
      <c r="A14" s="60" t="s">
        <v>804</v>
      </c>
      <c r="B14" s="8" t="s">
        <v>901</v>
      </c>
      <c r="C14" s="13">
        <v>2300</v>
      </c>
      <c r="D14" s="13">
        <f>2300+1000</f>
        <v>3300</v>
      </c>
      <c r="E14" s="13">
        <f>2300+1000+650</f>
        <v>3950</v>
      </c>
      <c r="F14" s="13">
        <v>2400</v>
      </c>
      <c r="G14" s="13">
        <v>2400</v>
      </c>
      <c r="H14" s="13"/>
      <c r="I14" s="13"/>
      <c r="J14" s="13"/>
      <c r="K14" s="13"/>
      <c r="L14" s="13"/>
      <c r="M14" s="371"/>
      <c r="N14" s="371"/>
      <c r="O14" s="371"/>
      <c r="P14" s="371"/>
      <c r="Q14" s="371"/>
      <c r="R14" s="298">
        <f t="shared" si="4"/>
        <v>2300</v>
      </c>
      <c r="S14" s="298">
        <f t="shared" si="3"/>
        <v>3300</v>
      </c>
      <c r="T14" s="298">
        <f t="shared" si="3"/>
        <v>3950</v>
      </c>
      <c r="U14" s="298">
        <f t="shared" si="3"/>
        <v>2400</v>
      </c>
      <c r="V14" s="298">
        <f t="shared" si="3"/>
        <v>2400</v>
      </c>
      <c r="W14" s="253"/>
      <c r="X14" s="514"/>
      <c r="Y14" s="437"/>
      <c r="AA14" s="35">
        <f t="shared" si="5"/>
        <v>2300</v>
      </c>
    </row>
    <row r="15" spans="1:27" x14ac:dyDescent="0.2">
      <c r="A15" s="60" t="s">
        <v>516</v>
      </c>
      <c r="B15" s="8" t="s">
        <v>902</v>
      </c>
      <c r="C15" s="13">
        <v>1750</v>
      </c>
      <c r="D15" s="13">
        <v>1750</v>
      </c>
      <c r="E15" s="13">
        <f>1750+90</f>
        <v>1840</v>
      </c>
      <c r="F15" s="13">
        <v>1750</v>
      </c>
      <c r="G15" s="13">
        <v>1750</v>
      </c>
      <c r="H15" s="13"/>
      <c r="I15" s="13"/>
      <c r="J15" s="13"/>
      <c r="K15" s="13"/>
      <c r="L15" s="13"/>
      <c r="M15" s="371"/>
      <c r="N15" s="371"/>
      <c r="O15" s="371"/>
      <c r="P15" s="371"/>
      <c r="Q15" s="371"/>
      <c r="R15" s="298">
        <f t="shared" si="4"/>
        <v>1750</v>
      </c>
      <c r="S15" s="298">
        <f t="shared" si="3"/>
        <v>1750</v>
      </c>
      <c r="T15" s="298">
        <f t="shared" si="3"/>
        <v>1840</v>
      </c>
      <c r="U15" s="298">
        <f t="shared" si="3"/>
        <v>1750</v>
      </c>
      <c r="V15" s="298">
        <f t="shared" si="3"/>
        <v>1750</v>
      </c>
      <c r="W15" s="253"/>
      <c r="X15" s="514"/>
      <c r="Y15" s="437"/>
      <c r="Z15" s="298">
        <v>2500</v>
      </c>
      <c r="AA15" s="35">
        <f t="shared" si="5"/>
        <v>-750</v>
      </c>
    </row>
    <row r="16" spans="1:27" x14ac:dyDescent="0.2">
      <c r="A16" s="60" t="s">
        <v>510</v>
      </c>
      <c r="B16" s="8" t="s">
        <v>903</v>
      </c>
      <c r="C16" s="13">
        <v>5300</v>
      </c>
      <c r="D16" s="13">
        <v>5300</v>
      </c>
      <c r="E16" s="13">
        <v>5300</v>
      </c>
      <c r="F16" s="13">
        <v>5300</v>
      </c>
      <c r="G16" s="13">
        <v>5300</v>
      </c>
      <c r="H16" s="13">
        <v>750</v>
      </c>
      <c r="I16" s="13">
        <v>750</v>
      </c>
      <c r="J16" s="13">
        <v>750</v>
      </c>
      <c r="K16" s="13">
        <v>750</v>
      </c>
      <c r="L16" s="13">
        <v>750</v>
      </c>
      <c r="M16" s="371"/>
      <c r="N16" s="371"/>
      <c r="O16" s="371"/>
      <c r="P16" s="371"/>
      <c r="Q16" s="371"/>
      <c r="R16" s="298">
        <f t="shared" si="4"/>
        <v>6050</v>
      </c>
      <c r="S16" s="298">
        <f t="shared" si="3"/>
        <v>6050</v>
      </c>
      <c r="T16" s="298">
        <f t="shared" si="3"/>
        <v>6050</v>
      </c>
      <c r="U16" s="298">
        <f t="shared" si="3"/>
        <v>6050</v>
      </c>
      <c r="V16" s="298">
        <f t="shared" si="3"/>
        <v>6050</v>
      </c>
      <c r="W16" s="253"/>
      <c r="X16" s="514"/>
      <c r="Y16" s="437"/>
      <c r="Z16" s="298">
        <v>6400</v>
      </c>
      <c r="AA16" s="35">
        <f t="shared" si="5"/>
        <v>-350</v>
      </c>
    </row>
    <row r="17" spans="1:31" x14ac:dyDescent="0.2">
      <c r="A17" s="60" t="s">
        <v>999</v>
      </c>
      <c r="B17" s="8" t="s">
        <v>1000</v>
      </c>
      <c r="C17" s="13">
        <v>300</v>
      </c>
      <c r="D17" s="13">
        <f>300-300</f>
        <v>0</v>
      </c>
      <c r="E17" s="13">
        <f>300-300</f>
        <v>0</v>
      </c>
      <c r="F17" s="13"/>
      <c r="G17" s="13"/>
      <c r="H17" s="13"/>
      <c r="I17" s="13"/>
      <c r="J17" s="13"/>
      <c r="K17" s="13"/>
      <c r="L17" s="13"/>
      <c r="M17" s="371"/>
      <c r="N17" s="371"/>
      <c r="O17" s="371"/>
      <c r="P17" s="371"/>
      <c r="Q17" s="371"/>
      <c r="R17" s="298">
        <f t="shared" si="4"/>
        <v>300</v>
      </c>
      <c r="S17" s="298">
        <f t="shared" si="3"/>
        <v>0</v>
      </c>
      <c r="T17" s="298"/>
      <c r="U17" s="298"/>
      <c r="V17" s="298"/>
      <c r="W17" s="253"/>
      <c r="X17" s="514"/>
      <c r="Y17" s="437"/>
      <c r="Z17" s="298"/>
      <c r="AA17" s="35"/>
    </row>
    <row r="18" spans="1:31" x14ac:dyDescent="0.2">
      <c r="A18" s="60" t="s">
        <v>515</v>
      </c>
      <c r="B18" s="8" t="s">
        <v>406</v>
      </c>
      <c r="C18" s="13">
        <v>4700</v>
      </c>
      <c r="D18" s="13">
        <v>4700</v>
      </c>
      <c r="E18" s="13">
        <v>4700</v>
      </c>
      <c r="F18" s="13">
        <v>4700</v>
      </c>
      <c r="G18" s="13">
        <v>4700</v>
      </c>
      <c r="H18" s="13">
        <v>500</v>
      </c>
      <c r="I18" s="13">
        <v>500</v>
      </c>
      <c r="J18" s="13">
        <v>500</v>
      </c>
      <c r="K18" s="13">
        <v>500</v>
      </c>
      <c r="L18" s="13">
        <v>500</v>
      </c>
      <c r="M18" s="371"/>
      <c r="N18" s="371"/>
      <c r="O18" s="371"/>
      <c r="P18" s="371"/>
      <c r="Q18" s="371"/>
      <c r="R18" s="298">
        <f t="shared" si="4"/>
        <v>5200</v>
      </c>
      <c r="S18" s="298">
        <f t="shared" si="3"/>
        <v>5200</v>
      </c>
      <c r="T18" s="298">
        <f t="shared" si="3"/>
        <v>5200</v>
      </c>
      <c r="U18" s="298">
        <f t="shared" si="3"/>
        <v>5200</v>
      </c>
      <c r="V18" s="298">
        <f t="shared" si="3"/>
        <v>5200</v>
      </c>
      <c r="W18" s="253"/>
      <c r="X18" s="514"/>
      <c r="Y18" s="437"/>
      <c r="Z18" s="298">
        <v>4700</v>
      </c>
      <c r="AA18" s="35">
        <f t="shared" si="5"/>
        <v>500</v>
      </c>
    </row>
    <row r="19" spans="1:31" x14ac:dyDescent="0.2">
      <c r="A19" s="60" t="s">
        <v>493</v>
      </c>
      <c r="B19" s="8" t="s">
        <v>904</v>
      </c>
      <c r="C19" s="13">
        <v>1650</v>
      </c>
      <c r="D19" s="13">
        <v>1650</v>
      </c>
      <c r="E19" s="13">
        <v>1650</v>
      </c>
      <c r="F19" s="13">
        <v>1550</v>
      </c>
      <c r="G19" s="13">
        <v>1550</v>
      </c>
      <c r="H19" s="13">
        <v>2100</v>
      </c>
      <c r="I19" s="13">
        <v>2100</v>
      </c>
      <c r="J19" s="13">
        <v>2100</v>
      </c>
      <c r="K19" s="13">
        <v>2100</v>
      </c>
      <c r="L19" s="13">
        <v>2100</v>
      </c>
      <c r="M19" s="371"/>
      <c r="N19" s="371"/>
      <c r="O19" s="371"/>
      <c r="P19" s="371"/>
      <c r="Q19" s="371"/>
      <c r="R19" s="298">
        <f t="shared" si="4"/>
        <v>3750</v>
      </c>
      <c r="S19" s="298">
        <f t="shared" si="3"/>
        <v>3750</v>
      </c>
      <c r="T19" s="298">
        <f t="shared" si="3"/>
        <v>3750</v>
      </c>
      <c r="U19" s="298">
        <f t="shared" si="3"/>
        <v>3650</v>
      </c>
      <c r="V19" s="298">
        <f t="shared" si="3"/>
        <v>3650</v>
      </c>
      <c r="W19" s="253"/>
      <c r="X19" s="514"/>
      <c r="Y19" s="437"/>
      <c r="Z19" s="298">
        <v>4867</v>
      </c>
      <c r="AA19" s="35">
        <f t="shared" si="5"/>
        <v>-1117</v>
      </c>
    </row>
    <row r="20" spans="1:31" x14ac:dyDescent="0.2">
      <c r="A20" s="60" t="s">
        <v>493</v>
      </c>
      <c r="B20" s="8" t="s">
        <v>906</v>
      </c>
      <c r="C20" s="13">
        <v>3000</v>
      </c>
      <c r="D20" s="13">
        <v>3000</v>
      </c>
      <c r="E20" s="13">
        <f>3000+443</f>
        <v>3443</v>
      </c>
      <c r="F20" s="13">
        <v>3000</v>
      </c>
      <c r="G20" s="13">
        <v>3000</v>
      </c>
      <c r="H20" s="13"/>
      <c r="I20" s="13"/>
      <c r="J20" s="13"/>
      <c r="K20" s="13"/>
      <c r="L20" s="13"/>
      <c r="M20" s="371"/>
      <c r="N20" s="371"/>
      <c r="O20" s="371"/>
      <c r="P20" s="371"/>
      <c r="Q20" s="371"/>
      <c r="R20" s="298">
        <f t="shared" si="4"/>
        <v>3000</v>
      </c>
      <c r="S20" s="298">
        <f t="shared" si="3"/>
        <v>3000</v>
      </c>
      <c r="T20" s="298">
        <f t="shared" si="3"/>
        <v>3443</v>
      </c>
      <c r="U20" s="298">
        <f t="shared" si="3"/>
        <v>3000</v>
      </c>
      <c r="V20" s="298">
        <f t="shared" si="3"/>
        <v>3000</v>
      </c>
      <c r="W20" s="253"/>
      <c r="X20" s="514"/>
      <c r="Y20" s="437"/>
      <c r="Z20" s="298">
        <v>2583</v>
      </c>
      <c r="AA20" s="35">
        <f t="shared" si="5"/>
        <v>417</v>
      </c>
    </row>
    <row r="21" spans="1:31" x14ac:dyDescent="0.2">
      <c r="A21" s="60" t="s">
        <v>494</v>
      </c>
      <c r="B21" s="8" t="s">
        <v>905</v>
      </c>
      <c r="C21" s="13">
        <v>2400</v>
      </c>
      <c r="D21" s="13">
        <v>2400</v>
      </c>
      <c r="E21" s="13">
        <v>2400</v>
      </c>
      <c r="F21" s="13">
        <v>2400</v>
      </c>
      <c r="G21" s="13">
        <v>2400</v>
      </c>
      <c r="H21" s="13"/>
      <c r="I21" s="13"/>
      <c r="J21" s="13"/>
      <c r="K21" s="13"/>
      <c r="L21" s="13"/>
      <c r="M21" s="371"/>
      <c r="N21" s="371"/>
      <c r="O21" s="371"/>
      <c r="P21" s="371"/>
      <c r="Q21" s="371"/>
      <c r="R21" s="298">
        <f t="shared" si="4"/>
        <v>2400</v>
      </c>
      <c r="S21" s="298">
        <f t="shared" si="3"/>
        <v>2400</v>
      </c>
      <c r="T21" s="298">
        <f t="shared" si="3"/>
        <v>2400</v>
      </c>
      <c r="U21" s="298">
        <f t="shared" si="3"/>
        <v>2400</v>
      </c>
      <c r="V21" s="298">
        <f t="shared" si="3"/>
        <v>2400</v>
      </c>
      <c r="W21" s="253"/>
      <c r="X21" s="514"/>
      <c r="Y21" s="437"/>
      <c r="Z21" s="298">
        <v>2400</v>
      </c>
      <c r="AA21" s="35">
        <f t="shared" si="5"/>
        <v>0</v>
      </c>
    </row>
    <row r="22" spans="1:31" x14ac:dyDescent="0.2">
      <c r="A22" s="60" t="s">
        <v>494</v>
      </c>
      <c r="B22" s="8" t="s">
        <v>906</v>
      </c>
      <c r="C22" s="13">
        <v>250</v>
      </c>
      <c r="D22" s="13">
        <v>250</v>
      </c>
      <c r="E22" s="13">
        <f>250+80</f>
        <v>330</v>
      </c>
      <c r="F22" s="13">
        <v>250</v>
      </c>
      <c r="G22" s="13">
        <v>250</v>
      </c>
      <c r="H22" s="13"/>
      <c r="I22" s="13"/>
      <c r="J22" s="13"/>
      <c r="K22" s="13"/>
      <c r="L22" s="13"/>
      <c r="M22" s="371"/>
      <c r="N22" s="371"/>
      <c r="O22" s="371"/>
      <c r="P22" s="371"/>
      <c r="Q22" s="371"/>
      <c r="R22" s="298">
        <f t="shared" si="4"/>
        <v>250</v>
      </c>
      <c r="S22" s="298">
        <f t="shared" si="3"/>
        <v>250</v>
      </c>
      <c r="T22" s="298">
        <f t="shared" si="3"/>
        <v>330</v>
      </c>
      <c r="U22" s="298">
        <f t="shared" si="3"/>
        <v>250</v>
      </c>
      <c r="V22" s="298">
        <f t="shared" si="3"/>
        <v>250</v>
      </c>
      <c r="W22" s="26"/>
      <c r="X22" s="514"/>
      <c r="Y22" s="435"/>
      <c r="Z22" s="298">
        <v>3361</v>
      </c>
      <c r="AA22" s="35">
        <f t="shared" si="5"/>
        <v>-3111</v>
      </c>
    </row>
    <row r="23" spans="1:31" x14ac:dyDescent="0.2">
      <c r="A23" s="60" t="s">
        <v>506</v>
      </c>
      <c r="B23" s="8" t="s">
        <v>58</v>
      </c>
      <c r="C23" s="13">
        <v>500</v>
      </c>
      <c r="D23" s="13">
        <v>500</v>
      </c>
      <c r="E23" s="13">
        <v>500</v>
      </c>
      <c r="F23" s="13">
        <v>250</v>
      </c>
      <c r="G23" s="13">
        <v>250</v>
      </c>
      <c r="H23" s="13"/>
      <c r="I23" s="13"/>
      <c r="J23" s="13"/>
      <c r="K23" s="13"/>
      <c r="L23" s="13"/>
      <c r="M23" s="371"/>
      <c r="N23" s="371"/>
      <c r="O23" s="371"/>
      <c r="P23" s="371"/>
      <c r="Q23" s="371"/>
      <c r="R23" s="298">
        <f t="shared" si="4"/>
        <v>500</v>
      </c>
      <c r="S23" s="298">
        <f t="shared" si="3"/>
        <v>500</v>
      </c>
      <c r="T23" s="298">
        <f t="shared" si="3"/>
        <v>500</v>
      </c>
      <c r="U23" s="298">
        <f t="shared" si="3"/>
        <v>250</v>
      </c>
      <c r="V23" s="298">
        <f t="shared" si="3"/>
        <v>250</v>
      </c>
      <c r="W23" s="26"/>
      <c r="X23" s="35"/>
      <c r="Y23" s="435"/>
      <c r="AA23" s="35">
        <f t="shared" si="5"/>
        <v>500</v>
      </c>
    </row>
    <row r="24" spans="1:31" x14ac:dyDescent="0.2">
      <c r="A24" s="60" t="s">
        <v>506</v>
      </c>
      <c r="B24" s="8" t="s">
        <v>908</v>
      </c>
      <c r="C24" s="13">
        <v>4300</v>
      </c>
      <c r="D24" s="13">
        <v>4300</v>
      </c>
      <c r="E24" s="13">
        <f>4300+500</f>
        <v>4800</v>
      </c>
      <c r="F24" s="13">
        <v>4300</v>
      </c>
      <c r="G24" s="13">
        <v>4300</v>
      </c>
      <c r="H24" s="13"/>
      <c r="I24" s="13"/>
      <c r="J24" s="13"/>
      <c r="K24" s="13"/>
      <c r="L24" s="13"/>
      <c r="M24" s="371"/>
      <c r="N24" s="371"/>
      <c r="O24" s="371"/>
      <c r="P24" s="371"/>
      <c r="Q24" s="371"/>
      <c r="R24" s="298">
        <f t="shared" ref="R24" si="6">C24+H24+M24</f>
        <v>4300</v>
      </c>
      <c r="S24" s="298">
        <f t="shared" ref="S24" si="7">D24+I24+N24</f>
        <v>4300</v>
      </c>
      <c r="T24" s="298">
        <f t="shared" ref="T24" si="8">E24+J24+O24</f>
        <v>4800</v>
      </c>
      <c r="U24" s="298">
        <f t="shared" ref="U24" si="9">F24+K24+P24</f>
        <v>4300</v>
      </c>
      <c r="V24" s="298">
        <f t="shared" ref="V24" si="10">G24+L24+Q24</f>
        <v>4300</v>
      </c>
      <c r="W24" s="26"/>
      <c r="X24" s="35"/>
      <c r="Y24" s="435"/>
      <c r="AA24" s="35">
        <f t="shared" si="5"/>
        <v>4300</v>
      </c>
    </row>
    <row r="25" spans="1:31" x14ac:dyDescent="0.2">
      <c r="A25" s="60" t="s">
        <v>506</v>
      </c>
      <c r="B25" s="8" t="s">
        <v>907</v>
      </c>
      <c r="C25" s="13">
        <v>500</v>
      </c>
      <c r="D25" s="13">
        <f>500+200</f>
        <v>700</v>
      </c>
      <c r="E25" s="13">
        <f>500+200+85</f>
        <v>785</v>
      </c>
      <c r="F25" s="13">
        <v>500</v>
      </c>
      <c r="G25" s="13">
        <v>500</v>
      </c>
      <c r="H25" s="13">
        <v>0</v>
      </c>
      <c r="I25" s="13"/>
      <c r="J25" s="13"/>
      <c r="K25" s="13"/>
      <c r="L25" s="13"/>
      <c r="M25" s="371"/>
      <c r="N25" s="371"/>
      <c r="O25" s="371"/>
      <c r="P25" s="371"/>
      <c r="Q25" s="371"/>
      <c r="R25" s="298">
        <f t="shared" si="4"/>
        <v>500</v>
      </c>
      <c r="S25" s="298">
        <f t="shared" si="3"/>
        <v>700</v>
      </c>
      <c r="T25" s="298">
        <f t="shared" si="3"/>
        <v>785</v>
      </c>
      <c r="U25" s="298">
        <f t="shared" si="3"/>
        <v>500</v>
      </c>
      <c r="V25" s="298">
        <f t="shared" si="3"/>
        <v>500</v>
      </c>
      <c r="W25" s="27"/>
      <c r="X25" s="35"/>
      <c r="Y25" s="435"/>
      <c r="Z25" s="298">
        <v>300</v>
      </c>
      <c r="AA25" s="35">
        <f t="shared" si="5"/>
        <v>200</v>
      </c>
    </row>
    <row r="26" spans="1:31" x14ac:dyDescent="0.2">
      <c r="A26" s="79" t="s">
        <v>206</v>
      </c>
      <c r="B26" s="111" t="s">
        <v>266</v>
      </c>
      <c r="C26" s="228">
        <f t="shared" ref="C26:V26" si="11">SUM(C11:C25)</f>
        <v>198330</v>
      </c>
      <c r="D26" s="228">
        <f t="shared" ref="D26:E26" si="12">SUM(D11:D25)</f>
        <v>198330</v>
      </c>
      <c r="E26" s="228">
        <f t="shared" si="12"/>
        <v>199392</v>
      </c>
      <c r="F26" s="228">
        <f t="shared" si="11"/>
        <v>185900</v>
      </c>
      <c r="G26" s="228">
        <f t="shared" si="11"/>
        <v>185900</v>
      </c>
      <c r="H26" s="228">
        <f t="shared" si="11"/>
        <v>24430</v>
      </c>
      <c r="I26" s="228">
        <f t="shared" si="11"/>
        <v>24430</v>
      </c>
      <c r="J26" s="228">
        <f t="shared" ref="J26" si="13">SUM(J11:J25)</f>
        <v>24430</v>
      </c>
      <c r="K26" s="228">
        <f t="shared" si="11"/>
        <v>23350</v>
      </c>
      <c r="L26" s="228">
        <f t="shared" si="11"/>
        <v>23350</v>
      </c>
      <c r="M26" s="228">
        <f t="shared" si="11"/>
        <v>0</v>
      </c>
      <c r="N26" s="228">
        <f t="shared" si="11"/>
        <v>0</v>
      </c>
      <c r="O26" s="228">
        <f t="shared" si="11"/>
        <v>0</v>
      </c>
      <c r="P26" s="228">
        <f t="shared" si="11"/>
        <v>0</v>
      </c>
      <c r="Q26" s="228">
        <f t="shared" si="11"/>
        <v>0</v>
      </c>
      <c r="R26" s="228">
        <f t="shared" si="11"/>
        <v>222760</v>
      </c>
      <c r="S26" s="228">
        <f t="shared" si="11"/>
        <v>222760</v>
      </c>
      <c r="T26" s="228">
        <f t="shared" si="11"/>
        <v>223822</v>
      </c>
      <c r="U26" s="228">
        <f t="shared" si="11"/>
        <v>209250</v>
      </c>
      <c r="V26" s="228">
        <f t="shared" si="11"/>
        <v>209250</v>
      </c>
      <c r="W26" s="27"/>
      <c r="X26" s="35"/>
      <c r="Y26" s="435"/>
      <c r="Z26" s="228">
        <v>207511</v>
      </c>
      <c r="AA26" s="35">
        <f t="shared" si="5"/>
        <v>15249</v>
      </c>
      <c r="AE26" s="74"/>
    </row>
    <row r="27" spans="1:31" x14ac:dyDescent="0.2">
      <c r="A27" s="60"/>
      <c r="B27" s="8" t="s">
        <v>27</v>
      </c>
      <c r="C27" s="13">
        <f>22500+1545</f>
        <v>24045</v>
      </c>
      <c r="D27" s="13">
        <f>22500+1545+30</f>
        <v>24075</v>
      </c>
      <c r="E27" s="13">
        <f>22500+1545+30+143</f>
        <v>24218</v>
      </c>
      <c r="F27" s="13">
        <v>22500</v>
      </c>
      <c r="G27" s="13">
        <v>22500</v>
      </c>
      <c r="H27" s="13">
        <f>2971+140</f>
        <v>3111</v>
      </c>
      <c r="I27" s="13">
        <f>2971+140</f>
        <v>3111</v>
      </c>
      <c r="J27" s="13">
        <f>2971+140</f>
        <v>3111</v>
      </c>
      <c r="K27" s="13">
        <v>2971</v>
      </c>
      <c r="L27" s="13">
        <v>2971</v>
      </c>
      <c r="M27" s="371"/>
      <c r="N27" s="371"/>
      <c r="O27" s="371"/>
      <c r="P27" s="371"/>
      <c r="Q27" s="371"/>
      <c r="R27" s="298">
        <f t="shared" ref="R27:V28" si="14">C27+H27+M27</f>
        <v>27156</v>
      </c>
      <c r="S27" s="298">
        <f t="shared" si="14"/>
        <v>27186</v>
      </c>
      <c r="T27" s="298">
        <f t="shared" si="14"/>
        <v>27329</v>
      </c>
      <c r="U27" s="298">
        <f t="shared" si="14"/>
        <v>25471</v>
      </c>
      <c r="V27" s="298">
        <f t="shared" si="14"/>
        <v>25471</v>
      </c>
      <c r="W27" s="27"/>
      <c r="X27" s="35">
        <f>(H11+H16+H19)*0.13+H25*0.153</f>
        <v>3110.9</v>
      </c>
      <c r="Y27" s="435"/>
      <c r="Z27" s="298">
        <v>25925</v>
      </c>
      <c r="AA27" s="35">
        <f t="shared" si="5"/>
        <v>1231</v>
      </c>
      <c r="AB27" s="35"/>
      <c r="AD27" s="35"/>
      <c r="AE27" s="74"/>
    </row>
    <row r="28" spans="1:31" x14ac:dyDescent="0.2">
      <c r="A28" s="60"/>
      <c r="B28" s="8" t="s">
        <v>107</v>
      </c>
      <c r="C28" s="13">
        <v>990</v>
      </c>
      <c r="D28" s="13">
        <f>990+25</f>
        <v>1015</v>
      </c>
      <c r="E28" s="13">
        <f>990+25</f>
        <v>1015</v>
      </c>
      <c r="F28" s="13">
        <v>950</v>
      </c>
      <c r="G28" s="13">
        <v>950</v>
      </c>
      <c r="H28" s="13">
        <v>114</v>
      </c>
      <c r="I28" s="13">
        <v>114</v>
      </c>
      <c r="J28" s="13">
        <v>114</v>
      </c>
      <c r="K28" s="13">
        <v>115</v>
      </c>
      <c r="L28" s="13">
        <v>115</v>
      </c>
      <c r="M28" s="371"/>
      <c r="N28" s="371"/>
      <c r="O28" s="371"/>
      <c r="P28" s="371"/>
      <c r="Q28" s="371"/>
      <c r="R28" s="298">
        <f t="shared" si="14"/>
        <v>1104</v>
      </c>
      <c r="S28" s="298">
        <f t="shared" si="14"/>
        <v>1129</v>
      </c>
      <c r="T28" s="298">
        <f t="shared" si="14"/>
        <v>1129</v>
      </c>
      <c r="U28" s="298">
        <f t="shared" si="14"/>
        <v>1065</v>
      </c>
      <c r="V28" s="298">
        <f t="shared" si="14"/>
        <v>1065</v>
      </c>
      <c r="W28" s="27"/>
      <c r="X28" s="35">
        <f>(H16+H25)*0.15</f>
        <v>112.5</v>
      </c>
      <c r="Y28" s="435"/>
      <c r="Z28" s="298">
        <v>1010</v>
      </c>
      <c r="AA28" s="35">
        <f t="shared" si="5"/>
        <v>94</v>
      </c>
      <c r="AB28" s="35"/>
      <c r="AD28" s="35"/>
      <c r="AE28" s="74"/>
    </row>
    <row r="29" spans="1:31" x14ac:dyDescent="0.2">
      <c r="A29" s="79" t="s">
        <v>207</v>
      </c>
      <c r="B29" s="111" t="s">
        <v>94</v>
      </c>
      <c r="C29" s="228">
        <f t="shared" ref="C29:M29" si="15">SUM(C27:C28)</f>
        <v>25035</v>
      </c>
      <c r="D29" s="228">
        <f t="shared" ref="D29:E29" si="16">SUM(D27:D28)</f>
        <v>25090</v>
      </c>
      <c r="E29" s="228">
        <f t="shared" si="16"/>
        <v>25233</v>
      </c>
      <c r="F29" s="228">
        <f t="shared" ref="F29:G29" si="17">SUM(F27:F28)</f>
        <v>23450</v>
      </c>
      <c r="G29" s="228">
        <f t="shared" si="17"/>
        <v>23450</v>
      </c>
      <c r="H29" s="228">
        <f t="shared" si="15"/>
        <v>3225</v>
      </c>
      <c r="I29" s="228">
        <f t="shared" ref="I29:L29" si="18">SUM(I27:I28)</f>
        <v>3225</v>
      </c>
      <c r="J29" s="228">
        <f t="shared" ref="J29" si="19">SUM(J27:J28)</f>
        <v>3225</v>
      </c>
      <c r="K29" s="228">
        <f t="shared" si="18"/>
        <v>3086</v>
      </c>
      <c r="L29" s="228">
        <f t="shared" si="18"/>
        <v>3086</v>
      </c>
      <c r="M29" s="228">
        <f t="shared" si="15"/>
        <v>0</v>
      </c>
      <c r="N29" s="228">
        <f t="shared" ref="N29:Q29" si="20">SUM(N27:N28)</f>
        <v>0</v>
      </c>
      <c r="O29" s="228">
        <f t="shared" si="20"/>
        <v>0</v>
      </c>
      <c r="P29" s="228">
        <f t="shared" si="20"/>
        <v>0</v>
      </c>
      <c r="Q29" s="228">
        <f t="shared" si="20"/>
        <v>0</v>
      </c>
      <c r="R29" s="157">
        <f>SUM(R27:R28)</f>
        <v>28260</v>
      </c>
      <c r="S29" s="157">
        <f>SUM(S27:S28)</f>
        <v>28315</v>
      </c>
      <c r="T29" s="157">
        <f>SUM(T27:T28)</f>
        <v>28458</v>
      </c>
      <c r="U29" s="157">
        <f>SUM(U27:U28)</f>
        <v>26536</v>
      </c>
      <c r="V29" s="157">
        <f>SUM(V27:V28)</f>
        <v>26536</v>
      </c>
      <c r="W29" s="27"/>
      <c r="X29" s="35"/>
      <c r="Y29" s="435"/>
      <c r="Z29" s="157">
        <v>26935</v>
      </c>
      <c r="AA29" s="35">
        <f t="shared" si="5"/>
        <v>1325</v>
      </c>
      <c r="AE29" s="74"/>
    </row>
    <row r="30" spans="1:31" x14ac:dyDescent="0.2">
      <c r="A30" s="79" t="s">
        <v>249</v>
      </c>
      <c r="B30" s="14" t="s">
        <v>255</v>
      </c>
      <c r="C30" s="5">
        <f t="shared" ref="C30:M30" si="21">SUM(C31:C38)</f>
        <v>5110</v>
      </c>
      <c r="D30" s="5">
        <f t="shared" ref="D30:E30" si="22">SUM(D31:D38)</f>
        <v>5755</v>
      </c>
      <c r="E30" s="5">
        <f t="shared" si="22"/>
        <v>5755</v>
      </c>
      <c r="F30" s="5">
        <f t="shared" ref="F30:G30" si="23">SUM(F31:F38)</f>
        <v>4960</v>
      </c>
      <c r="G30" s="5">
        <f t="shared" si="23"/>
        <v>4960</v>
      </c>
      <c r="H30" s="5">
        <f t="shared" si="21"/>
        <v>0</v>
      </c>
      <c r="I30" s="5">
        <f t="shared" ref="I30:L30" si="24">SUM(I31:I38)</f>
        <v>0</v>
      </c>
      <c r="J30" s="5">
        <f t="shared" ref="J30" si="25">SUM(J31:J38)</f>
        <v>0</v>
      </c>
      <c r="K30" s="5">
        <f t="shared" si="24"/>
        <v>0</v>
      </c>
      <c r="L30" s="5">
        <f t="shared" si="24"/>
        <v>0</v>
      </c>
      <c r="M30" s="5">
        <f t="shared" si="21"/>
        <v>0</v>
      </c>
      <c r="N30" s="5">
        <f t="shared" ref="N30:Q30" si="26">SUM(N31:N38)</f>
        <v>0</v>
      </c>
      <c r="O30" s="5">
        <f t="shared" si="26"/>
        <v>0</v>
      </c>
      <c r="P30" s="5">
        <f t="shared" si="26"/>
        <v>0</v>
      </c>
      <c r="Q30" s="5">
        <f t="shared" si="26"/>
        <v>0</v>
      </c>
      <c r="R30" s="297">
        <f>(H30+C30+M30)</f>
        <v>5110</v>
      </c>
      <c r="S30" s="297">
        <f>(I30+D30+N30)</f>
        <v>5755</v>
      </c>
      <c r="T30" s="297">
        <f>(J30+E30+O30)</f>
        <v>5755</v>
      </c>
      <c r="U30" s="297">
        <f>(K30+F30+P30)</f>
        <v>4960</v>
      </c>
      <c r="V30" s="297">
        <f>(L30+G30+Q30)</f>
        <v>4960</v>
      </c>
      <c r="W30" s="27"/>
      <c r="Y30" s="198"/>
      <c r="Z30" s="297">
        <v>6783</v>
      </c>
      <c r="AA30" s="35">
        <f t="shared" si="5"/>
        <v>-1673</v>
      </c>
      <c r="AE30" s="74"/>
    </row>
    <row r="31" spans="1:31" x14ac:dyDescent="0.2">
      <c r="A31" s="60" t="s">
        <v>690</v>
      </c>
      <c r="B31" s="8" t="s">
        <v>296</v>
      </c>
      <c r="C31" s="13">
        <v>150</v>
      </c>
      <c r="D31" s="13">
        <v>150</v>
      </c>
      <c r="E31" s="13">
        <v>150</v>
      </c>
      <c r="F31" s="13">
        <v>150</v>
      </c>
      <c r="G31" s="13">
        <v>150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298">
        <f>C31+H31+M31</f>
        <v>150</v>
      </c>
      <c r="S31" s="298">
        <f>D31+I31+N31</f>
        <v>150</v>
      </c>
      <c r="T31" s="298">
        <f>E31+J31+O31</f>
        <v>150</v>
      </c>
      <c r="U31" s="298">
        <f>F31+K31+P31</f>
        <v>150</v>
      </c>
      <c r="V31" s="298">
        <f>G31+L31+Q31</f>
        <v>150</v>
      </c>
      <c r="W31" s="27"/>
      <c r="Y31" s="198"/>
      <c r="Z31" s="298">
        <v>827</v>
      </c>
      <c r="AA31" s="35">
        <f t="shared" si="5"/>
        <v>-677</v>
      </c>
      <c r="AE31" s="74"/>
    </row>
    <row r="32" spans="1:31" x14ac:dyDescent="0.2">
      <c r="A32" s="60" t="s">
        <v>564</v>
      </c>
      <c r="B32" s="8" t="s">
        <v>256</v>
      </c>
      <c r="C32" s="13">
        <f>400+150</f>
        <v>550</v>
      </c>
      <c r="D32" s="13">
        <f>400+150+300</f>
        <v>850</v>
      </c>
      <c r="E32" s="13">
        <f>400+150+300</f>
        <v>850</v>
      </c>
      <c r="F32" s="13">
        <v>400</v>
      </c>
      <c r="G32" s="13">
        <v>400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298">
        <f t="shared" ref="R32:R36" si="27">C32+H32+M32</f>
        <v>550</v>
      </c>
      <c r="S32" s="298">
        <f t="shared" ref="S32:T39" si="28">D32+I32+N32</f>
        <v>850</v>
      </c>
      <c r="T32" s="298">
        <f t="shared" si="28"/>
        <v>850</v>
      </c>
      <c r="U32" s="298">
        <f t="shared" ref="U32:U39" si="29">F32+K32+P32</f>
        <v>400</v>
      </c>
      <c r="V32" s="298">
        <f t="shared" ref="V32:V39" si="30">G32+L32+Q32</f>
        <v>400</v>
      </c>
      <c r="W32" s="26"/>
      <c r="Y32" s="198"/>
      <c r="Z32" s="298">
        <v>256</v>
      </c>
      <c r="AA32" s="35">
        <f t="shared" si="5"/>
        <v>294</v>
      </c>
      <c r="AE32" s="74"/>
    </row>
    <row r="33" spans="1:31" x14ac:dyDescent="0.2">
      <c r="A33" s="60"/>
      <c r="B33" s="8" t="s">
        <v>301</v>
      </c>
      <c r="C33" s="13">
        <v>1700</v>
      </c>
      <c r="D33" s="13">
        <v>1700</v>
      </c>
      <c r="E33" s="13">
        <v>1700</v>
      </c>
      <c r="F33" s="13">
        <v>1700</v>
      </c>
      <c r="G33" s="13">
        <v>1700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298">
        <f t="shared" si="27"/>
        <v>1700</v>
      </c>
      <c r="S33" s="298">
        <f t="shared" si="28"/>
        <v>1700</v>
      </c>
      <c r="T33" s="298">
        <f t="shared" si="28"/>
        <v>1700</v>
      </c>
      <c r="U33" s="298">
        <f t="shared" si="29"/>
        <v>1700</v>
      </c>
      <c r="V33" s="298">
        <f t="shared" si="30"/>
        <v>1700</v>
      </c>
      <c r="W33" s="26"/>
      <c r="Y33" s="198"/>
      <c r="Z33" s="298">
        <v>2500</v>
      </c>
      <c r="AA33" s="35">
        <f t="shared" si="5"/>
        <v>-800</v>
      </c>
      <c r="AE33" s="74"/>
    </row>
    <row r="34" spans="1:31" x14ac:dyDescent="0.2">
      <c r="A34" s="60"/>
      <c r="B34" s="8" t="s">
        <v>410</v>
      </c>
      <c r="C34" s="13">
        <v>600</v>
      </c>
      <c r="D34" s="13">
        <v>600</v>
      </c>
      <c r="E34" s="13">
        <v>600</v>
      </c>
      <c r="F34" s="13">
        <v>600</v>
      </c>
      <c r="G34" s="13">
        <v>600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298">
        <f t="shared" si="27"/>
        <v>600</v>
      </c>
      <c r="S34" s="298">
        <f t="shared" si="28"/>
        <v>600</v>
      </c>
      <c r="T34" s="298">
        <f t="shared" si="28"/>
        <v>600</v>
      </c>
      <c r="U34" s="298">
        <f t="shared" si="29"/>
        <v>600</v>
      </c>
      <c r="V34" s="298">
        <f t="shared" si="30"/>
        <v>600</v>
      </c>
      <c r="W34" s="26"/>
      <c r="Y34" s="198"/>
      <c r="Z34" s="298">
        <v>750</v>
      </c>
      <c r="AA34" s="35">
        <f t="shared" si="5"/>
        <v>-150</v>
      </c>
      <c r="AE34" s="74"/>
    </row>
    <row r="35" spans="1:31" x14ac:dyDescent="0.2">
      <c r="A35" s="60"/>
      <c r="B35" s="8" t="s">
        <v>279</v>
      </c>
      <c r="C35" s="13">
        <v>1650</v>
      </c>
      <c r="D35" s="13">
        <v>1650</v>
      </c>
      <c r="E35" s="13">
        <v>1650</v>
      </c>
      <c r="F35" s="13">
        <v>1650</v>
      </c>
      <c r="G35" s="13">
        <v>1650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298">
        <f t="shared" si="27"/>
        <v>1650</v>
      </c>
      <c r="S35" s="298">
        <f t="shared" si="28"/>
        <v>1650</v>
      </c>
      <c r="T35" s="298">
        <f t="shared" si="28"/>
        <v>1650</v>
      </c>
      <c r="U35" s="298">
        <f t="shared" si="29"/>
        <v>1650</v>
      </c>
      <c r="V35" s="298">
        <f t="shared" si="30"/>
        <v>1650</v>
      </c>
      <c r="W35" s="26"/>
      <c r="Z35" s="298">
        <v>2450</v>
      </c>
      <c r="AA35" s="35">
        <f t="shared" si="5"/>
        <v>-800</v>
      </c>
      <c r="AE35" s="74"/>
    </row>
    <row r="36" spans="1:31" x14ac:dyDescent="0.2">
      <c r="A36" s="60"/>
      <c r="B36" s="8" t="s">
        <v>909</v>
      </c>
      <c r="C36" s="13">
        <v>460</v>
      </c>
      <c r="D36" s="13">
        <f>460+140</f>
        <v>600</v>
      </c>
      <c r="E36" s="13">
        <f>460+140</f>
        <v>600</v>
      </c>
      <c r="F36" s="13">
        <v>460</v>
      </c>
      <c r="G36" s="13">
        <v>460</v>
      </c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298">
        <f t="shared" si="27"/>
        <v>460</v>
      </c>
      <c r="S36" s="298">
        <f t="shared" si="28"/>
        <v>600</v>
      </c>
      <c r="T36" s="298">
        <f t="shared" si="28"/>
        <v>600</v>
      </c>
      <c r="U36" s="298">
        <f t="shared" si="29"/>
        <v>460</v>
      </c>
      <c r="V36" s="298">
        <f t="shared" si="30"/>
        <v>460</v>
      </c>
      <c r="W36" s="26"/>
      <c r="Z36" s="298">
        <v>0</v>
      </c>
      <c r="AA36" s="35">
        <f t="shared" si="5"/>
        <v>460</v>
      </c>
      <c r="AE36" s="74"/>
    </row>
    <row r="37" spans="1:31" x14ac:dyDescent="0.2">
      <c r="A37" s="60"/>
      <c r="B37" s="8" t="s">
        <v>1105</v>
      </c>
      <c r="C37" s="13">
        <v>0</v>
      </c>
      <c r="D37" s="13">
        <v>205</v>
      </c>
      <c r="E37" s="13">
        <v>205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298">
        <f t="shared" ref="R37:R38" si="31">C37+H37+M37</f>
        <v>0</v>
      </c>
      <c r="S37" s="298">
        <f t="shared" ref="S37:S38" si="32">D37+I37+N37</f>
        <v>205</v>
      </c>
      <c r="T37" s="298">
        <f t="shared" ref="T37:T38" si="33">E37+J37+O37</f>
        <v>205</v>
      </c>
      <c r="U37" s="298">
        <f t="shared" ref="U37:U38" si="34">F37+K37+P37</f>
        <v>0</v>
      </c>
      <c r="V37" s="298">
        <f t="shared" ref="V37:V38" si="35">G37+L37+Q37</f>
        <v>0</v>
      </c>
      <c r="W37" s="26"/>
      <c r="Z37" s="298">
        <v>0</v>
      </c>
      <c r="AA37" s="35">
        <f t="shared" si="5"/>
        <v>0</v>
      </c>
      <c r="AE37" s="74"/>
    </row>
    <row r="38" spans="1:31" hidden="1" x14ac:dyDescent="0.2">
      <c r="A38" s="60"/>
      <c r="B38" s="8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298">
        <f t="shared" si="31"/>
        <v>0</v>
      </c>
      <c r="S38" s="298">
        <f t="shared" si="32"/>
        <v>0</v>
      </c>
      <c r="T38" s="298">
        <f t="shared" si="33"/>
        <v>0</v>
      </c>
      <c r="U38" s="298">
        <f t="shared" si="34"/>
        <v>0</v>
      </c>
      <c r="V38" s="298">
        <f t="shared" si="35"/>
        <v>0</v>
      </c>
      <c r="W38" s="26"/>
      <c r="Z38" s="298">
        <v>0</v>
      </c>
      <c r="AA38" s="35">
        <f t="shared" si="5"/>
        <v>0</v>
      </c>
      <c r="AE38" s="74"/>
    </row>
    <row r="39" spans="1:31" x14ac:dyDescent="0.2">
      <c r="A39" s="79" t="s">
        <v>250</v>
      </c>
      <c r="B39" s="14" t="s">
        <v>257</v>
      </c>
      <c r="C39" s="5">
        <f>SUM(C40:C46)</f>
        <v>2225</v>
      </c>
      <c r="D39" s="5">
        <f>SUM(D40:D46)</f>
        <v>2225</v>
      </c>
      <c r="E39" s="5">
        <f>SUM(E40:E46)</f>
        <v>2225</v>
      </c>
      <c r="F39" s="5">
        <f>SUM(F40:F46)</f>
        <v>1965</v>
      </c>
      <c r="G39" s="5">
        <f>SUM(G40:G46)</f>
        <v>1965</v>
      </c>
      <c r="H39" s="5">
        <f t="shared" ref="H39:M39" si="36">SUM(H40:H44)</f>
        <v>0</v>
      </c>
      <c r="I39" s="5">
        <f t="shared" ref="I39:L39" si="37">SUM(I40:I44)</f>
        <v>200</v>
      </c>
      <c r="J39" s="5">
        <f t="shared" ref="J39" si="38">SUM(J40:J44)</f>
        <v>200</v>
      </c>
      <c r="K39" s="5">
        <f t="shared" si="37"/>
        <v>0</v>
      </c>
      <c r="L39" s="5">
        <f t="shared" si="37"/>
        <v>0</v>
      </c>
      <c r="M39" s="5">
        <f t="shared" si="36"/>
        <v>0</v>
      </c>
      <c r="N39" s="5">
        <f t="shared" ref="N39:Q39" si="39">SUM(N40:N44)</f>
        <v>0</v>
      </c>
      <c r="O39" s="5">
        <f t="shared" ref="O39" si="40">SUM(O40:O44)</f>
        <v>0</v>
      </c>
      <c r="P39" s="5">
        <f t="shared" si="39"/>
        <v>0</v>
      </c>
      <c r="Q39" s="5">
        <f t="shared" si="39"/>
        <v>0</v>
      </c>
      <c r="R39" s="297">
        <f>C39+H39+M39</f>
        <v>2225</v>
      </c>
      <c r="S39" s="297">
        <f t="shared" si="28"/>
        <v>2425</v>
      </c>
      <c r="T39" s="297">
        <f t="shared" si="28"/>
        <v>2425</v>
      </c>
      <c r="U39" s="297">
        <f t="shared" si="29"/>
        <v>1965</v>
      </c>
      <c r="V39" s="297">
        <f t="shared" si="30"/>
        <v>1965</v>
      </c>
      <c r="W39" s="27"/>
      <c r="Z39" s="297">
        <v>2150</v>
      </c>
      <c r="AA39" s="35">
        <f t="shared" si="5"/>
        <v>75</v>
      </c>
      <c r="AE39" s="74"/>
    </row>
    <row r="40" spans="1:31" x14ac:dyDescent="0.2">
      <c r="A40" s="60" t="s">
        <v>782</v>
      </c>
      <c r="B40" s="8" t="s">
        <v>258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371"/>
      <c r="N40" s="371"/>
      <c r="O40" s="371"/>
      <c r="P40" s="371"/>
      <c r="Q40" s="371"/>
      <c r="R40" s="298">
        <f>C40+H40+M40</f>
        <v>0</v>
      </c>
      <c r="S40" s="298">
        <f t="shared" ref="S40:V40" si="41">D40+I40+N40</f>
        <v>0</v>
      </c>
      <c r="T40" s="298">
        <f t="shared" si="41"/>
        <v>0</v>
      </c>
      <c r="U40" s="298">
        <f t="shared" si="41"/>
        <v>0</v>
      </c>
      <c r="V40" s="298">
        <f t="shared" si="41"/>
        <v>0</v>
      </c>
      <c r="W40" s="26"/>
      <c r="Z40" s="298">
        <v>0</v>
      </c>
      <c r="AA40" s="35">
        <f t="shared" si="5"/>
        <v>0</v>
      </c>
      <c r="AE40" s="74"/>
    </row>
    <row r="41" spans="1:31" x14ac:dyDescent="0.2">
      <c r="A41" s="60"/>
      <c r="B41" s="8" t="s">
        <v>910</v>
      </c>
      <c r="C41" s="13">
        <v>200</v>
      </c>
      <c r="D41" s="13">
        <v>200</v>
      </c>
      <c r="E41" s="13">
        <v>200</v>
      </c>
      <c r="F41" s="13">
        <v>200</v>
      </c>
      <c r="G41" s="13">
        <v>200</v>
      </c>
      <c r="H41" s="13"/>
      <c r="I41" s="13"/>
      <c r="J41" s="13"/>
      <c r="K41" s="13"/>
      <c r="L41" s="13"/>
      <c r="M41" s="371"/>
      <c r="N41" s="371"/>
      <c r="O41" s="371"/>
      <c r="P41" s="371"/>
      <c r="Q41" s="371"/>
      <c r="R41" s="298">
        <f t="shared" ref="R41:R44" si="42">C41+H41+M41</f>
        <v>200</v>
      </c>
      <c r="S41" s="298">
        <f t="shared" ref="S41:S44" si="43">D41+I41+N41</f>
        <v>200</v>
      </c>
      <c r="T41" s="298">
        <f t="shared" ref="T41:T44" si="44">E41+J41+O41</f>
        <v>200</v>
      </c>
      <c r="U41" s="298">
        <f t="shared" ref="U41:U44" si="45">F41+K41+P41</f>
        <v>200</v>
      </c>
      <c r="V41" s="298">
        <f t="shared" ref="V41:V44" si="46">G41+L41+Q41</f>
        <v>200</v>
      </c>
      <c r="W41" s="26"/>
      <c r="Z41" s="298">
        <v>200</v>
      </c>
      <c r="AA41" s="35">
        <f t="shared" si="5"/>
        <v>0</v>
      </c>
      <c r="AE41" s="74"/>
    </row>
    <row r="42" spans="1:31" x14ac:dyDescent="0.2">
      <c r="A42" s="60"/>
      <c r="B42" s="8" t="s">
        <v>784</v>
      </c>
      <c r="C42" s="13">
        <v>465</v>
      </c>
      <c r="D42" s="13">
        <v>465</v>
      </c>
      <c r="E42" s="13">
        <v>465</v>
      </c>
      <c r="F42" s="13">
        <v>465</v>
      </c>
      <c r="G42" s="13">
        <v>465</v>
      </c>
      <c r="H42" s="13"/>
      <c r="I42" s="13"/>
      <c r="J42" s="13"/>
      <c r="K42" s="13"/>
      <c r="L42" s="13"/>
      <c r="M42" s="371"/>
      <c r="N42" s="371"/>
      <c r="O42" s="371"/>
      <c r="P42" s="371"/>
      <c r="Q42" s="371"/>
      <c r="R42" s="298">
        <f t="shared" si="42"/>
        <v>465</v>
      </c>
      <c r="S42" s="298">
        <f t="shared" si="43"/>
        <v>465</v>
      </c>
      <c r="T42" s="298">
        <f t="shared" si="44"/>
        <v>465</v>
      </c>
      <c r="U42" s="298">
        <f t="shared" si="45"/>
        <v>465</v>
      </c>
      <c r="V42" s="298">
        <f t="shared" si="46"/>
        <v>465</v>
      </c>
      <c r="W42" s="26"/>
      <c r="Z42" s="298">
        <v>400</v>
      </c>
      <c r="AA42" s="35">
        <f t="shared" si="5"/>
        <v>65</v>
      </c>
      <c r="AE42" s="74"/>
    </row>
    <row r="43" spans="1:31" x14ac:dyDescent="0.2">
      <c r="A43" s="60"/>
      <c r="B43" s="8" t="s">
        <v>989</v>
      </c>
      <c r="C43" s="13">
        <f>450+260</f>
        <v>710</v>
      </c>
      <c r="D43" s="13">
        <f>450+260</f>
        <v>710</v>
      </c>
      <c r="E43" s="13">
        <f>450+260</f>
        <v>710</v>
      </c>
      <c r="F43" s="13">
        <v>450</v>
      </c>
      <c r="G43" s="13">
        <v>450</v>
      </c>
      <c r="H43" s="13">
        <v>0</v>
      </c>
      <c r="I43" s="13">
        <v>100</v>
      </c>
      <c r="J43" s="13">
        <v>100</v>
      </c>
      <c r="K43" s="13"/>
      <c r="L43" s="13"/>
      <c r="M43" s="371"/>
      <c r="N43" s="371"/>
      <c r="O43" s="371"/>
      <c r="P43" s="371"/>
      <c r="Q43" s="371"/>
      <c r="R43" s="298">
        <f t="shared" si="42"/>
        <v>710</v>
      </c>
      <c r="S43" s="298">
        <f t="shared" si="43"/>
        <v>810</v>
      </c>
      <c r="T43" s="298">
        <f t="shared" si="44"/>
        <v>810</v>
      </c>
      <c r="U43" s="298">
        <f t="shared" si="45"/>
        <v>450</v>
      </c>
      <c r="V43" s="298">
        <f t="shared" si="46"/>
        <v>450</v>
      </c>
      <c r="W43" s="26"/>
      <c r="Z43" s="298">
        <v>800</v>
      </c>
      <c r="AA43" s="35">
        <f t="shared" si="5"/>
        <v>-90</v>
      </c>
      <c r="AE43" s="74"/>
    </row>
    <row r="44" spans="1:31" x14ac:dyDescent="0.2">
      <c r="A44" s="60" t="s">
        <v>691</v>
      </c>
      <c r="B44" s="8" t="s">
        <v>538</v>
      </c>
      <c r="C44" s="13">
        <v>850</v>
      </c>
      <c r="D44" s="13">
        <v>850</v>
      </c>
      <c r="E44" s="13">
        <v>850</v>
      </c>
      <c r="F44" s="13">
        <v>850</v>
      </c>
      <c r="G44" s="13">
        <v>850</v>
      </c>
      <c r="H44" s="13">
        <v>0</v>
      </c>
      <c r="I44" s="13">
        <v>100</v>
      </c>
      <c r="J44" s="13">
        <v>100</v>
      </c>
      <c r="K44" s="13"/>
      <c r="L44" s="13"/>
      <c r="M44" s="371"/>
      <c r="N44" s="371"/>
      <c r="O44" s="371"/>
      <c r="P44" s="371"/>
      <c r="Q44" s="371"/>
      <c r="R44" s="298">
        <f t="shared" si="42"/>
        <v>850</v>
      </c>
      <c r="S44" s="298">
        <f t="shared" si="43"/>
        <v>950</v>
      </c>
      <c r="T44" s="298">
        <f t="shared" si="44"/>
        <v>950</v>
      </c>
      <c r="U44" s="298">
        <f t="shared" si="45"/>
        <v>850</v>
      </c>
      <c r="V44" s="298">
        <f t="shared" si="46"/>
        <v>850</v>
      </c>
      <c r="W44" s="26"/>
      <c r="Z44" s="298">
        <v>750</v>
      </c>
      <c r="AA44" s="35">
        <f t="shared" si="5"/>
        <v>100</v>
      </c>
      <c r="AE44" s="74"/>
    </row>
    <row r="45" spans="1:31" hidden="1" x14ac:dyDescent="0.2">
      <c r="A45" s="60"/>
      <c r="B45" s="8" t="s">
        <v>294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371"/>
      <c r="N45" s="371"/>
      <c r="O45" s="371"/>
      <c r="P45" s="371"/>
      <c r="Q45" s="371"/>
      <c r="R45" s="298">
        <f t="shared" ref="R45:R53" si="47">C45+H45+M45</f>
        <v>0</v>
      </c>
      <c r="S45" s="298">
        <f t="shared" ref="S45:T53" si="48">D45+I45+N45</f>
        <v>0</v>
      </c>
      <c r="T45" s="298">
        <f t="shared" si="48"/>
        <v>0</v>
      </c>
      <c r="U45" s="298">
        <f t="shared" ref="U45:U53" si="49">F45+K45+P45</f>
        <v>0</v>
      </c>
      <c r="V45" s="298">
        <f t="shared" ref="V45:V53" si="50">G45+L45+Q45</f>
        <v>0</v>
      </c>
      <c r="W45" s="26"/>
      <c r="Z45" s="298">
        <v>0</v>
      </c>
      <c r="AA45" s="35">
        <f t="shared" si="5"/>
        <v>0</v>
      </c>
      <c r="AE45" s="74"/>
    </row>
    <row r="46" spans="1:31" hidden="1" x14ac:dyDescent="0.2">
      <c r="A46" s="60"/>
      <c r="B46" s="8" t="s">
        <v>295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371"/>
      <c r="N46" s="371"/>
      <c r="O46" s="371"/>
      <c r="P46" s="371"/>
      <c r="Q46" s="371"/>
      <c r="R46" s="298">
        <f t="shared" si="47"/>
        <v>0</v>
      </c>
      <c r="S46" s="298">
        <f t="shared" si="48"/>
        <v>0</v>
      </c>
      <c r="T46" s="298">
        <f t="shared" si="48"/>
        <v>0</v>
      </c>
      <c r="U46" s="298">
        <f t="shared" si="49"/>
        <v>0</v>
      </c>
      <c r="V46" s="298">
        <f t="shared" si="50"/>
        <v>0</v>
      </c>
      <c r="W46" s="26"/>
      <c r="Z46" s="298">
        <v>0</v>
      </c>
      <c r="AA46" s="35">
        <f t="shared" si="5"/>
        <v>0</v>
      </c>
      <c r="AE46" s="74"/>
    </row>
    <row r="47" spans="1:31" x14ac:dyDescent="0.2">
      <c r="A47" s="79" t="s">
        <v>251</v>
      </c>
      <c r="B47" s="14" t="s">
        <v>259</v>
      </c>
      <c r="C47" s="5">
        <f t="shared" ref="C47:Q47" si="51">SUM(C48:C63)</f>
        <v>12965</v>
      </c>
      <c r="D47" s="5">
        <f t="shared" ref="D47:E47" si="52">SUM(D48:D63)</f>
        <v>13019</v>
      </c>
      <c r="E47" s="5">
        <f t="shared" si="52"/>
        <v>13647</v>
      </c>
      <c r="F47" s="5">
        <f t="shared" si="51"/>
        <v>12815</v>
      </c>
      <c r="G47" s="5">
        <f t="shared" si="51"/>
        <v>12815</v>
      </c>
      <c r="H47" s="5">
        <f t="shared" si="51"/>
        <v>2620</v>
      </c>
      <c r="I47" s="5">
        <f t="shared" si="51"/>
        <v>2620</v>
      </c>
      <c r="J47" s="5">
        <f t="shared" ref="J47" si="53">SUM(J48:J63)</f>
        <v>2620</v>
      </c>
      <c r="K47" s="5">
        <f t="shared" si="51"/>
        <v>2620</v>
      </c>
      <c r="L47" s="5">
        <f t="shared" si="51"/>
        <v>2620</v>
      </c>
      <c r="M47" s="5">
        <f t="shared" si="51"/>
        <v>0</v>
      </c>
      <c r="N47" s="5">
        <f t="shared" si="51"/>
        <v>0</v>
      </c>
      <c r="O47" s="5">
        <f t="shared" si="51"/>
        <v>0</v>
      </c>
      <c r="P47" s="5">
        <f t="shared" si="51"/>
        <v>0</v>
      </c>
      <c r="Q47" s="5">
        <f t="shared" si="51"/>
        <v>0</v>
      </c>
      <c r="R47" s="297">
        <f t="shared" si="47"/>
        <v>15585</v>
      </c>
      <c r="S47" s="297">
        <f t="shared" si="48"/>
        <v>15639</v>
      </c>
      <c r="T47" s="297">
        <f t="shared" si="48"/>
        <v>16267</v>
      </c>
      <c r="U47" s="297">
        <f t="shared" si="49"/>
        <v>15435</v>
      </c>
      <c r="V47" s="297">
        <f t="shared" si="50"/>
        <v>15435</v>
      </c>
      <c r="W47" s="27"/>
      <c r="Z47" s="297">
        <v>20270</v>
      </c>
      <c r="AA47" s="35">
        <f t="shared" si="5"/>
        <v>-4685</v>
      </c>
      <c r="AE47" s="74"/>
    </row>
    <row r="48" spans="1:31" hidden="1" x14ac:dyDescent="0.2">
      <c r="A48" s="60" t="s">
        <v>252</v>
      </c>
      <c r="B48" s="8" t="s">
        <v>276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298">
        <f t="shared" si="47"/>
        <v>0</v>
      </c>
      <c r="S48" s="298">
        <f t="shared" si="48"/>
        <v>0</v>
      </c>
      <c r="T48" s="298">
        <f t="shared" si="48"/>
        <v>0</v>
      </c>
      <c r="U48" s="298">
        <f t="shared" si="49"/>
        <v>0</v>
      </c>
      <c r="V48" s="298">
        <f t="shared" si="50"/>
        <v>0</v>
      </c>
      <c r="W48" s="26"/>
      <c r="Z48" s="298">
        <v>0</v>
      </c>
      <c r="AA48" s="35">
        <f t="shared" si="5"/>
        <v>0</v>
      </c>
      <c r="AE48" s="74"/>
    </row>
    <row r="49" spans="1:31" x14ac:dyDescent="0.2">
      <c r="A49" s="60" t="s">
        <v>772</v>
      </c>
      <c r="B49" s="8" t="s">
        <v>836</v>
      </c>
      <c r="C49" s="11">
        <v>65</v>
      </c>
      <c r="D49" s="11">
        <f>65+1+10+43</f>
        <v>119</v>
      </c>
      <c r="E49" s="11">
        <f>65+1+10+43</f>
        <v>119</v>
      </c>
      <c r="F49" s="11">
        <v>65</v>
      </c>
      <c r="G49" s="11">
        <v>65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298">
        <f t="shared" si="47"/>
        <v>65</v>
      </c>
      <c r="S49" s="298">
        <f t="shared" si="48"/>
        <v>119</v>
      </c>
      <c r="T49" s="298">
        <f t="shared" si="48"/>
        <v>119</v>
      </c>
      <c r="U49" s="298">
        <f t="shared" si="49"/>
        <v>65</v>
      </c>
      <c r="V49" s="298">
        <f t="shared" si="50"/>
        <v>65</v>
      </c>
      <c r="W49" s="26"/>
      <c r="Z49" s="298">
        <v>60</v>
      </c>
      <c r="AA49" s="35">
        <f t="shared" si="5"/>
        <v>5</v>
      </c>
      <c r="AE49" s="74"/>
    </row>
    <row r="50" spans="1:31" x14ac:dyDescent="0.2">
      <c r="A50" s="60" t="s">
        <v>692</v>
      </c>
      <c r="B50" s="8" t="s">
        <v>274</v>
      </c>
      <c r="C50" s="11"/>
      <c r="D50" s="11"/>
      <c r="E50" s="11"/>
      <c r="F50" s="11"/>
      <c r="G50" s="11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298">
        <f t="shared" si="47"/>
        <v>0</v>
      </c>
      <c r="S50" s="298">
        <f t="shared" si="48"/>
        <v>0</v>
      </c>
      <c r="T50" s="298">
        <f t="shared" si="48"/>
        <v>0</v>
      </c>
      <c r="U50" s="298">
        <f t="shared" si="49"/>
        <v>0</v>
      </c>
      <c r="V50" s="298">
        <f t="shared" si="50"/>
        <v>0</v>
      </c>
      <c r="W50" s="26"/>
      <c r="Z50" s="298">
        <v>0</v>
      </c>
      <c r="AA50" s="35">
        <f t="shared" si="5"/>
        <v>0</v>
      </c>
      <c r="AE50" s="74"/>
    </row>
    <row r="51" spans="1:31" x14ac:dyDescent="0.2">
      <c r="A51" s="60"/>
      <c r="B51" s="8" t="s">
        <v>835</v>
      </c>
      <c r="C51" s="11">
        <f>35*12+100</f>
        <v>520</v>
      </c>
      <c r="D51" s="11">
        <f>35*12+100</f>
        <v>520</v>
      </c>
      <c r="E51" s="11">
        <f>35*12+100</f>
        <v>520</v>
      </c>
      <c r="F51" s="11">
        <f>35*12+100</f>
        <v>520</v>
      </c>
      <c r="G51" s="11">
        <f>35*12+100</f>
        <v>520</v>
      </c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298">
        <f t="shared" si="47"/>
        <v>520</v>
      </c>
      <c r="S51" s="298">
        <f t="shared" si="48"/>
        <v>520</v>
      </c>
      <c r="T51" s="298">
        <f t="shared" si="48"/>
        <v>520</v>
      </c>
      <c r="U51" s="298">
        <f t="shared" si="49"/>
        <v>520</v>
      </c>
      <c r="V51" s="298">
        <f t="shared" si="50"/>
        <v>520</v>
      </c>
      <c r="W51" s="26"/>
      <c r="Z51" s="298">
        <v>500</v>
      </c>
      <c r="AA51" s="35">
        <f t="shared" si="5"/>
        <v>20</v>
      </c>
      <c r="AE51" s="74"/>
    </row>
    <row r="52" spans="1:31" x14ac:dyDescent="0.2">
      <c r="A52" s="60"/>
      <c r="B52" s="8" t="s">
        <v>911</v>
      </c>
      <c r="C52" s="11">
        <v>850</v>
      </c>
      <c r="D52" s="11">
        <v>850</v>
      </c>
      <c r="E52" s="11">
        <f>850+350</f>
        <v>1200</v>
      </c>
      <c r="F52" s="11">
        <v>850</v>
      </c>
      <c r="G52" s="11">
        <v>850</v>
      </c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298">
        <f t="shared" si="47"/>
        <v>850</v>
      </c>
      <c r="S52" s="298">
        <f t="shared" si="48"/>
        <v>850</v>
      </c>
      <c r="T52" s="298">
        <f t="shared" si="48"/>
        <v>1200</v>
      </c>
      <c r="U52" s="298">
        <f t="shared" si="49"/>
        <v>850</v>
      </c>
      <c r="V52" s="298">
        <f t="shared" si="50"/>
        <v>850</v>
      </c>
      <c r="W52" s="26"/>
      <c r="Z52" s="298">
        <v>1080</v>
      </c>
      <c r="AA52" s="35">
        <f t="shared" si="5"/>
        <v>-230</v>
      </c>
      <c r="AE52" s="74"/>
    </row>
    <row r="53" spans="1:31" x14ac:dyDescent="0.2">
      <c r="A53" s="60"/>
      <c r="B53" s="8" t="s">
        <v>418</v>
      </c>
      <c r="C53" s="11">
        <v>250</v>
      </c>
      <c r="D53" s="11">
        <v>250</v>
      </c>
      <c r="E53" s="11">
        <v>250</v>
      </c>
      <c r="F53" s="11">
        <v>250</v>
      </c>
      <c r="G53" s="11">
        <v>250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298">
        <f t="shared" si="47"/>
        <v>250</v>
      </c>
      <c r="S53" s="298">
        <f t="shared" si="48"/>
        <v>250</v>
      </c>
      <c r="T53" s="298">
        <f t="shared" si="48"/>
        <v>250</v>
      </c>
      <c r="U53" s="298">
        <f t="shared" si="49"/>
        <v>250</v>
      </c>
      <c r="V53" s="298">
        <f t="shared" si="50"/>
        <v>250</v>
      </c>
      <c r="W53" s="26"/>
      <c r="Z53" s="298">
        <v>750</v>
      </c>
      <c r="AA53" s="35">
        <f t="shared" si="5"/>
        <v>-500</v>
      </c>
      <c r="AE53" s="74"/>
    </row>
    <row r="54" spans="1:31" hidden="1" x14ac:dyDescent="0.2">
      <c r="A54" s="60" t="s">
        <v>707</v>
      </c>
      <c r="B54" s="8" t="s">
        <v>273</v>
      </c>
      <c r="C54" s="11"/>
      <c r="D54" s="11"/>
      <c r="E54" s="11"/>
      <c r="F54" s="11"/>
      <c r="G54" s="11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298">
        <f t="shared" ref="R54:R64" si="54">C54+H54+M54</f>
        <v>0</v>
      </c>
      <c r="S54" s="298">
        <f t="shared" ref="S54:T64" si="55">D54+I54+N54</f>
        <v>0</v>
      </c>
      <c r="T54" s="298">
        <f t="shared" si="55"/>
        <v>0</v>
      </c>
      <c r="U54" s="298">
        <f t="shared" ref="U54:U64" si="56">F54+K54+P54</f>
        <v>0</v>
      </c>
      <c r="V54" s="298">
        <f t="shared" ref="V54:V64" si="57">G54+L54+Q54</f>
        <v>0</v>
      </c>
      <c r="W54" s="26"/>
      <c r="Z54" s="298">
        <v>0</v>
      </c>
      <c r="AA54" s="35">
        <f t="shared" si="5"/>
        <v>0</v>
      </c>
      <c r="AE54" s="74"/>
    </row>
    <row r="55" spans="1:31" x14ac:dyDescent="0.2">
      <c r="A55" s="60" t="s">
        <v>496</v>
      </c>
      <c r="B55" s="8" t="s">
        <v>272</v>
      </c>
      <c r="C55" s="11"/>
      <c r="D55" s="11"/>
      <c r="E55" s="11"/>
      <c r="F55" s="11"/>
      <c r="G55" s="11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298">
        <f t="shared" si="54"/>
        <v>0</v>
      </c>
      <c r="S55" s="298">
        <f t="shared" si="55"/>
        <v>0</v>
      </c>
      <c r="T55" s="298">
        <f t="shared" si="55"/>
        <v>0</v>
      </c>
      <c r="U55" s="298">
        <f t="shared" si="56"/>
        <v>0</v>
      </c>
      <c r="V55" s="298">
        <f t="shared" si="57"/>
        <v>0</v>
      </c>
      <c r="W55" s="26"/>
      <c r="Z55" s="298">
        <v>0</v>
      </c>
      <c r="AA55" s="35">
        <f t="shared" si="5"/>
        <v>0</v>
      </c>
      <c r="AE55" s="74"/>
    </row>
    <row r="56" spans="1:31" hidden="1" x14ac:dyDescent="0.2">
      <c r="A56" s="60"/>
      <c r="B56" s="8"/>
      <c r="C56" s="11"/>
      <c r="D56" s="11"/>
      <c r="E56" s="11"/>
      <c r="F56" s="11"/>
      <c r="G56" s="11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298">
        <f t="shared" ref="R56:R59" si="58">C56+H56+M56</f>
        <v>0</v>
      </c>
      <c r="S56" s="298">
        <f t="shared" ref="S56:S59" si="59">D56+I56+N56</f>
        <v>0</v>
      </c>
      <c r="T56" s="298">
        <f t="shared" ref="T56:T59" si="60">E56+J56+O56</f>
        <v>0</v>
      </c>
      <c r="U56" s="298">
        <f t="shared" si="56"/>
        <v>0</v>
      </c>
      <c r="V56" s="298">
        <f t="shared" si="57"/>
        <v>0</v>
      </c>
      <c r="W56" s="26"/>
      <c r="Z56" s="298">
        <v>0</v>
      </c>
      <c r="AA56" s="35">
        <f t="shared" si="5"/>
        <v>0</v>
      </c>
      <c r="AE56" s="74"/>
    </row>
    <row r="57" spans="1:31" x14ac:dyDescent="0.2">
      <c r="A57" s="60"/>
      <c r="B57" s="8" t="s">
        <v>420</v>
      </c>
      <c r="C57" s="11">
        <v>550</v>
      </c>
      <c r="D57" s="11">
        <v>550</v>
      </c>
      <c r="E57" s="11">
        <v>550</v>
      </c>
      <c r="F57" s="11">
        <v>550</v>
      </c>
      <c r="G57" s="11">
        <v>550</v>
      </c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298">
        <f t="shared" si="58"/>
        <v>550</v>
      </c>
      <c r="S57" s="298">
        <f t="shared" si="59"/>
        <v>550</v>
      </c>
      <c r="T57" s="298">
        <f t="shared" si="60"/>
        <v>550</v>
      </c>
      <c r="U57" s="298">
        <f t="shared" si="56"/>
        <v>550</v>
      </c>
      <c r="V57" s="298">
        <f t="shared" si="57"/>
        <v>550</v>
      </c>
      <c r="W57" s="26"/>
      <c r="Z57" s="298">
        <v>560</v>
      </c>
      <c r="AA57" s="35">
        <f t="shared" si="5"/>
        <v>-10</v>
      </c>
      <c r="AE57" s="74"/>
    </row>
    <row r="58" spans="1:31" x14ac:dyDescent="0.2">
      <c r="A58" s="60"/>
      <c r="B58" s="8" t="s">
        <v>985</v>
      </c>
      <c r="C58" s="11">
        <v>630</v>
      </c>
      <c r="D58" s="11">
        <v>630</v>
      </c>
      <c r="E58" s="11">
        <v>630</v>
      </c>
      <c r="F58" s="11">
        <v>630</v>
      </c>
      <c r="G58" s="11">
        <v>630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298">
        <f t="shared" si="58"/>
        <v>630</v>
      </c>
      <c r="S58" s="298">
        <f t="shared" si="59"/>
        <v>630</v>
      </c>
      <c r="T58" s="298">
        <f t="shared" si="60"/>
        <v>630</v>
      </c>
      <c r="U58" s="298">
        <f t="shared" si="56"/>
        <v>630</v>
      </c>
      <c r="V58" s="298">
        <f t="shared" si="57"/>
        <v>630</v>
      </c>
      <c r="W58" s="26"/>
      <c r="X58" s="9">
        <f>25000*12+27500*12</f>
        <v>630000</v>
      </c>
      <c r="Z58" s="298">
        <v>630</v>
      </c>
      <c r="AA58" s="35">
        <f t="shared" si="5"/>
        <v>0</v>
      </c>
      <c r="AE58" s="74"/>
    </row>
    <row r="59" spans="1:31" x14ac:dyDescent="0.2">
      <c r="A59" s="60"/>
      <c r="B59" s="8" t="s">
        <v>834</v>
      </c>
      <c r="C59" s="11">
        <v>250</v>
      </c>
      <c r="D59" s="11">
        <v>250</v>
      </c>
      <c r="E59" s="11">
        <v>250</v>
      </c>
      <c r="F59" s="11">
        <v>250</v>
      </c>
      <c r="G59" s="11">
        <v>250</v>
      </c>
      <c r="H59" s="13">
        <v>120</v>
      </c>
      <c r="I59" s="13">
        <v>120</v>
      </c>
      <c r="J59" s="13">
        <v>120</v>
      </c>
      <c r="K59" s="13">
        <v>120</v>
      </c>
      <c r="L59" s="13">
        <v>120</v>
      </c>
      <c r="M59" s="13"/>
      <c r="N59" s="13"/>
      <c r="O59" s="13"/>
      <c r="P59" s="13"/>
      <c r="Q59" s="13"/>
      <c r="R59" s="298">
        <f t="shared" si="58"/>
        <v>370</v>
      </c>
      <c r="S59" s="298">
        <f t="shared" si="59"/>
        <v>370</v>
      </c>
      <c r="T59" s="298">
        <f t="shared" si="60"/>
        <v>370</v>
      </c>
      <c r="U59" s="298">
        <f t="shared" si="56"/>
        <v>370</v>
      </c>
      <c r="V59" s="298">
        <f t="shared" si="57"/>
        <v>370</v>
      </c>
      <c r="W59" s="26"/>
      <c r="Z59" s="298">
        <v>730</v>
      </c>
      <c r="AA59" s="35">
        <f t="shared" si="5"/>
        <v>-360</v>
      </c>
      <c r="AE59" s="74"/>
    </row>
    <row r="60" spans="1:31" hidden="1" x14ac:dyDescent="0.2">
      <c r="A60" s="60"/>
      <c r="B60" s="8"/>
      <c r="C60" s="11"/>
      <c r="D60" s="11"/>
      <c r="E60" s="11"/>
      <c r="F60" s="11"/>
      <c r="G60" s="11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298">
        <f t="shared" ref="R60" si="61">C60+H60+M60</f>
        <v>0</v>
      </c>
      <c r="S60" s="298">
        <f t="shared" ref="S60" si="62">D60+I60+N60</f>
        <v>0</v>
      </c>
      <c r="T60" s="298">
        <f t="shared" ref="T60" si="63">E60+J60+O60</f>
        <v>0</v>
      </c>
      <c r="U60" s="298">
        <f t="shared" si="56"/>
        <v>0</v>
      </c>
      <c r="V60" s="298">
        <f t="shared" si="57"/>
        <v>0</v>
      </c>
      <c r="W60" s="26"/>
      <c r="Z60" s="298">
        <v>0</v>
      </c>
      <c r="AA60" s="35">
        <f t="shared" si="5"/>
        <v>0</v>
      </c>
      <c r="AE60" s="74"/>
    </row>
    <row r="61" spans="1:31" x14ac:dyDescent="0.2">
      <c r="A61" s="60" t="s">
        <v>497</v>
      </c>
      <c r="B61" s="8" t="s">
        <v>271</v>
      </c>
      <c r="C61" s="11">
        <f>1000+150</f>
        <v>1150</v>
      </c>
      <c r="D61" s="11">
        <f>1000+150</f>
        <v>1150</v>
      </c>
      <c r="E61" s="11">
        <f>1000+150-500</f>
        <v>650</v>
      </c>
      <c r="F61" s="11">
        <v>1000</v>
      </c>
      <c r="G61" s="11">
        <v>1000</v>
      </c>
      <c r="H61" s="13">
        <v>1000</v>
      </c>
      <c r="I61" s="13">
        <v>1000</v>
      </c>
      <c r="J61" s="13">
        <f>1000-500</f>
        <v>500</v>
      </c>
      <c r="K61" s="13">
        <v>1000</v>
      </c>
      <c r="L61" s="13">
        <v>1000</v>
      </c>
      <c r="M61" s="13"/>
      <c r="N61" s="13"/>
      <c r="O61" s="13"/>
      <c r="P61" s="13"/>
      <c r="Q61" s="13"/>
      <c r="R61" s="298">
        <f t="shared" si="54"/>
        <v>2150</v>
      </c>
      <c r="S61" s="298">
        <f t="shared" si="55"/>
        <v>2150</v>
      </c>
      <c r="T61" s="298">
        <f t="shared" si="55"/>
        <v>1150</v>
      </c>
      <c r="U61" s="298">
        <f t="shared" si="56"/>
        <v>2000</v>
      </c>
      <c r="V61" s="298">
        <f t="shared" si="57"/>
        <v>2000</v>
      </c>
      <c r="W61" s="26"/>
      <c r="Z61" s="298">
        <v>3590</v>
      </c>
      <c r="AA61" s="35">
        <f t="shared" si="5"/>
        <v>-1440</v>
      </c>
      <c r="AE61" s="74"/>
    </row>
    <row r="62" spans="1:31" x14ac:dyDescent="0.2">
      <c r="A62" s="60"/>
      <c r="B62" s="8" t="s">
        <v>308</v>
      </c>
      <c r="C62" s="11">
        <v>8000</v>
      </c>
      <c r="D62" s="11">
        <v>8000</v>
      </c>
      <c r="E62" s="11">
        <f>8000+278+500</f>
        <v>8778</v>
      </c>
      <c r="F62" s="11">
        <v>8000</v>
      </c>
      <c r="G62" s="11">
        <v>8000</v>
      </c>
      <c r="H62" s="13">
        <v>1500</v>
      </c>
      <c r="I62" s="13">
        <v>1500</v>
      </c>
      <c r="J62" s="13">
        <f>1500+500</f>
        <v>2000</v>
      </c>
      <c r="K62" s="13">
        <v>1500</v>
      </c>
      <c r="L62" s="13">
        <v>1500</v>
      </c>
      <c r="M62" s="13"/>
      <c r="N62" s="13"/>
      <c r="O62" s="13"/>
      <c r="P62" s="13"/>
      <c r="Q62" s="13"/>
      <c r="R62" s="298">
        <f t="shared" si="54"/>
        <v>9500</v>
      </c>
      <c r="S62" s="298">
        <f t="shared" si="55"/>
        <v>9500</v>
      </c>
      <c r="T62" s="298">
        <f t="shared" si="55"/>
        <v>10778</v>
      </c>
      <c r="U62" s="298">
        <f t="shared" si="56"/>
        <v>9500</v>
      </c>
      <c r="V62" s="298">
        <f t="shared" si="57"/>
        <v>9500</v>
      </c>
      <c r="W62" s="26"/>
      <c r="Z62" s="298">
        <v>11620</v>
      </c>
      <c r="AA62" s="35">
        <f t="shared" si="5"/>
        <v>-2120</v>
      </c>
      <c r="AE62" s="74"/>
    </row>
    <row r="63" spans="1:31" x14ac:dyDescent="0.2">
      <c r="A63" s="60"/>
      <c r="B63" s="8" t="s">
        <v>407</v>
      </c>
      <c r="C63" s="11">
        <v>700</v>
      </c>
      <c r="D63" s="11">
        <v>700</v>
      </c>
      <c r="E63" s="11">
        <v>700</v>
      </c>
      <c r="F63" s="11">
        <v>700</v>
      </c>
      <c r="G63" s="11">
        <v>700</v>
      </c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298">
        <f t="shared" si="54"/>
        <v>700</v>
      </c>
      <c r="S63" s="298">
        <f t="shared" si="55"/>
        <v>700</v>
      </c>
      <c r="T63" s="298">
        <f t="shared" si="55"/>
        <v>700</v>
      </c>
      <c r="U63" s="298">
        <f t="shared" si="56"/>
        <v>700</v>
      </c>
      <c r="V63" s="298">
        <f t="shared" si="57"/>
        <v>700</v>
      </c>
      <c r="W63" s="26"/>
      <c r="Z63" s="298">
        <v>750</v>
      </c>
      <c r="AA63" s="35">
        <f t="shared" si="5"/>
        <v>-50</v>
      </c>
      <c r="AE63" s="74"/>
    </row>
    <row r="64" spans="1:31" x14ac:dyDescent="0.2">
      <c r="A64" s="79" t="s">
        <v>253</v>
      </c>
      <c r="B64" s="14" t="s">
        <v>247</v>
      </c>
      <c r="C64" s="6">
        <f t="shared" ref="C64:M64" si="64">SUM(C65:C66)</f>
        <v>230</v>
      </c>
      <c r="D64" s="6">
        <f t="shared" ref="D64:E64" si="65">SUM(D65:D66)</f>
        <v>230</v>
      </c>
      <c r="E64" s="6">
        <f t="shared" si="65"/>
        <v>230</v>
      </c>
      <c r="F64" s="6">
        <f t="shared" ref="F64:G64" si="66">SUM(F65:F66)</f>
        <v>230</v>
      </c>
      <c r="G64" s="6">
        <f t="shared" si="66"/>
        <v>230</v>
      </c>
      <c r="H64" s="5">
        <f t="shared" si="64"/>
        <v>20</v>
      </c>
      <c r="I64" s="5">
        <f t="shared" ref="I64:L64" si="67">SUM(I65:I66)</f>
        <v>20</v>
      </c>
      <c r="J64" s="5">
        <f t="shared" ref="J64" si="68">SUM(J65:J66)</f>
        <v>20</v>
      </c>
      <c r="K64" s="5">
        <f t="shared" si="67"/>
        <v>20</v>
      </c>
      <c r="L64" s="5">
        <f t="shared" si="67"/>
        <v>20</v>
      </c>
      <c r="M64" s="5">
        <f t="shared" si="64"/>
        <v>0</v>
      </c>
      <c r="N64" s="5">
        <f t="shared" ref="N64:Q64" si="69">SUM(N65:N66)</f>
        <v>0</v>
      </c>
      <c r="O64" s="5">
        <f t="shared" ref="O64" si="70">SUM(O65:O66)</f>
        <v>0</v>
      </c>
      <c r="P64" s="5">
        <f t="shared" si="69"/>
        <v>0</v>
      </c>
      <c r="Q64" s="5">
        <f t="shared" si="69"/>
        <v>0</v>
      </c>
      <c r="R64" s="297">
        <f t="shared" si="54"/>
        <v>250</v>
      </c>
      <c r="S64" s="297">
        <f t="shared" si="55"/>
        <v>250</v>
      </c>
      <c r="T64" s="297">
        <f t="shared" si="55"/>
        <v>250</v>
      </c>
      <c r="U64" s="297">
        <f t="shared" si="56"/>
        <v>250</v>
      </c>
      <c r="V64" s="297">
        <f t="shared" si="57"/>
        <v>250</v>
      </c>
      <c r="W64" s="27"/>
      <c r="X64" s="35"/>
      <c r="Y64" s="35"/>
      <c r="Z64" s="297">
        <v>190</v>
      </c>
      <c r="AA64" s="35">
        <f t="shared" si="5"/>
        <v>60</v>
      </c>
      <c r="AE64" s="74"/>
    </row>
    <row r="65" spans="1:31" x14ac:dyDescent="0.2">
      <c r="A65" s="60" t="s">
        <v>573</v>
      </c>
      <c r="B65" s="8" t="s">
        <v>270</v>
      </c>
      <c r="C65" s="13">
        <v>200</v>
      </c>
      <c r="D65" s="13">
        <v>200</v>
      </c>
      <c r="E65" s="13">
        <v>200</v>
      </c>
      <c r="F65" s="13">
        <v>200</v>
      </c>
      <c r="G65" s="13">
        <v>200</v>
      </c>
      <c r="H65" s="13">
        <v>20</v>
      </c>
      <c r="I65" s="13">
        <v>20</v>
      </c>
      <c r="J65" s="13">
        <v>20</v>
      </c>
      <c r="K65" s="13">
        <v>20</v>
      </c>
      <c r="L65" s="13">
        <v>20</v>
      </c>
      <c r="M65" s="371"/>
      <c r="N65" s="371"/>
      <c r="O65" s="371"/>
      <c r="P65" s="371"/>
      <c r="Q65" s="371"/>
      <c r="R65" s="298">
        <f>C65+H65+M65</f>
        <v>220</v>
      </c>
      <c r="S65" s="298">
        <f>D65+I65+N65</f>
        <v>220</v>
      </c>
      <c r="T65" s="298">
        <f>E65+J65+O65</f>
        <v>220</v>
      </c>
      <c r="U65" s="298">
        <f>F65+K65+P65</f>
        <v>220</v>
      </c>
      <c r="V65" s="298">
        <f>G65+L65+Q65</f>
        <v>220</v>
      </c>
      <c r="W65" s="26"/>
      <c r="Z65" s="298">
        <v>160</v>
      </c>
      <c r="AA65" s="35">
        <f t="shared" si="5"/>
        <v>60</v>
      </c>
      <c r="AE65" s="74"/>
    </row>
    <row r="66" spans="1:31" x14ac:dyDescent="0.2">
      <c r="A66" s="60" t="s">
        <v>761</v>
      </c>
      <c r="B66" s="8" t="s">
        <v>282</v>
      </c>
      <c r="C66" s="13">
        <v>30</v>
      </c>
      <c r="D66" s="13">
        <v>30</v>
      </c>
      <c r="E66" s="13">
        <v>30</v>
      </c>
      <c r="F66" s="13">
        <v>30</v>
      </c>
      <c r="G66" s="13">
        <v>30</v>
      </c>
      <c r="H66" s="13"/>
      <c r="I66" s="13"/>
      <c r="J66" s="13"/>
      <c r="K66" s="13"/>
      <c r="L66" s="13"/>
      <c r="M66" s="371"/>
      <c r="N66" s="371"/>
      <c r="O66" s="371"/>
      <c r="P66" s="371"/>
      <c r="Q66" s="371"/>
      <c r="R66" s="298">
        <f t="shared" ref="R66:R75" si="71">C66+H66+M66</f>
        <v>30</v>
      </c>
      <c r="S66" s="298">
        <f t="shared" ref="S66:T75" si="72">D66+I66+N66</f>
        <v>30</v>
      </c>
      <c r="T66" s="298">
        <f t="shared" si="72"/>
        <v>30</v>
      </c>
      <c r="U66" s="298">
        <f t="shared" ref="U66:U75" si="73">F66+K66+P66</f>
        <v>30</v>
      </c>
      <c r="V66" s="298">
        <f t="shared" ref="V66:V75" si="74">G66+L66+Q66</f>
        <v>30</v>
      </c>
      <c r="W66" s="26"/>
      <c r="Z66" s="298">
        <v>30</v>
      </c>
      <c r="AA66" s="35">
        <f t="shared" si="5"/>
        <v>0</v>
      </c>
      <c r="AE66" s="74"/>
    </row>
    <row r="67" spans="1:31" x14ac:dyDescent="0.2">
      <c r="A67" s="79" t="s">
        <v>254</v>
      </c>
      <c r="B67" s="14" t="s">
        <v>248</v>
      </c>
      <c r="C67" s="5">
        <f t="shared" ref="C67:Q67" si="75">SUM(C68:C75)</f>
        <v>5796</v>
      </c>
      <c r="D67" s="5">
        <f t="shared" ref="D67:E67" si="76">SUM(D68:D75)</f>
        <v>7940</v>
      </c>
      <c r="E67" s="5">
        <f t="shared" si="76"/>
        <v>7940</v>
      </c>
      <c r="F67" s="5">
        <f t="shared" si="75"/>
        <v>6469</v>
      </c>
      <c r="G67" s="5">
        <f t="shared" si="75"/>
        <v>6469</v>
      </c>
      <c r="H67" s="5">
        <f t="shared" si="75"/>
        <v>300</v>
      </c>
      <c r="I67" s="5">
        <f t="shared" si="75"/>
        <v>300</v>
      </c>
      <c r="J67" s="5">
        <f t="shared" ref="J67" si="77">SUM(J68:J75)</f>
        <v>300</v>
      </c>
      <c r="K67" s="5">
        <f t="shared" si="75"/>
        <v>300</v>
      </c>
      <c r="L67" s="5">
        <f t="shared" si="75"/>
        <v>300</v>
      </c>
      <c r="M67" s="5">
        <f t="shared" si="75"/>
        <v>0</v>
      </c>
      <c r="N67" s="5">
        <f t="shared" si="75"/>
        <v>0</v>
      </c>
      <c r="O67" s="5">
        <f t="shared" si="75"/>
        <v>0</v>
      </c>
      <c r="P67" s="5">
        <f t="shared" si="75"/>
        <v>0</v>
      </c>
      <c r="Q67" s="5">
        <f t="shared" si="75"/>
        <v>0</v>
      </c>
      <c r="R67" s="297">
        <f t="shared" si="71"/>
        <v>6096</v>
      </c>
      <c r="S67" s="297">
        <f t="shared" si="72"/>
        <v>8240</v>
      </c>
      <c r="T67" s="297">
        <f t="shared" si="72"/>
        <v>8240</v>
      </c>
      <c r="U67" s="297">
        <f t="shared" si="73"/>
        <v>6769</v>
      </c>
      <c r="V67" s="297">
        <f t="shared" si="74"/>
        <v>6769</v>
      </c>
      <c r="W67" s="27"/>
      <c r="Z67" s="297">
        <v>13859</v>
      </c>
      <c r="AA67" s="35">
        <f t="shared" si="5"/>
        <v>-7763</v>
      </c>
      <c r="AE67" s="74"/>
    </row>
    <row r="68" spans="1:31" x14ac:dyDescent="0.2">
      <c r="A68" s="60" t="s">
        <v>498</v>
      </c>
      <c r="B68" s="8" t="s">
        <v>260</v>
      </c>
      <c r="C68" s="13">
        <f>3470+(2000-1609)+323+320+1+50+131</f>
        <v>4686</v>
      </c>
      <c r="D68" s="13">
        <f>3470+(2000-1609)+323+320+1+50+131+387-43-100-100</f>
        <v>4830</v>
      </c>
      <c r="E68" s="13">
        <f>3470+(2000-1609)+323+320+1+50+131+387-43-100-100</f>
        <v>4830</v>
      </c>
      <c r="F68" s="13">
        <f t="shared" ref="F68:G68" si="78">3469+2000</f>
        <v>5469</v>
      </c>
      <c r="G68" s="13">
        <f t="shared" si="78"/>
        <v>5469</v>
      </c>
      <c r="H68" s="13">
        <v>300</v>
      </c>
      <c r="I68" s="13">
        <v>300</v>
      </c>
      <c r="J68" s="13">
        <v>300</v>
      </c>
      <c r="K68" s="13">
        <v>300</v>
      </c>
      <c r="L68" s="13">
        <v>300</v>
      </c>
      <c r="M68" s="13"/>
      <c r="N68" s="13"/>
      <c r="O68" s="13"/>
      <c r="P68" s="13"/>
      <c r="Q68" s="13"/>
      <c r="R68" s="298">
        <f t="shared" si="71"/>
        <v>4986</v>
      </c>
      <c r="S68" s="298">
        <f t="shared" si="72"/>
        <v>5130</v>
      </c>
      <c r="T68" s="298">
        <f t="shared" si="72"/>
        <v>5130</v>
      </c>
      <c r="U68" s="298">
        <f t="shared" si="73"/>
        <v>5769</v>
      </c>
      <c r="V68" s="298">
        <f t="shared" si="74"/>
        <v>5769</v>
      </c>
      <c r="W68" s="26"/>
      <c r="X68" s="35">
        <f>(C23+C25+C31+C32+C33+C34+C35+C36+C41+C42+C43+C44+C49+C51+C52+C53+C58+C59+C61+C66+C72)*0.27</f>
        <v>3561.3</v>
      </c>
      <c r="Y68" s="35">
        <f>(H25+H31+H32+H33+H34+H35+H41+H42+H43+H44+H49+H51+H52+H53+H58+H59+H61+H66+H74+H75)*0.27</f>
        <v>302.40000000000003</v>
      </c>
      <c r="Z68" s="298">
        <v>6160</v>
      </c>
      <c r="AA68" s="35">
        <f t="shared" si="5"/>
        <v>-1174</v>
      </c>
      <c r="AB68" s="35"/>
      <c r="AE68" s="74"/>
    </row>
    <row r="69" spans="1:31" hidden="1" x14ac:dyDescent="0.2">
      <c r="A69" s="60" t="s">
        <v>513</v>
      </c>
      <c r="B69" s="8" t="s">
        <v>261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298">
        <f t="shared" si="71"/>
        <v>0</v>
      </c>
      <c r="S69" s="298">
        <f t="shared" si="72"/>
        <v>0</v>
      </c>
      <c r="T69" s="298">
        <f t="shared" si="72"/>
        <v>0</v>
      </c>
      <c r="U69" s="298">
        <f t="shared" si="73"/>
        <v>0</v>
      </c>
      <c r="V69" s="298">
        <f t="shared" si="74"/>
        <v>0</v>
      </c>
      <c r="W69" s="26"/>
      <c r="Z69" s="298">
        <v>0</v>
      </c>
      <c r="AA69" s="35">
        <f t="shared" si="5"/>
        <v>0</v>
      </c>
      <c r="AE69" s="74"/>
    </row>
    <row r="70" spans="1:31" hidden="1" x14ac:dyDescent="0.2">
      <c r="A70" s="60" t="s">
        <v>771</v>
      </c>
      <c r="B70" s="8" t="s">
        <v>262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298">
        <f t="shared" si="71"/>
        <v>0</v>
      </c>
      <c r="S70" s="298">
        <f t="shared" si="72"/>
        <v>0</v>
      </c>
      <c r="T70" s="298">
        <f t="shared" si="72"/>
        <v>0</v>
      </c>
      <c r="U70" s="298">
        <f t="shared" si="73"/>
        <v>0</v>
      </c>
      <c r="V70" s="298">
        <f t="shared" si="74"/>
        <v>0</v>
      </c>
      <c r="W70" s="26"/>
      <c r="Z70" s="298">
        <v>0</v>
      </c>
      <c r="AA70" s="35">
        <f t="shared" si="5"/>
        <v>0</v>
      </c>
      <c r="AE70" s="74"/>
    </row>
    <row r="71" spans="1:31" hidden="1" x14ac:dyDescent="0.2">
      <c r="A71" s="60" t="s">
        <v>912</v>
      </c>
      <c r="B71" s="8" t="s">
        <v>263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298">
        <f t="shared" si="71"/>
        <v>0</v>
      </c>
      <c r="S71" s="298">
        <f t="shared" si="72"/>
        <v>0</v>
      </c>
      <c r="T71" s="298">
        <f t="shared" si="72"/>
        <v>0</v>
      </c>
      <c r="U71" s="298">
        <f t="shared" si="73"/>
        <v>0</v>
      </c>
      <c r="V71" s="298">
        <f t="shared" si="74"/>
        <v>0</v>
      </c>
      <c r="W71" s="26"/>
      <c r="Z71" s="298">
        <v>0</v>
      </c>
      <c r="AA71" s="35">
        <f t="shared" si="5"/>
        <v>0</v>
      </c>
      <c r="AE71" s="74"/>
    </row>
    <row r="72" spans="1:31" x14ac:dyDescent="0.2">
      <c r="A72" s="60" t="s">
        <v>499</v>
      </c>
      <c r="B72" s="8" t="s">
        <v>55</v>
      </c>
      <c r="C72" s="13">
        <f>1000+110</f>
        <v>1110</v>
      </c>
      <c r="D72" s="13">
        <f>1000+110+2000</f>
        <v>3110</v>
      </c>
      <c r="E72" s="13">
        <f>1000+110+2000</f>
        <v>3110</v>
      </c>
      <c r="F72" s="13">
        <v>1000</v>
      </c>
      <c r="G72" s="13">
        <v>1000</v>
      </c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298">
        <f t="shared" si="71"/>
        <v>1110</v>
      </c>
      <c r="S72" s="298">
        <f t="shared" si="72"/>
        <v>3110</v>
      </c>
      <c r="T72" s="298">
        <f t="shared" si="72"/>
        <v>3110</v>
      </c>
      <c r="U72" s="298">
        <f t="shared" si="73"/>
        <v>1000</v>
      </c>
      <c r="V72" s="298">
        <f t="shared" si="74"/>
        <v>1000</v>
      </c>
      <c r="W72" s="26"/>
      <c r="Z72" s="298">
        <v>7699</v>
      </c>
      <c r="AA72" s="35">
        <f t="shared" si="5"/>
        <v>-6589</v>
      </c>
      <c r="AE72" s="74"/>
    </row>
    <row r="73" spans="1:31" hidden="1" x14ac:dyDescent="0.2">
      <c r="A73" s="60"/>
      <c r="B73" s="8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298">
        <f t="shared" si="71"/>
        <v>0</v>
      </c>
      <c r="S73" s="298">
        <f t="shared" si="72"/>
        <v>0</v>
      </c>
      <c r="T73" s="298">
        <f t="shared" si="72"/>
        <v>0</v>
      </c>
      <c r="U73" s="298">
        <f t="shared" si="73"/>
        <v>0</v>
      </c>
      <c r="V73" s="298">
        <f t="shared" si="74"/>
        <v>0</v>
      </c>
      <c r="W73" s="26"/>
      <c r="Z73" s="298">
        <v>0</v>
      </c>
      <c r="AA73" s="35">
        <f t="shared" si="5"/>
        <v>0</v>
      </c>
      <c r="AE73" s="74"/>
    </row>
    <row r="74" spans="1:31" hidden="1" x14ac:dyDescent="0.2">
      <c r="A74" s="60"/>
      <c r="B74" s="8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298">
        <f t="shared" si="71"/>
        <v>0</v>
      </c>
      <c r="S74" s="298">
        <f t="shared" si="72"/>
        <v>0</v>
      </c>
      <c r="T74" s="298">
        <f t="shared" si="72"/>
        <v>0</v>
      </c>
      <c r="U74" s="298">
        <f t="shared" si="73"/>
        <v>0</v>
      </c>
      <c r="V74" s="298">
        <f t="shared" si="74"/>
        <v>0</v>
      </c>
      <c r="W74" s="26"/>
      <c r="Z74" s="298">
        <v>0</v>
      </c>
      <c r="AA74" s="35">
        <f t="shared" si="5"/>
        <v>0</v>
      </c>
      <c r="AE74" s="74"/>
    </row>
    <row r="75" spans="1:31" hidden="1" x14ac:dyDescent="0.2">
      <c r="A75" s="60"/>
      <c r="B75" s="8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298">
        <f t="shared" si="71"/>
        <v>0</v>
      </c>
      <c r="S75" s="298">
        <f t="shared" si="72"/>
        <v>0</v>
      </c>
      <c r="T75" s="298">
        <f t="shared" si="72"/>
        <v>0</v>
      </c>
      <c r="U75" s="298">
        <f t="shared" si="73"/>
        <v>0</v>
      </c>
      <c r="V75" s="298">
        <f t="shared" si="74"/>
        <v>0</v>
      </c>
      <c r="W75" s="26"/>
      <c r="Z75" s="298">
        <v>0</v>
      </c>
      <c r="AA75" s="35">
        <f t="shared" si="5"/>
        <v>0</v>
      </c>
      <c r="AE75" s="74"/>
    </row>
    <row r="76" spans="1:31" x14ac:dyDescent="0.2">
      <c r="A76" s="79" t="s">
        <v>265</v>
      </c>
      <c r="B76" s="111" t="s">
        <v>28</v>
      </c>
      <c r="C76" s="228">
        <f t="shared" ref="C76:Q76" si="79">SUM(C30+C39+C47+C64+C67)</f>
        <v>26326</v>
      </c>
      <c r="D76" s="228">
        <f t="shared" ref="D76:E76" si="80">SUM(D30+D39+D47+D64+D67)</f>
        <v>29169</v>
      </c>
      <c r="E76" s="228">
        <f t="shared" si="80"/>
        <v>29797</v>
      </c>
      <c r="F76" s="228">
        <f t="shared" si="79"/>
        <v>26439</v>
      </c>
      <c r="G76" s="228">
        <f t="shared" si="79"/>
        <v>26439</v>
      </c>
      <c r="H76" s="228">
        <f t="shared" si="79"/>
        <v>2940</v>
      </c>
      <c r="I76" s="228">
        <f t="shared" si="79"/>
        <v>3140</v>
      </c>
      <c r="J76" s="228">
        <f t="shared" ref="J76" si="81">SUM(J30+J39+J47+J64+J67)</f>
        <v>3140</v>
      </c>
      <c r="K76" s="228">
        <f t="shared" si="79"/>
        <v>2940</v>
      </c>
      <c r="L76" s="228">
        <f t="shared" si="79"/>
        <v>2940</v>
      </c>
      <c r="M76" s="228">
        <f t="shared" si="79"/>
        <v>0</v>
      </c>
      <c r="N76" s="228">
        <f t="shared" si="79"/>
        <v>0</v>
      </c>
      <c r="O76" s="228">
        <f t="shared" si="79"/>
        <v>0</v>
      </c>
      <c r="P76" s="228">
        <f t="shared" si="79"/>
        <v>0</v>
      </c>
      <c r="Q76" s="228">
        <f t="shared" si="79"/>
        <v>0</v>
      </c>
      <c r="R76" s="157">
        <f>(H76+C76+M76)</f>
        <v>29266</v>
      </c>
      <c r="S76" s="157">
        <f>(I76+D76+N76)</f>
        <v>32309</v>
      </c>
      <c r="T76" s="157">
        <f>(J76+E76+O76)</f>
        <v>32937</v>
      </c>
      <c r="U76" s="157">
        <f>(K76+F76+P76)</f>
        <v>29379</v>
      </c>
      <c r="V76" s="157">
        <f>(L76+G76+Q76)</f>
        <v>29379</v>
      </c>
      <c r="W76" s="26"/>
      <c r="Z76" s="157">
        <v>43252</v>
      </c>
      <c r="AA76" s="35">
        <f t="shared" si="5"/>
        <v>-13986</v>
      </c>
      <c r="AE76" s="74"/>
    </row>
    <row r="77" spans="1:31" x14ac:dyDescent="0.2">
      <c r="A77" s="149" t="s">
        <v>264</v>
      </c>
      <c r="B77" s="111" t="s">
        <v>405</v>
      </c>
      <c r="C77" s="228"/>
      <c r="D77" s="228"/>
      <c r="E77" s="228"/>
      <c r="F77" s="228"/>
      <c r="G77" s="228"/>
      <c r="H77" s="228"/>
      <c r="I77" s="228"/>
      <c r="J77" s="228"/>
      <c r="K77" s="228"/>
      <c r="L77" s="228"/>
      <c r="M77" s="228"/>
      <c r="N77" s="228"/>
      <c r="O77" s="228"/>
      <c r="P77" s="228"/>
      <c r="Q77" s="228"/>
      <c r="R77" s="229">
        <f t="shared" ref="R77:V78" si="82">C77+H77+M77</f>
        <v>0</v>
      </c>
      <c r="S77" s="229">
        <f t="shared" si="82"/>
        <v>0</v>
      </c>
      <c r="T77" s="229">
        <f t="shared" si="82"/>
        <v>0</v>
      </c>
      <c r="U77" s="229">
        <f t="shared" si="82"/>
        <v>0</v>
      </c>
      <c r="V77" s="229">
        <f t="shared" si="82"/>
        <v>0</v>
      </c>
      <c r="W77" s="26"/>
      <c r="Z77" s="229">
        <v>0</v>
      </c>
      <c r="AA77" s="35">
        <f t="shared" ref="AA77:AA96" si="83">R77-Z77</f>
        <v>0</v>
      </c>
      <c r="AE77" s="74"/>
    </row>
    <row r="78" spans="1:31" ht="13.5" thickBot="1" x14ac:dyDescent="0.25">
      <c r="A78" s="149" t="s">
        <v>289</v>
      </c>
      <c r="B78" s="148" t="s">
        <v>37</v>
      </c>
      <c r="C78" s="228"/>
      <c r="D78" s="228"/>
      <c r="E78" s="228"/>
      <c r="F78" s="229"/>
      <c r="G78" s="229"/>
      <c r="H78" s="229"/>
      <c r="I78" s="229"/>
      <c r="J78" s="229"/>
      <c r="K78" s="229"/>
      <c r="L78" s="229"/>
      <c r="M78" s="229"/>
      <c r="N78" s="229"/>
      <c r="O78" s="229"/>
      <c r="P78" s="229"/>
      <c r="Q78" s="229"/>
      <c r="R78" s="229">
        <f t="shared" si="82"/>
        <v>0</v>
      </c>
      <c r="S78" s="229">
        <f t="shared" si="82"/>
        <v>0</v>
      </c>
      <c r="T78" s="229">
        <f t="shared" si="82"/>
        <v>0</v>
      </c>
      <c r="U78" s="229">
        <f t="shared" si="82"/>
        <v>0</v>
      </c>
      <c r="V78" s="229">
        <f t="shared" si="82"/>
        <v>0</v>
      </c>
      <c r="W78" s="26"/>
      <c r="Z78" s="229">
        <v>0</v>
      </c>
      <c r="AA78" s="35">
        <f t="shared" si="83"/>
        <v>0</v>
      </c>
      <c r="AE78" s="74"/>
    </row>
    <row r="79" spans="1:31" ht="16.5" thickBot="1" x14ac:dyDescent="0.3">
      <c r="A79" s="149"/>
      <c r="B79" s="202" t="s">
        <v>9</v>
      </c>
      <c r="C79" s="230">
        <f t="shared" ref="C79:V79" si="84">SUM(C26+C29+C76+C77+C78)</f>
        <v>249691</v>
      </c>
      <c r="D79" s="230">
        <f t="shared" si="84"/>
        <v>252589</v>
      </c>
      <c r="E79" s="230">
        <f t="shared" ref="E79" si="85">SUM(E26+E29+E76+E77+E78)</f>
        <v>254422</v>
      </c>
      <c r="F79" s="230">
        <f t="shared" si="84"/>
        <v>235789</v>
      </c>
      <c r="G79" s="230">
        <f t="shared" si="84"/>
        <v>235789</v>
      </c>
      <c r="H79" s="230">
        <f t="shared" si="84"/>
        <v>30595</v>
      </c>
      <c r="I79" s="230">
        <f t="shared" si="84"/>
        <v>30795</v>
      </c>
      <c r="J79" s="230">
        <f t="shared" ref="J79" si="86">SUM(J26+J29+J76+J77+J78)</f>
        <v>30795</v>
      </c>
      <c r="K79" s="230">
        <f t="shared" si="84"/>
        <v>29376</v>
      </c>
      <c r="L79" s="230">
        <f t="shared" si="84"/>
        <v>29376</v>
      </c>
      <c r="M79" s="230">
        <f t="shared" si="84"/>
        <v>0</v>
      </c>
      <c r="N79" s="230">
        <f t="shared" si="84"/>
        <v>0</v>
      </c>
      <c r="O79" s="230">
        <f t="shared" si="84"/>
        <v>0</v>
      </c>
      <c r="P79" s="230">
        <f t="shared" si="84"/>
        <v>0</v>
      </c>
      <c r="Q79" s="230">
        <f t="shared" si="84"/>
        <v>0</v>
      </c>
      <c r="R79" s="230">
        <f t="shared" si="84"/>
        <v>280286</v>
      </c>
      <c r="S79" s="230">
        <f t="shared" si="84"/>
        <v>283384</v>
      </c>
      <c r="T79" s="230">
        <f t="shared" si="84"/>
        <v>285217</v>
      </c>
      <c r="U79" s="230">
        <f t="shared" si="84"/>
        <v>265165</v>
      </c>
      <c r="V79" s="453">
        <f t="shared" si="84"/>
        <v>265165</v>
      </c>
      <c r="W79" s="26"/>
      <c r="Z79" s="230">
        <v>277698</v>
      </c>
      <c r="AA79" s="35">
        <f t="shared" si="83"/>
        <v>2588</v>
      </c>
      <c r="AD79" s="74"/>
      <c r="AE79" s="74"/>
    </row>
    <row r="80" spans="1:31" x14ac:dyDescent="0.2">
      <c r="A80" s="149" t="s">
        <v>290</v>
      </c>
      <c r="B80" s="201" t="s">
        <v>480</v>
      </c>
      <c r="C80" s="231">
        <f t="shared" ref="C80:Q80" si="87">SUM(C81:C82)</f>
        <v>2500</v>
      </c>
      <c r="D80" s="231">
        <f t="shared" ref="D80:G80" si="88">SUM(D81:D82)</f>
        <v>2850</v>
      </c>
      <c r="E80" s="231">
        <f t="shared" ref="E80" si="89">SUM(E81:E82)</f>
        <v>2850</v>
      </c>
      <c r="F80" s="231">
        <f t="shared" si="88"/>
        <v>2500</v>
      </c>
      <c r="G80" s="231">
        <f t="shared" si="88"/>
        <v>2500</v>
      </c>
      <c r="H80" s="231">
        <f t="shared" si="87"/>
        <v>0</v>
      </c>
      <c r="I80" s="231">
        <f t="shared" si="87"/>
        <v>0</v>
      </c>
      <c r="J80" s="231">
        <f t="shared" ref="J80" si="90">SUM(J81:J82)</f>
        <v>0</v>
      </c>
      <c r="K80" s="231">
        <f t="shared" si="87"/>
        <v>0</v>
      </c>
      <c r="L80" s="231">
        <f t="shared" si="87"/>
        <v>0</v>
      </c>
      <c r="M80" s="231">
        <f t="shared" si="87"/>
        <v>0</v>
      </c>
      <c r="N80" s="231">
        <f t="shared" si="87"/>
        <v>0</v>
      </c>
      <c r="O80" s="231">
        <f t="shared" si="87"/>
        <v>0</v>
      </c>
      <c r="P80" s="231">
        <f t="shared" si="87"/>
        <v>0</v>
      </c>
      <c r="Q80" s="231">
        <f t="shared" si="87"/>
        <v>0</v>
      </c>
      <c r="R80" s="157">
        <f>(H80+C80+M80)</f>
        <v>2500</v>
      </c>
      <c r="S80" s="157">
        <f>(I80+D80+N80)</f>
        <v>2850</v>
      </c>
      <c r="T80" s="157">
        <f>(J80+E80+O80)</f>
        <v>2850</v>
      </c>
      <c r="U80" s="157">
        <f>(K80+F80+P80)</f>
        <v>2500</v>
      </c>
      <c r="V80" s="157">
        <f>(L80+G80+Q80)</f>
        <v>2500</v>
      </c>
      <c r="W80" s="26"/>
      <c r="Z80" s="157">
        <v>3000</v>
      </c>
      <c r="AA80" s="35">
        <f t="shared" si="83"/>
        <v>-500</v>
      </c>
      <c r="AD80" s="74"/>
      <c r="AE80" s="74"/>
    </row>
    <row r="81" spans="1:31" hidden="1" x14ac:dyDescent="0.2">
      <c r="A81" s="149"/>
      <c r="B81" s="8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298"/>
      <c r="S81" s="298"/>
      <c r="T81" s="298"/>
      <c r="U81" s="298"/>
      <c r="V81" s="298">
        <f>SUM(G81+L81+Q81)</f>
        <v>0</v>
      </c>
      <c r="W81" s="26"/>
      <c r="Z81" s="298"/>
      <c r="AA81" s="35">
        <f t="shared" si="83"/>
        <v>0</v>
      </c>
      <c r="AD81" s="74"/>
      <c r="AE81" s="74"/>
    </row>
    <row r="82" spans="1:31" ht="13.5" thickBot="1" x14ac:dyDescent="0.25">
      <c r="A82" s="149"/>
      <c r="B82" s="12" t="s">
        <v>528</v>
      </c>
      <c r="C82" s="30">
        <v>2500</v>
      </c>
      <c r="D82" s="30">
        <f>2500+350</f>
        <v>2850</v>
      </c>
      <c r="E82" s="30">
        <f>2500+350</f>
        <v>2850</v>
      </c>
      <c r="F82" s="30">
        <v>2500</v>
      </c>
      <c r="G82" s="30">
        <v>2500</v>
      </c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452">
        <f>(H82+C82+M82)</f>
        <v>2500</v>
      </c>
      <c r="S82" s="452">
        <f>(I82+D82+N82)</f>
        <v>2850</v>
      </c>
      <c r="T82" s="452">
        <f>(J82+E82+O82)</f>
        <v>2850</v>
      </c>
      <c r="U82" s="452">
        <f>(K82+F82+P82)</f>
        <v>2500</v>
      </c>
      <c r="V82" s="452">
        <f>(L82+G82+Q82)</f>
        <v>2500</v>
      </c>
      <c r="W82" s="26"/>
      <c r="Z82" s="452">
        <v>3000</v>
      </c>
      <c r="AA82" s="35">
        <f t="shared" si="83"/>
        <v>-500</v>
      </c>
      <c r="AD82" s="74"/>
      <c r="AE82" s="74"/>
    </row>
    <row r="83" spans="1:31" ht="20.25" thickBot="1" x14ac:dyDescent="0.4">
      <c r="A83" s="146"/>
      <c r="B83" s="152" t="s">
        <v>7</v>
      </c>
      <c r="C83" s="230">
        <f t="shared" ref="C83:Q83" si="91">SUM(C26+C29+C76+C77+C78+C80)</f>
        <v>252191</v>
      </c>
      <c r="D83" s="230">
        <f t="shared" si="91"/>
        <v>255439</v>
      </c>
      <c r="E83" s="230">
        <f t="shared" ref="E83" si="92">SUM(E26+E29+E76+E77+E78+E80)</f>
        <v>257272</v>
      </c>
      <c r="F83" s="230">
        <f t="shared" si="91"/>
        <v>238289</v>
      </c>
      <c r="G83" s="230">
        <f t="shared" si="91"/>
        <v>238289</v>
      </c>
      <c r="H83" s="230">
        <f t="shared" si="91"/>
        <v>30595</v>
      </c>
      <c r="I83" s="230">
        <f t="shared" si="91"/>
        <v>30795</v>
      </c>
      <c r="J83" s="230">
        <f t="shared" ref="J83" si="93">SUM(J26+J29+J76+J77+J78+J80)</f>
        <v>30795</v>
      </c>
      <c r="K83" s="230">
        <f t="shared" si="91"/>
        <v>29376</v>
      </c>
      <c r="L83" s="230">
        <f t="shared" si="91"/>
        <v>29376</v>
      </c>
      <c r="M83" s="230">
        <f t="shared" si="91"/>
        <v>0</v>
      </c>
      <c r="N83" s="230">
        <f t="shared" si="91"/>
        <v>0</v>
      </c>
      <c r="O83" s="230">
        <f t="shared" si="91"/>
        <v>0</v>
      </c>
      <c r="P83" s="230">
        <f t="shared" si="91"/>
        <v>0</v>
      </c>
      <c r="Q83" s="230">
        <f t="shared" si="91"/>
        <v>0</v>
      </c>
      <c r="R83" s="151">
        <f>SUM(R79+R80)</f>
        <v>282786</v>
      </c>
      <c r="S83" s="151">
        <f>SUM(S79+S80)</f>
        <v>286234</v>
      </c>
      <c r="T83" s="151">
        <f>SUM(T79+T80)</f>
        <v>288067</v>
      </c>
      <c r="U83" s="151">
        <f>SUM(U79+U80)</f>
        <v>267665</v>
      </c>
      <c r="V83" s="453">
        <f>SUM(V79+V80)</f>
        <v>267665</v>
      </c>
      <c r="W83" s="27"/>
      <c r="Y83" s="198"/>
      <c r="Z83" s="151">
        <v>280698</v>
      </c>
      <c r="AA83" s="35">
        <f t="shared" si="83"/>
        <v>2088</v>
      </c>
      <c r="AD83" s="74"/>
      <c r="AE83" s="74"/>
    </row>
    <row r="84" spans="1:31" x14ac:dyDescent="0.2">
      <c r="A84" s="60"/>
      <c r="B84" s="76" t="s">
        <v>56</v>
      </c>
      <c r="C84" s="150">
        <v>32</v>
      </c>
      <c r="D84" s="150">
        <v>32</v>
      </c>
      <c r="E84" s="150">
        <v>32</v>
      </c>
      <c r="F84" s="150">
        <v>32</v>
      </c>
      <c r="G84" s="150">
        <v>32</v>
      </c>
      <c r="H84" s="80">
        <v>4</v>
      </c>
      <c r="I84" s="80">
        <v>4</v>
      </c>
      <c r="J84" s="80">
        <v>4</v>
      </c>
      <c r="K84" s="80">
        <v>4</v>
      </c>
      <c r="L84" s="80">
        <v>4</v>
      </c>
      <c r="M84" s="80"/>
      <c r="N84" s="80"/>
      <c r="O84" s="80"/>
      <c r="P84" s="80"/>
      <c r="Q84" s="80"/>
      <c r="R84" s="39">
        <f>(H84+C84+M84)</f>
        <v>36</v>
      </c>
      <c r="S84" s="39">
        <f>(I84+D84+N84)</f>
        <v>36</v>
      </c>
      <c r="T84" s="39">
        <f>(J84+E84+O84)</f>
        <v>36</v>
      </c>
      <c r="U84" s="39">
        <f>(K84+F84+P84)</f>
        <v>36</v>
      </c>
      <c r="V84" s="39">
        <f>(L84+G84+Q84)</f>
        <v>36</v>
      </c>
      <c r="W84" s="27"/>
      <c r="Y84" s="198"/>
      <c r="Z84" s="39">
        <v>36</v>
      </c>
      <c r="AA84" s="35">
        <f t="shared" si="83"/>
        <v>0</v>
      </c>
      <c r="AD84" s="74"/>
    </row>
    <row r="85" spans="1:31" x14ac:dyDescent="0.2">
      <c r="U85" s="35"/>
      <c r="V85" s="35"/>
      <c r="Y85" s="198"/>
      <c r="Z85"/>
      <c r="AA85" s="35">
        <f t="shared" si="83"/>
        <v>0</v>
      </c>
      <c r="AD85" s="74"/>
    </row>
    <row r="86" spans="1:31" x14ac:dyDescent="0.2">
      <c r="B86" s="9" t="s">
        <v>395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35"/>
      <c r="R86" s="35">
        <v>15349</v>
      </c>
      <c r="S86" s="35">
        <v>15349</v>
      </c>
      <c r="T86" s="35">
        <v>15349</v>
      </c>
      <c r="U86" s="35">
        <v>14218</v>
      </c>
      <c r="V86" s="35">
        <v>14218</v>
      </c>
      <c r="X86" s="35"/>
      <c r="Y86" s="198"/>
      <c r="Z86" s="35">
        <v>16067</v>
      </c>
      <c r="AA86" s="35">
        <f t="shared" si="83"/>
        <v>-718</v>
      </c>
      <c r="AD86" s="74"/>
    </row>
    <row r="87" spans="1:31" x14ac:dyDescent="0.2">
      <c r="B87" s="9" t="s">
        <v>627</v>
      </c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35"/>
      <c r="R87" s="35">
        <f>SUM('2.működés'!C13)</f>
        <v>152912</v>
      </c>
      <c r="S87" s="35">
        <f>SUM('2.működés'!D13)</f>
        <v>152912</v>
      </c>
      <c r="T87" s="35">
        <f>SUM('2.működés'!E13)</f>
        <v>152912</v>
      </c>
      <c r="U87" s="35">
        <f>SUM('2.működés'!F13)</f>
        <v>152912</v>
      </c>
      <c r="V87" s="35">
        <f>SUM('2.működés'!G13)</f>
        <v>152912</v>
      </c>
      <c r="X87" s="35"/>
      <c r="Y87" s="198"/>
      <c r="Z87" s="35">
        <v>142046</v>
      </c>
      <c r="AA87" s="35">
        <f t="shared" si="83"/>
        <v>10866</v>
      </c>
      <c r="AD87" s="74"/>
    </row>
    <row r="88" spans="1:31" x14ac:dyDescent="0.2">
      <c r="B88" s="9" t="s">
        <v>375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35"/>
      <c r="R88" s="35">
        <f>1120+1+(19+50)</f>
        <v>1190</v>
      </c>
      <c r="S88" s="35">
        <f>1120+(1+1)+(19+10+50)</f>
        <v>1201</v>
      </c>
      <c r="T88" s="35">
        <f>1120+(1+1)+(19+10+50)</f>
        <v>1201</v>
      </c>
      <c r="U88" s="35">
        <f>800+1+19</f>
        <v>820</v>
      </c>
      <c r="V88" s="35">
        <f>800+1+19</f>
        <v>820</v>
      </c>
      <c r="X88" s="35"/>
      <c r="Y88" s="198"/>
      <c r="Z88" s="35">
        <v>2066</v>
      </c>
      <c r="AA88" s="35">
        <f t="shared" si="83"/>
        <v>-876</v>
      </c>
      <c r="AD88" s="74"/>
    </row>
    <row r="89" spans="1:31" x14ac:dyDescent="0.2">
      <c r="B89" s="9" t="s">
        <v>536</v>
      </c>
      <c r="C89" s="9"/>
      <c r="D89" s="9"/>
      <c r="E89" s="9"/>
      <c r="F89" s="9"/>
      <c r="G89" s="9"/>
      <c r="H89" s="9"/>
      <c r="I89" s="9"/>
      <c r="J89" s="9"/>
      <c r="K89" s="9"/>
      <c r="L89" s="597">
        <f>(2500+2500+2500+13500+(2500+1500)+(2500+3762))+(1500+1500+1500+3000+1500+1500)+(10368+1500+1500)+1500</f>
        <v>56630</v>
      </c>
      <c r="M89" s="9"/>
      <c r="N89" s="9"/>
      <c r="O89" s="9"/>
      <c r="P89" s="9"/>
      <c r="Q89" s="35"/>
      <c r="R89" s="35">
        <f>SUM('2.működés'!C62)</f>
        <v>55345</v>
      </c>
      <c r="S89" s="35">
        <f>SUM('2.működés'!D62)</f>
        <v>55345</v>
      </c>
      <c r="T89" s="35">
        <f>SUM('2.működés'!E62)</f>
        <v>55345</v>
      </c>
      <c r="U89" s="35">
        <f>SUM('2.működés'!F62)</f>
        <v>55345</v>
      </c>
      <c r="V89" s="35">
        <f>SUM('2.működés'!G62)</f>
        <v>55345</v>
      </c>
      <c r="X89" s="77">
        <f>(2500+2500+2500+13500+(2500+1500)+(2500+2821))+(1500+1500+1500+3000+1500+1500)+(10023+1500+1500)+1500</f>
        <v>55344</v>
      </c>
      <c r="Y89" s="198"/>
      <c r="Z89" s="35">
        <v>48369</v>
      </c>
      <c r="AA89" s="35">
        <f t="shared" si="83"/>
        <v>6976</v>
      </c>
      <c r="AD89" s="74"/>
    </row>
    <row r="90" spans="1:31" x14ac:dyDescent="0.2">
      <c r="B90" s="9" t="s">
        <v>535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35"/>
      <c r="R90" s="35">
        <v>4000</v>
      </c>
      <c r="S90" s="35">
        <v>4000</v>
      </c>
      <c r="T90" s="35">
        <v>4000</v>
      </c>
      <c r="U90" s="35">
        <v>4000</v>
      </c>
      <c r="V90" s="35">
        <v>4000</v>
      </c>
      <c r="X90" s="35"/>
      <c r="Y90" s="198"/>
      <c r="Z90" s="35">
        <v>4000</v>
      </c>
      <c r="AA90" s="35">
        <f t="shared" si="83"/>
        <v>0</v>
      </c>
      <c r="AD90" s="74"/>
    </row>
    <row r="91" spans="1:31" x14ac:dyDescent="0.2">
      <c r="B91" s="9" t="s">
        <v>722</v>
      </c>
      <c r="R91" s="35">
        <v>7000</v>
      </c>
      <c r="S91" s="35">
        <f>7000+1437</f>
        <v>8437</v>
      </c>
      <c r="T91" s="35">
        <f>7000+1437+278</f>
        <v>8715</v>
      </c>
      <c r="U91" s="35">
        <v>7000</v>
      </c>
      <c r="V91" s="35">
        <v>7000</v>
      </c>
      <c r="X91" s="35"/>
      <c r="Y91" s="198"/>
      <c r="Z91"/>
      <c r="AA91" s="35">
        <f t="shared" si="83"/>
        <v>7000</v>
      </c>
      <c r="AD91" s="74"/>
    </row>
    <row r="92" spans="1:31" x14ac:dyDescent="0.2">
      <c r="B92" s="9" t="s">
        <v>1188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35"/>
      <c r="R92" s="35">
        <v>0</v>
      </c>
      <c r="S92" s="35">
        <v>0</v>
      </c>
      <c r="T92" s="35">
        <v>1555</v>
      </c>
      <c r="U92" s="373"/>
      <c r="V92" s="373"/>
      <c r="X92" s="35"/>
      <c r="Y92" s="198"/>
      <c r="Z92" s="35">
        <v>0</v>
      </c>
      <c r="AA92" s="35">
        <f t="shared" si="83"/>
        <v>0</v>
      </c>
      <c r="AD92" s="74"/>
    </row>
    <row r="93" spans="1:31" hidden="1" x14ac:dyDescent="0.2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35"/>
      <c r="R93" s="35"/>
      <c r="S93" s="35"/>
      <c r="T93" s="35"/>
      <c r="U93" s="373"/>
      <c r="V93" s="373"/>
      <c r="X93" s="35"/>
      <c r="Y93" s="198"/>
      <c r="Z93" s="35">
        <v>0</v>
      </c>
      <c r="AA93" s="35">
        <f t="shared" si="83"/>
        <v>0</v>
      </c>
      <c r="AD93" s="74"/>
    </row>
    <row r="94" spans="1:31" x14ac:dyDescent="0.2">
      <c r="B94" s="372" t="s">
        <v>832</v>
      </c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373"/>
      <c r="R94" s="373">
        <f>SUM(R86:R93)</f>
        <v>235796</v>
      </c>
      <c r="S94" s="373">
        <f t="shared" ref="S94:T94" si="94">SUM(S86:S93)</f>
        <v>237244</v>
      </c>
      <c r="T94" s="373">
        <f t="shared" si="94"/>
        <v>239077</v>
      </c>
      <c r="U94" s="373">
        <f t="shared" ref="U94:V94" si="95">SUM(U86:U93)</f>
        <v>234295</v>
      </c>
      <c r="V94" s="373">
        <f t="shared" si="95"/>
        <v>234295</v>
      </c>
      <c r="Z94" s="373">
        <v>212548</v>
      </c>
      <c r="AA94" s="35">
        <f t="shared" si="83"/>
        <v>23248</v>
      </c>
      <c r="AD94" s="74"/>
    </row>
    <row r="95" spans="1:31" x14ac:dyDescent="0.2">
      <c r="B95" s="9" t="s">
        <v>304</v>
      </c>
      <c r="Q95" s="35"/>
      <c r="R95" s="477">
        <f>SUM(R83-R94)</f>
        <v>46990</v>
      </c>
      <c r="S95" s="477">
        <f>SUM(S83-S94)</f>
        <v>48990</v>
      </c>
      <c r="T95" s="477">
        <f>SUM(T83-T94)</f>
        <v>48990</v>
      </c>
      <c r="U95" s="477">
        <f t="shared" ref="U95:V95" si="96">SUM(U83-U94)</f>
        <v>33370</v>
      </c>
      <c r="V95" s="477">
        <f t="shared" si="96"/>
        <v>33370</v>
      </c>
      <c r="W95"/>
      <c r="Z95" s="477">
        <v>68150</v>
      </c>
      <c r="AA95" s="35">
        <f t="shared" si="83"/>
        <v>-21160</v>
      </c>
      <c r="AD95" s="74"/>
    </row>
    <row r="96" spans="1:31" x14ac:dyDescent="0.2">
      <c r="B96" s="9" t="s">
        <v>781</v>
      </c>
      <c r="R96" s="74">
        <f>R87+R95</f>
        <v>199902</v>
      </c>
      <c r="S96" s="74">
        <f>S87+S95</f>
        <v>201902</v>
      </c>
      <c r="T96" s="74">
        <f>T87+T95</f>
        <v>201902</v>
      </c>
      <c r="U96" s="74">
        <f t="shared" ref="U96:V96" si="97">U87+U95</f>
        <v>186282</v>
      </c>
      <c r="V96" s="74">
        <f t="shared" si="97"/>
        <v>186282</v>
      </c>
      <c r="W96"/>
      <c r="Z96" s="74">
        <v>210196</v>
      </c>
      <c r="AA96" s="35">
        <f t="shared" si="83"/>
        <v>-10294</v>
      </c>
      <c r="AD96" s="74"/>
    </row>
    <row r="97" spans="2:26" x14ac:dyDescent="0.2">
      <c r="T97" s="74"/>
      <c r="U97" s="74"/>
      <c r="V97" s="74"/>
      <c r="Z97" s="26"/>
    </row>
    <row r="98" spans="2:26" hidden="1" x14ac:dyDescent="0.2">
      <c r="B98" s="612" t="s">
        <v>978</v>
      </c>
      <c r="C98" s="74">
        <f>C13+C20+C22+C24+C25+1170+C36+460*0.27</f>
        <v>10304.200000000001</v>
      </c>
      <c r="Z98" s="26"/>
    </row>
    <row r="99" spans="2:26" hidden="1" x14ac:dyDescent="0.2">
      <c r="C99" s="74">
        <f>(C23+C25+C31+C32+C33+C34+C35+C36+C41+C42+C43+C44+C49+C51+C52+C53+C58+C59+C61+C62+C66+(C72))*0.27</f>
        <v>5721.3</v>
      </c>
      <c r="D99" s="74">
        <f t="shared" ref="D99:G99" si="98">(D23+D25+D31+D32+D33+D34+D35+D36+D41+D42+D43+D44+D49+D51+D52+D53+D58+D59+D61+D62+D66+(D72))*0.27</f>
        <v>6448.68</v>
      </c>
      <c r="E99" s="74">
        <f t="shared" si="98"/>
        <v>6641.1900000000005</v>
      </c>
      <c r="F99" s="74">
        <f t="shared" si="98"/>
        <v>5472.9000000000005</v>
      </c>
      <c r="G99" s="74">
        <f t="shared" si="98"/>
        <v>5472.9000000000005</v>
      </c>
      <c r="H99" s="74">
        <f>(H23+H31+H32+H33+H34+H35+H36+H41+H42+H43+H44+H49+H51+H52+H53+H58+H59+H61+H66+(H72))*0.27</f>
        <v>302.40000000000003</v>
      </c>
      <c r="I99" s="74">
        <f t="shared" ref="I99:L99" si="99">(I23+I25+I31+I32+I33+I34+I35+I36+I41+I42+I43+I44+I49+I51+I52+I53+I58+I59+I61+I66+(I72))*0.27</f>
        <v>356.40000000000003</v>
      </c>
      <c r="J99" s="74">
        <f t="shared" si="99"/>
        <v>221.4</v>
      </c>
      <c r="K99" s="74">
        <f t="shared" si="99"/>
        <v>302.40000000000003</v>
      </c>
      <c r="L99" s="74">
        <f t="shared" si="99"/>
        <v>302.40000000000003</v>
      </c>
      <c r="Z99" s="26"/>
    </row>
    <row r="100" spans="2:26" hidden="1" x14ac:dyDescent="0.2">
      <c r="C100" t="s">
        <v>926</v>
      </c>
      <c r="Z100" s="27"/>
    </row>
    <row r="101" spans="2:26" hidden="1" x14ac:dyDescent="0.2">
      <c r="C101" t="s">
        <v>992</v>
      </c>
      <c r="Z101" s="26"/>
    </row>
    <row r="102" spans="2:26" hidden="1" x14ac:dyDescent="0.2">
      <c r="C102" s="616">
        <v>391</v>
      </c>
      <c r="Z102" s="26"/>
    </row>
    <row r="103" spans="2:26" hidden="1" x14ac:dyDescent="0.2">
      <c r="C103" s="616">
        <f>4184-3383</f>
        <v>801</v>
      </c>
      <c r="Z103" s="27"/>
    </row>
    <row r="104" spans="2:26" x14ac:dyDescent="0.2">
      <c r="Z104" s="27"/>
    </row>
    <row r="105" spans="2:26" x14ac:dyDescent="0.2">
      <c r="Z105" s="26"/>
    </row>
    <row r="106" spans="2:26" x14ac:dyDescent="0.2">
      <c r="Z106" s="26"/>
    </row>
    <row r="107" spans="2:26" x14ac:dyDescent="0.2">
      <c r="Z107" s="26"/>
    </row>
    <row r="108" spans="2:26" x14ac:dyDescent="0.2">
      <c r="Z108" s="26"/>
    </row>
    <row r="109" spans="2:26" x14ac:dyDescent="0.2">
      <c r="Z109" s="26"/>
    </row>
    <row r="110" spans="2:26" x14ac:dyDescent="0.2">
      <c r="Z110" s="26"/>
    </row>
    <row r="111" spans="2:26" x14ac:dyDescent="0.2">
      <c r="Z111" s="26"/>
    </row>
    <row r="112" spans="2:26" x14ac:dyDescent="0.2">
      <c r="Z112" s="27"/>
    </row>
    <row r="113" spans="26:26" x14ac:dyDescent="0.2">
      <c r="Z113" s="26"/>
    </row>
    <row r="114" spans="26:26" x14ac:dyDescent="0.2">
      <c r="Z114" s="26"/>
    </row>
    <row r="115" spans="26:26" x14ac:dyDescent="0.2">
      <c r="Z115" s="26"/>
    </row>
    <row r="116" spans="26:26" x14ac:dyDescent="0.2">
      <c r="Z116" s="26"/>
    </row>
    <row r="117" spans="26:26" x14ac:dyDescent="0.2">
      <c r="Z117" s="26"/>
    </row>
    <row r="118" spans="26:26" x14ac:dyDescent="0.2">
      <c r="Z118" s="26"/>
    </row>
    <row r="119" spans="26:26" x14ac:dyDescent="0.2">
      <c r="Z119" s="26"/>
    </row>
    <row r="120" spans="26:26" x14ac:dyDescent="0.2">
      <c r="Z120" s="26"/>
    </row>
    <row r="121" spans="26:26" x14ac:dyDescent="0.2">
      <c r="Z121" s="26"/>
    </row>
    <row r="122" spans="26:26" x14ac:dyDescent="0.2">
      <c r="Z122" s="27"/>
    </row>
    <row r="123" spans="26:26" x14ac:dyDescent="0.2">
      <c r="Z123" s="26"/>
    </row>
    <row r="124" spans="26:26" x14ac:dyDescent="0.2">
      <c r="Z124" s="26"/>
    </row>
    <row r="125" spans="26:26" x14ac:dyDescent="0.2">
      <c r="Z125" s="26"/>
    </row>
    <row r="126" spans="26:26" x14ac:dyDescent="0.2">
      <c r="Z126" s="26"/>
    </row>
    <row r="127" spans="26:26" x14ac:dyDescent="0.2">
      <c r="Z127" s="26"/>
    </row>
    <row r="128" spans="26:26" x14ac:dyDescent="0.2">
      <c r="Z128" s="26"/>
    </row>
    <row r="129" spans="23:26" x14ac:dyDescent="0.2">
      <c r="Z129" s="26"/>
    </row>
    <row r="130" spans="23:26" x14ac:dyDescent="0.2">
      <c r="Z130" s="26"/>
    </row>
    <row r="131" spans="23:26" x14ac:dyDescent="0.2">
      <c r="Z131" s="26"/>
    </row>
    <row r="132" spans="23:26" x14ac:dyDescent="0.2">
      <c r="Z132" s="27"/>
    </row>
    <row r="133" spans="23:26" x14ac:dyDescent="0.2">
      <c r="Z133" s="26"/>
    </row>
    <row r="134" spans="23:26" x14ac:dyDescent="0.2">
      <c r="Z134" s="26"/>
    </row>
    <row r="135" spans="23:26" x14ac:dyDescent="0.2">
      <c r="Z135" s="26"/>
    </row>
    <row r="136" spans="23:26" x14ac:dyDescent="0.2">
      <c r="Z136" s="26"/>
    </row>
    <row r="137" spans="23:26" x14ac:dyDescent="0.2">
      <c r="Z137" s="26"/>
    </row>
    <row r="138" spans="23:26" x14ac:dyDescent="0.2">
      <c r="Z138" s="26"/>
    </row>
    <row r="139" spans="23:26" x14ac:dyDescent="0.2">
      <c r="Z139" s="26"/>
    </row>
    <row r="140" spans="23:26" x14ac:dyDescent="0.2">
      <c r="Z140" s="26"/>
    </row>
    <row r="141" spans="23:26" x14ac:dyDescent="0.2">
      <c r="Z141" s="26"/>
    </row>
    <row r="142" spans="23:26" x14ac:dyDescent="0.2">
      <c r="Z142" s="26"/>
    </row>
    <row r="143" spans="23:26" x14ac:dyDescent="0.2">
      <c r="W143" s="9">
        <f>(W29+W37+W38+W39+W40+W41+W42+W43+W44+W46+W47+W49+W50+W51+W52+W53+W54+W55+W56+W68+W79+W80+W81+W85+(W93-1000))*0.27+H141</f>
        <v>-270</v>
      </c>
      <c r="Z143" s="27"/>
    </row>
    <row r="144" spans="23:26" x14ac:dyDescent="0.2">
      <c r="Z144" s="26"/>
    </row>
    <row r="145" spans="26:26" x14ac:dyDescent="0.2">
      <c r="Z145" s="26"/>
    </row>
    <row r="146" spans="26:26" x14ac:dyDescent="0.2">
      <c r="Z146" s="26"/>
    </row>
    <row r="147" spans="26:26" x14ac:dyDescent="0.2">
      <c r="Z147" s="26"/>
    </row>
    <row r="148" spans="26:26" x14ac:dyDescent="0.2">
      <c r="Z148" s="26"/>
    </row>
    <row r="149" spans="26:26" x14ac:dyDescent="0.2">
      <c r="Z149" s="26"/>
    </row>
    <row r="150" spans="26:26" x14ac:dyDescent="0.2">
      <c r="Z150" s="26"/>
    </row>
    <row r="151" spans="26:26" x14ac:dyDescent="0.2">
      <c r="Z151" s="27"/>
    </row>
    <row r="152" spans="26:26" x14ac:dyDescent="0.2">
      <c r="Z152" s="26"/>
    </row>
    <row r="162" spans="26:26" x14ac:dyDescent="0.2">
      <c r="Z162" s="299"/>
    </row>
    <row r="163" spans="26:26" x14ac:dyDescent="0.2">
      <c r="Z163" s="301"/>
    </row>
    <row r="164" spans="26:26" x14ac:dyDescent="0.2">
      <c r="Z164" s="301"/>
    </row>
    <row r="165" spans="26:26" x14ac:dyDescent="0.2">
      <c r="Z165" s="301"/>
    </row>
    <row r="166" spans="26:26" x14ac:dyDescent="0.2">
      <c r="Z166" s="301"/>
    </row>
    <row r="167" spans="26:26" x14ac:dyDescent="0.2">
      <c r="Z167" s="301"/>
    </row>
    <row r="168" spans="26:26" x14ac:dyDescent="0.2">
      <c r="Z168" s="301"/>
    </row>
    <row r="169" spans="26:26" x14ac:dyDescent="0.2">
      <c r="Z169" s="301"/>
    </row>
    <row r="170" spans="26:26" x14ac:dyDescent="0.2">
      <c r="Z170" s="301"/>
    </row>
    <row r="171" spans="26:26" x14ac:dyDescent="0.2">
      <c r="Z171" s="301"/>
    </row>
    <row r="172" spans="26:26" x14ac:dyDescent="0.2">
      <c r="Z172" s="301"/>
    </row>
    <row r="173" spans="26:26" x14ac:dyDescent="0.2">
      <c r="Z173" s="301"/>
    </row>
    <row r="174" spans="26:26" x14ac:dyDescent="0.2">
      <c r="Z174" s="301"/>
    </row>
    <row r="175" spans="26:26" x14ac:dyDescent="0.2">
      <c r="Z175" s="301"/>
    </row>
    <row r="176" spans="26:26" x14ac:dyDescent="0.2">
      <c r="Z176" s="301"/>
    </row>
    <row r="177" spans="26:26" x14ac:dyDescent="0.2">
      <c r="Z177" s="301"/>
    </row>
    <row r="178" spans="26:26" x14ac:dyDescent="0.2">
      <c r="Z178" s="301"/>
    </row>
    <row r="179" spans="26:26" x14ac:dyDescent="0.2">
      <c r="Z179" s="301"/>
    </row>
    <row r="180" spans="26:26" x14ac:dyDescent="0.2">
      <c r="Z180" s="301"/>
    </row>
    <row r="181" spans="26:26" x14ac:dyDescent="0.2">
      <c r="Z181" s="301"/>
    </row>
    <row r="182" spans="26:26" x14ac:dyDescent="0.2">
      <c r="Z182" s="301"/>
    </row>
    <row r="183" spans="26:26" x14ac:dyDescent="0.2">
      <c r="Z183" s="301"/>
    </row>
    <row r="184" spans="26:26" x14ac:dyDescent="0.2">
      <c r="Z184" s="301"/>
    </row>
    <row r="185" spans="26:26" x14ac:dyDescent="0.2">
      <c r="Z185" s="301"/>
    </row>
    <row r="186" spans="26:26" x14ac:dyDescent="0.2">
      <c r="Z186" s="301"/>
    </row>
    <row r="187" spans="26:26" x14ac:dyDescent="0.2">
      <c r="Z187" s="301"/>
    </row>
    <row r="188" spans="26:26" x14ac:dyDescent="0.2">
      <c r="Z188" s="301"/>
    </row>
    <row r="189" spans="26:26" x14ac:dyDescent="0.2">
      <c r="Z189" s="301"/>
    </row>
    <row r="190" spans="26:26" x14ac:dyDescent="0.2">
      <c r="Z190" s="301"/>
    </row>
    <row r="191" spans="26:26" x14ac:dyDescent="0.2">
      <c r="Z191" s="301"/>
    </row>
    <row r="192" spans="26:26" x14ac:dyDescent="0.2">
      <c r="Z192" s="301"/>
    </row>
    <row r="193" spans="26:26" x14ac:dyDescent="0.2">
      <c r="Z193" s="301"/>
    </row>
    <row r="194" spans="26:26" x14ac:dyDescent="0.2">
      <c r="Z194" s="301"/>
    </row>
    <row r="195" spans="26:26" x14ac:dyDescent="0.2">
      <c r="Z195" s="301"/>
    </row>
    <row r="196" spans="26:26" x14ac:dyDescent="0.2">
      <c r="Z196" s="301"/>
    </row>
    <row r="197" spans="26:26" x14ac:dyDescent="0.2">
      <c r="Z197" s="301"/>
    </row>
    <row r="198" spans="26:26" x14ac:dyDescent="0.2">
      <c r="Z198" s="301"/>
    </row>
    <row r="199" spans="26:26" x14ac:dyDescent="0.2">
      <c r="Z199" s="301"/>
    </row>
    <row r="200" spans="26:26" x14ac:dyDescent="0.2">
      <c r="Z200" s="301"/>
    </row>
    <row r="201" spans="26:26" x14ac:dyDescent="0.2">
      <c r="Z201" s="301"/>
    </row>
    <row r="202" spans="26:26" x14ac:dyDescent="0.2">
      <c r="Z202" s="301"/>
    </row>
    <row r="203" spans="26:26" x14ac:dyDescent="0.2">
      <c r="Z203" s="301"/>
    </row>
    <row r="204" spans="26:26" x14ac:dyDescent="0.2">
      <c r="Z204" s="301"/>
    </row>
    <row r="205" spans="26:26" x14ac:dyDescent="0.2">
      <c r="Z205" s="301"/>
    </row>
    <row r="206" spans="26:26" x14ac:dyDescent="0.2">
      <c r="Z206" s="301"/>
    </row>
    <row r="207" spans="26:26" x14ac:dyDescent="0.2">
      <c r="Z207" s="301"/>
    </row>
    <row r="208" spans="26:26" x14ac:dyDescent="0.2">
      <c r="Z208" s="301"/>
    </row>
    <row r="209" spans="26:26" x14ac:dyDescent="0.2">
      <c r="Z209" s="301"/>
    </row>
    <row r="210" spans="26:26" x14ac:dyDescent="0.2">
      <c r="Z210" s="301"/>
    </row>
    <row r="211" spans="26:26" x14ac:dyDescent="0.2">
      <c r="Z211" s="301"/>
    </row>
    <row r="212" spans="26:26" x14ac:dyDescent="0.2">
      <c r="Z212" s="301"/>
    </row>
    <row r="213" spans="26:26" x14ac:dyDescent="0.2">
      <c r="Z213" s="301"/>
    </row>
    <row r="214" spans="26:26" x14ac:dyDescent="0.2">
      <c r="Z214" s="301"/>
    </row>
    <row r="215" spans="26:26" x14ac:dyDescent="0.2">
      <c r="Z215" s="301"/>
    </row>
    <row r="216" spans="26:26" x14ac:dyDescent="0.2">
      <c r="Z216" s="301"/>
    </row>
    <row r="217" spans="26:26" x14ac:dyDescent="0.2">
      <c r="Z217" s="301"/>
    </row>
    <row r="218" spans="26:26" x14ac:dyDescent="0.2">
      <c r="Z218" s="301"/>
    </row>
    <row r="219" spans="26:26" x14ac:dyDescent="0.2">
      <c r="Z219" s="301"/>
    </row>
    <row r="220" spans="26:26" x14ac:dyDescent="0.2">
      <c r="Z220" s="301"/>
    </row>
    <row r="221" spans="26:26" x14ac:dyDescent="0.2">
      <c r="Z221" s="301"/>
    </row>
    <row r="222" spans="26:26" x14ac:dyDescent="0.2">
      <c r="Z222" s="301"/>
    </row>
    <row r="223" spans="26:26" x14ac:dyDescent="0.2">
      <c r="Z223" s="301"/>
    </row>
    <row r="224" spans="26:26" x14ac:dyDescent="0.2">
      <c r="Z224" s="301"/>
    </row>
    <row r="225" spans="26:26" x14ac:dyDescent="0.2">
      <c r="Z225" s="301"/>
    </row>
    <row r="226" spans="26:26" x14ac:dyDescent="0.2">
      <c r="Z226" s="301"/>
    </row>
    <row r="227" spans="26:26" x14ac:dyDescent="0.2">
      <c r="Z227" s="301"/>
    </row>
    <row r="228" spans="26:26" x14ac:dyDescent="0.2">
      <c r="Z228" s="301"/>
    </row>
    <row r="229" spans="26:26" x14ac:dyDescent="0.2">
      <c r="Z229" s="301"/>
    </row>
    <row r="230" spans="26:26" x14ac:dyDescent="0.2">
      <c r="Z230" s="301"/>
    </row>
    <row r="231" spans="26:26" x14ac:dyDescent="0.2">
      <c r="Z231" s="301"/>
    </row>
  </sheetData>
  <mergeCells count="9">
    <mergeCell ref="A6:V6"/>
    <mergeCell ref="A4:V4"/>
    <mergeCell ref="A5:V5"/>
    <mergeCell ref="A8:A9"/>
    <mergeCell ref="B8:B9"/>
    <mergeCell ref="C8:G8"/>
    <mergeCell ref="H8:L8"/>
    <mergeCell ref="M8:Q8"/>
    <mergeCell ref="R8:V8"/>
  </mergeCells>
  <phoneticPr fontId="14" type="noConversion"/>
  <pageMargins left="0.35433070866141736" right="0" top="0.19685039370078741" bottom="0.15748031496062992" header="0.19685039370078741" footer="0.15748031496062992"/>
  <pageSetup paperSize="9" scale="5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86"/>
  <sheetViews>
    <sheetView topLeftCell="A4" zoomScaleNormal="100" workbookViewId="0">
      <selection activeCell="A7" sqref="A7"/>
    </sheetView>
  </sheetViews>
  <sheetFormatPr defaultRowHeight="12.75" x14ac:dyDescent="0.2"/>
  <cols>
    <col min="1" max="1" width="44.85546875" customWidth="1"/>
    <col min="2" max="2" width="12.7109375" customWidth="1"/>
    <col min="3" max="3" width="12.7109375" style="93" customWidth="1"/>
    <col min="4" max="8" width="10.140625" customWidth="1"/>
    <col min="9" max="13" width="10.28515625" customWidth="1"/>
    <col min="14" max="14" width="12.7109375" customWidth="1"/>
    <col min="15" max="15" width="6.7109375" customWidth="1"/>
    <col min="16" max="17" width="12.7109375" customWidth="1"/>
    <col min="18" max="18" width="10.28515625" customWidth="1"/>
  </cols>
  <sheetData>
    <row r="1" spans="1:32" x14ac:dyDescent="0.2">
      <c r="A1" s="3"/>
      <c r="B1" s="3"/>
      <c r="C1" s="3"/>
      <c r="D1" s="3"/>
      <c r="E1" s="3"/>
      <c r="F1" s="3"/>
      <c r="G1" s="3"/>
      <c r="H1" s="3"/>
      <c r="J1" s="83"/>
      <c r="K1" s="83"/>
      <c r="L1" s="83"/>
      <c r="M1" s="83"/>
      <c r="N1" s="83" t="s">
        <v>562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x14ac:dyDescent="0.2">
      <c r="A2" s="84"/>
      <c r="B2" s="3"/>
      <c r="C2" s="85"/>
      <c r="D2" s="3"/>
      <c r="E2" s="3"/>
      <c r="F2" s="3"/>
      <c r="G2" s="3"/>
      <c r="H2" s="3"/>
      <c r="I2" s="462"/>
      <c r="J2" s="86"/>
      <c r="K2" s="86"/>
      <c r="L2" s="86"/>
      <c r="M2" s="86"/>
      <c r="N2" s="176" t="str">
        <f>'1.Bev-kiad.'!E2</f>
        <v>a 13/2024.(IX.30.) önkormányzati rendelethez</v>
      </c>
      <c r="O2" s="3"/>
      <c r="P2" s="3"/>
      <c r="Q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x14ac:dyDescent="0.2">
      <c r="A3" s="84"/>
      <c r="B3" s="3"/>
      <c r="C3" s="85"/>
      <c r="D3" s="3"/>
      <c r="E3" s="3"/>
      <c r="F3" s="3"/>
      <c r="G3" s="3"/>
      <c r="H3" s="3"/>
      <c r="I3" s="462"/>
      <c r="J3" s="86"/>
      <c r="K3" s="86"/>
      <c r="L3" s="86"/>
      <c r="M3" s="86"/>
      <c r="N3" s="176" t="s">
        <v>1114</v>
      </c>
      <c r="O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15" x14ac:dyDescent="0.2">
      <c r="A4" s="721" t="s">
        <v>24</v>
      </c>
      <c r="B4" s="722"/>
      <c r="C4" s="722"/>
      <c r="D4" s="722"/>
      <c r="E4" s="722"/>
      <c r="F4" s="722"/>
      <c r="G4" s="52"/>
      <c r="H4" s="52"/>
      <c r="I4" s="86"/>
      <c r="J4" s="86"/>
      <c r="K4" s="411"/>
      <c r="L4" s="88"/>
      <c r="M4" s="88"/>
      <c r="N4" s="52"/>
      <c r="O4" s="52"/>
      <c r="P4" s="52"/>
      <c r="Q4" s="52"/>
      <c r="R4" s="3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</row>
    <row r="5" spans="1:32" ht="15" x14ac:dyDescent="0.2">
      <c r="A5" s="721" t="s">
        <v>787</v>
      </c>
      <c r="B5" s="722"/>
      <c r="C5" s="722"/>
      <c r="D5" s="722"/>
      <c r="E5" s="722"/>
      <c r="F5" s="722"/>
      <c r="G5" s="52"/>
      <c r="H5" s="52"/>
      <c r="I5" s="86"/>
      <c r="J5" s="86"/>
      <c r="K5" s="411"/>
      <c r="L5" s="88"/>
      <c r="M5" s="88"/>
      <c r="N5" s="52"/>
      <c r="O5" s="52"/>
      <c r="P5" s="52"/>
      <c r="Q5" s="3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</row>
    <row r="6" spans="1:32" x14ac:dyDescent="0.2">
      <c r="A6" s="3"/>
      <c r="B6" s="3"/>
      <c r="C6" s="85"/>
      <c r="D6" s="52"/>
      <c r="E6" s="52"/>
      <c r="F6" s="83" t="s">
        <v>25</v>
      </c>
      <c r="G6" s="52"/>
      <c r="H6" s="52"/>
      <c r="J6" s="83"/>
      <c r="L6" s="89"/>
      <c r="M6" s="89"/>
      <c r="N6" s="52"/>
      <c r="O6" s="52"/>
      <c r="P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</row>
    <row r="7" spans="1:32" ht="42.75" x14ac:dyDescent="0.2">
      <c r="A7" s="434" t="s">
        <v>340</v>
      </c>
      <c r="B7" s="433" t="s">
        <v>890</v>
      </c>
      <c r="C7" s="442">
        <v>2024</v>
      </c>
      <c r="D7" s="442">
        <v>2025</v>
      </c>
      <c r="E7" s="442">
        <v>2026</v>
      </c>
      <c r="F7" s="442">
        <v>2027</v>
      </c>
      <c r="G7" s="441"/>
      <c r="H7" s="281"/>
      <c r="I7" s="281"/>
      <c r="J7" s="281"/>
      <c r="K7" s="281"/>
      <c r="L7" s="281"/>
      <c r="M7" s="281"/>
      <c r="N7" s="281"/>
    </row>
    <row r="8" spans="1:32" ht="15" customHeight="1" x14ac:dyDescent="0.2">
      <c r="A8" s="489" t="s">
        <v>61</v>
      </c>
      <c r="B8" s="443">
        <f>B9</f>
        <v>34242</v>
      </c>
      <c r="C8" s="443">
        <f>C9</f>
        <v>88925</v>
      </c>
      <c r="D8" s="443">
        <f t="shared" ref="D8:E8" si="0">D9</f>
        <v>804223</v>
      </c>
      <c r="E8" s="443">
        <f t="shared" si="0"/>
        <v>3284</v>
      </c>
      <c r="F8" s="445" t="s">
        <v>63</v>
      </c>
      <c r="G8" s="281"/>
      <c r="H8" s="281"/>
      <c r="I8" s="438"/>
      <c r="J8" s="438"/>
      <c r="K8" s="281"/>
      <c r="L8" s="281"/>
      <c r="M8" s="281"/>
      <c r="N8" s="281"/>
    </row>
    <row r="9" spans="1:32" x14ac:dyDescent="0.2">
      <c r="A9" s="490" t="s">
        <v>921</v>
      </c>
      <c r="B9" s="141">
        <f>1620+13200+3564+9900+2673+3284+1</f>
        <v>34242</v>
      </c>
      <c r="C9" s="141">
        <f>82543-37+(20766+37+((5500+1485)+11267+3042))-35678</f>
        <v>88925</v>
      </c>
      <c r="D9" s="141">
        <f>606351+161647+547+35678</f>
        <v>804223</v>
      </c>
      <c r="E9" s="141">
        <v>3284</v>
      </c>
      <c r="F9" s="445"/>
      <c r="G9" s="281"/>
      <c r="H9" s="281"/>
      <c r="I9" s="438"/>
      <c r="J9" s="438"/>
      <c r="K9" s="281"/>
      <c r="L9" s="281"/>
      <c r="M9" s="281"/>
      <c r="N9" s="190"/>
    </row>
    <row r="10" spans="1:32" ht="17.25" customHeight="1" x14ac:dyDescent="0.2">
      <c r="A10" s="484" t="s">
        <v>62</v>
      </c>
      <c r="B10" s="179">
        <f>SUM(B11)+B12</f>
        <v>935484</v>
      </c>
      <c r="C10" s="179">
        <f>SUM(C11)+C12</f>
        <v>22222</v>
      </c>
      <c r="D10" s="179">
        <f>SUM(D11)+D12</f>
        <v>222918</v>
      </c>
      <c r="E10" s="447" t="s">
        <v>63</v>
      </c>
      <c r="F10" s="412" t="s">
        <v>63</v>
      </c>
      <c r="G10" s="281"/>
      <c r="H10" s="281"/>
      <c r="I10" s="438"/>
      <c r="J10" s="438"/>
      <c r="K10" s="281"/>
      <c r="L10" s="281"/>
      <c r="M10" s="281"/>
      <c r="N10" s="438"/>
    </row>
    <row r="11" spans="1:32" ht="26.25" customHeight="1" x14ac:dyDescent="0.2">
      <c r="A11" s="490" t="s">
        <v>972</v>
      </c>
      <c r="B11" s="306">
        <v>935484</v>
      </c>
      <c r="C11" s="141">
        <f>1308</f>
        <v>1308</v>
      </c>
      <c r="D11" s="444" t="s">
        <v>63</v>
      </c>
      <c r="E11" s="444" t="s">
        <v>63</v>
      </c>
      <c r="F11" s="38" t="s">
        <v>63</v>
      </c>
      <c r="G11" s="281"/>
      <c r="H11" s="281"/>
      <c r="I11" s="438"/>
      <c r="J11" s="438"/>
      <c r="K11" s="281"/>
      <c r="L11" s="281"/>
      <c r="M11" s="281"/>
      <c r="N11" s="439"/>
    </row>
    <row r="12" spans="1:32" ht="27.75" customHeight="1" x14ac:dyDescent="0.2">
      <c r="A12" s="490" t="s">
        <v>790</v>
      </c>
      <c r="B12" s="306">
        <v>0</v>
      </c>
      <c r="C12" s="141">
        <f>'3.felh'!D68-222918</f>
        <v>20914</v>
      </c>
      <c r="D12" s="141">
        <v>222918</v>
      </c>
      <c r="E12" s="38" t="s">
        <v>63</v>
      </c>
      <c r="F12" s="38" t="s">
        <v>63</v>
      </c>
      <c r="G12" s="439"/>
      <c r="H12" s="439"/>
      <c r="I12" s="439"/>
      <c r="J12" s="439"/>
      <c r="K12" s="439"/>
      <c r="L12" s="439"/>
      <c r="M12" s="439"/>
      <c r="N12" s="439"/>
    </row>
    <row r="13" spans="1:32" ht="15.75" customHeight="1" x14ac:dyDescent="0.2">
      <c r="A13" s="484" t="s">
        <v>64</v>
      </c>
      <c r="B13" s="518">
        <v>0</v>
      </c>
      <c r="C13" s="518">
        <v>0</v>
      </c>
      <c r="D13" s="447" t="s">
        <v>63</v>
      </c>
      <c r="E13" s="447" t="s">
        <v>63</v>
      </c>
      <c r="F13" s="412" t="s">
        <v>63</v>
      </c>
      <c r="G13" s="438"/>
      <c r="H13" s="438"/>
      <c r="I13" s="438"/>
      <c r="J13" s="438"/>
      <c r="K13" s="438"/>
      <c r="L13" s="438"/>
      <c r="M13" s="438"/>
      <c r="N13" s="438"/>
    </row>
    <row r="14" spans="1:32" x14ac:dyDescent="0.2">
      <c r="A14" s="485" t="s">
        <v>63</v>
      </c>
      <c r="B14" s="141">
        <v>0</v>
      </c>
      <c r="C14" s="141">
        <v>0</v>
      </c>
      <c r="D14" s="444" t="s">
        <v>63</v>
      </c>
      <c r="E14" s="444" t="s">
        <v>63</v>
      </c>
      <c r="F14" s="38" t="s">
        <v>63</v>
      </c>
      <c r="G14" s="439"/>
      <c r="H14" s="439"/>
      <c r="I14" s="439"/>
      <c r="J14" s="439"/>
      <c r="K14" s="439"/>
      <c r="L14" s="439"/>
      <c r="M14" s="439"/>
      <c r="N14" s="439"/>
    </row>
    <row r="15" spans="1:32" x14ac:dyDescent="0.2">
      <c r="A15" s="484" t="s">
        <v>44</v>
      </c>
      <c r="B15" s="101">
        <f>SUM(B8+B10)</f>
        <v>969726</v>
      </c>
      <c r="C15" s="101">
        <f>SUM(C8+C10)</f>
        <v>111147</v>
      </c>
      <c r="D15" s="101">
        <f t="shared" ref="D15" si="1">SUM(D8+D10)</f>
        <v>1027141</v>
      </c>
      <c r="E15" s="101">
        <f>E8</f>
        <v>3284</v>
      </c>
      <c r="F15" s="446" t="s">
        <v>63</v>
      </c>
      <c r="G15" s="440"/>
      <c r="H15" s="440"/>
      <c r="I15" s="440"/>
      <c r="J15" s="440"/>
      <c r="K15" s="440"/>
      <c r="L15" s="440"/>
      <c r="M15" s="440"/>
      <c r="N15" s="440"/>
    </row>
    <row r="16" spans="1:32" x14ac:dyDescent="0.2">
      <c r="A16" s="3"/>
      <c r="B16" s="3"/>
      <c r="C16" s="3"/>
      <c r="D16" s="180"/>
      <c r="E16" s="180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1:15" ht="12.95" customHeight="1" x14ac:dyDescent="0.2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5" ht="16.5" customHeight="1" x14ac:dyDescent="0.2">
      <c r="A18" s="725" t="s">
        <v>563</v>
      </c>
      <c r="B18" s="725"/>
      <c r="C18" s="725"/>
      <c r="D18" s="725"/>
      <c r="E18" s="725"/>
      <c r="F18" s="725"/>
      <c r="G18" s="725"/>
      <c r="H18" s="725"/>
      <c r="I18" s="725"/>
      <c r="J18" s="725"/>
      <c r="K18" s="725"/>
      <c r="L18" s="725"/>
      <c r="M18" s="725"/>
      <c r="N18" s="725"/>
    </row>
    <row r="19" spans="1:15" ht="12.95" customHeight="1" x14ac:dyDescent="0.2">
      <c r="A19" s="721" t="s">
        <v>891</v>
      </c>
      <c r="B19" s="722"/>
      <c r="C19" s="722"/>
      <c r="D19" s="722"/>
      <c r="E19" s="722"/>
      <c r="F19" s="722"/>
      <c r="G19" s="722"/>
      <c r="H19" s="722"/>
      <c r="I19" s="722"/>
      <c r="J19" s="722"/>
      <c r="K19" s="722"/>
      <c r="L19" s="722"/>
      <c r="M19" s="722"/>
      <c r="N19" s="722"/>
    </row>
    <row r="20" spans="1:15" ht="12.95" customHeight="1" x14ac:dyDescent="0.2">
      <c r="A20" s="3"/>
      <c r="B20" s="3"/>
      <c r="C20" s="85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3" t="s">
        <v>0</v>
      </c>
    </row>
    <row r="21" spans="1:15" ht="17.25" customHeight="1" x14ac:dyDescent="0.2">
      <c r="A21" s="726" t="s">
        <v>545</v>
      </c>
      <c r="B21" s="726" t="s">
        <v>65</v>
      </c>
      <c r="C21" s="726" t="s">
        <v>66</v>
      </c>
      <c r="D21" s="728" t="s">
        <v>530</v>
      </c>
      <c r="E21" s="728"/>
      <c r="F21" s="728"/>
      <c r="G21" s="728"/>
      <c r="H21" s="728"/>
      <c r="I21" s="728"/>
      <c r="J21" s="728"/>
      <c r="K21" s="728"/>
      <c r="L21" s="303"/>
      <c r="M21" s="303"/>
      <c r="N21" s="729" t="s">
        <v>44</v>
      </c>
    </row>
    <row r="22" spans="1:15" ht="33.75" customHeight="1" x14ac:dyDescent="0.2">
      <c r="A22" s="726"/>
      <c r="B22" s="726"/>
      <c r="C22" s="726"/>
      <c r="D22" s="731">
        <v>2024</v>
      </c>
      <c r="E22" s="732"/>
      <c r="F22" s="731">
        <v>2025</v>
      </c>
      <c r="G22" s="732"/>
      <c r="H22" s="731">
        <v>2026</v>
      </c>
      <c r="I22" s="732"/>
      <c r="J22" s="731">
        <v>2027</v>
      </c>
      <c r="K22" s="732"/>
      <c r="L22" s="728" t="s">
        <v>892</v>
      </c>
      <c r="M22" s="733"/>
      <c r="N22" s="729"/>
    </row>
    <row r="23" spans="1:15" ht="15.75" customHeight="1" x14ac:dyDescent="0.2">
      <c r="A23" s="727"/>
      <c r="B23" s="727"/>
      <c r="C23" s="727"/>
      <c r="D23" s="116" t="s">
        <v>546</v>
      </c>
      <c r="E23" s="116" t="s">
        <v>547</v>
      </c>
      <c r="F23" s="116" t="s">
        <v>546</v>
      </c>
      <c r="G23" s="116" t="s">
        <v>547</v>
      </c>
      <c r="H23" s="116" t="s">
        <v>546</v>
      </c>
      <c r="I23" s="116" t="s">
        <v>547</v>
      </c>
      <c r="J23" s="116" t="s">
        <v>546</v>
      </c>
      <c r="K23" s="116" t="s">
        <v>547</v>
      </c>
      <c r="L23" s="116" t="s">
        <v>546</v>
      </c>
      <c r="M23" s="116" t="s">
        <v>547</v>
      </c>
      <c r="N23" s="730"/>
    </row>
    <row r="24" spans="1:15" ht="24.75" customHeight="1" x14ac:dyDescent="0.2">
      <c r="A24" s="305" t="s">
        <v>548</v>
      </c>
      <c r="B24" s="25">
        <v>2019</v>
      </c>
      <c r="C24" s="306">
        <v>100000</v>
      </c>
      <c r="D24" s="117">
        <f>2600*4</f>
        <v>10400</v>
      </c>
      <c r="E24" s="117">
        <v>4384</v>
      </c>
      <c r="F24" s="141">
        <v>10400</v>
      </c>
      <c r="G24" s="141">
        <v>2779</v>
      </c>
      <c r="H24" s="141">
        <v>10400</v>
      </c>
      <c r="I24" s="141">
        <v>1921</v>
      </c>
      <c r="J24" s="141">
        <v>10400</v>
      </c>
      <c r="K24" s="141">
        <v>1063</v>
      </c>
      <c r="L24" s="141">
        <v>6400</v>
      </c>
      <c r="M24" s="141">
        <v>235</v>
      </c>
      <c r="N24" s="38">
        <f>SUM(D24:M24)</f>
        <v>58382</v>
      </c>
      <c r="O24" s="734"/>
    </row>
    <row r="25" spans="1:15" x14ac:dyDescent="0.2">
      <c r="A25" s="57" t="s">
        <v>549</v>
      </c>
      <c r="B25" s="60">
        <v>2019</v>
      </c>
      <c r="C25" s="306">
        <v>100000</v>
      </c>
      <c r="D25" s="117">
        <v>9362</v>
      </c>
      <c r="E25" s="117">
        <v>4799</v>
      </c>
      <c r="F25" s="141">
        <v>8968</v>
      </c>
      <c r="G25" s="57">
        <v>3236</v>
      </c>
      <c r="H25" s="141">
        <v>8968</v>
      </c>
      <c r="I25" s="57">
        <v>2496</v>
      </c>
      <c r="J25" s="141">
        <v>8968</v>
      </c>
      <c r="K25" s="57">
        <v>1756</v>
      </c>
      <c r="L25" s="57">
        <f>8968+6723</f>
        <v>15691</v>
      </c>
      <c r="M25" s="57">
        <v>1248</v>
      </c>
      <c r="N25" s="38">
        <f t="shared" ref="N25:N28" si="2">SUM(D25:M25)</f>
        <v>65492</v>
      </c>
      <c r="O25" s="734"/>
    </row>
    <row r="26" spans="1:15" ht="12.95" customHeight="1" x14ac:dyDescent="0.2">
      <c r="A26" s="57" t="s">
        <v>712</v>
      </c>
      <c r="B26" s="60">
        <v>2022</v>
      </c>
      <c r="C26" s="306">
        <v>342000</v>
      </c>
      <c r="D26" s="117">
        <f>9500*4</f>
        <v>38000</v>
      </c>
      <c r="E26" s="117">
        <v>10933</v>
      </c>
      <c r="F26" s="141">
        <v>38000</v>
      </c>
      <c r="G26" s="57">
        <v>9207</v>
      </c>
      <c r="H26" s="141">
        <v>38000</v>
      </c>
      <c r="I26" s="57">
        <v>7569</v>
      </c>
      <c r="J26" s="141">
        <v>38000</v>
      </c>
      <c r="K26" s="57">
        <v>5932</v>
      </c>
      <c r="L26" s="57">
        <f>(38000*3)</f>
        <v>114000</v>
      </c>
      <c r="M26" s="57">
        <f>4308+2657+1019</f>
        <v>7984</v>
      </c>
      <c r="N26" s="38">
        <f t="shared" si="2"/>
        <v>307625</v>
      </c>
    </row>
    <row r="27" spans="1:15" ht="12.95" customHeight="1" x14ac:dyDescent="0.2">
      <c r="A27" s="57" t="s">
        <v>971</v>
      </c>
      <c r="B27" s="60">
        <v>2024</v>
      </c>
      <c r="C27" s="306">
        <v>350000</v>
      </c>
      <c r="D27" s="117">
        <v>27632</v>
      </c>
      <c r="E27" s="117">
        <v>9359</v>
      </c>
      <c r="F27" s="141">
        <v>36842</v>
      </c>
      <c r="G27" s="57">
        <v>26598</v>
      </c>
      <c r="H27" s="141">
        <v>36842</v>
      </c>
      <c r="I27" s="57">
        <v>23558</v>
      </c>
      <c r="J27" s="141">
        <v>36842</v>
      </c>
      <c r="K27" s="57">
        <v>20517</v>
      </c>
      <c r="L27" s="57">
        <f>36842*5+27632</f>
        <v>211842</v>
      </c>
      <c r="M27" s="57">
        <v>59028</v>
      </c>
      <c r="N27" s="38">
        <f t="shared" si="2"/>
        <v>489060</v>
      </c>
    </row>
    <row r="28" spans="1:15" ht="12.95" customHeight="1" x14ac:dyDescent="0.2">
      <c r="A28" s="91" t="s">
        <v>44</v>
      </c>
      <c r="B28" s="61"/>
      <c r="C28" s="179">
        <f>SUM(C24:C27)</f>
        <v>892000</v>
      </c>
      <c r="D28" s="118">
        <f>SUM(D24:D27)</f>
        <v>85394</v>
      </c>
      <c r="E28" s="118">
        <f t="shared" ref="E28:K28" si="3">SUM(E24:E27)</f>
        <v>29475</v>
      </c>
      <c r="F28" s="57">
        <f t="shared" si="3"/>
        <v>94210</v>
      </c>
      <c r="G28" s="57">
        <f t="shared" si="3"/>
        <v>41820</v>
      </c>
      <c r="H28" s="57">
        <f t="shared" si="3"/>
        <v>94210</v>
      </c>
      <c r="I28" s="59">
        <f t="shared" si="3"/>
        <v>35544</v>
      </c>
      <c r="J28" s="57">
        <f t="shared" si="3"/>
        <v>94210</v>
      </c>
      <c r="K28" s="57">
        <f t="shared" si="3"/>
        <v>29268</v>
      </c>
      <c r="L28" s="57">
        <f>SUM(L24:L27)</f>
        <v>347933</v>
      </c>
      <c r="M28" s="57">
        <f>SUM(M24:M27)</f>
        <v>68495</v>
      </c>
      <c r="N28" s="412">
        <f t="shared" si="2"/>
        <v>920559</v>
      </c>
      <c r="O28" s="208"/>
    </row>
    <row r="29" spans="1:15" ht="22.5" customHeight="1" x14ac:dyDescent="0.2">
      <c r="A29" s="735" t="s">
        <v>328</v>
      </c>
      <c r="B29" s="736"/>
      <c r="C29" s="737"/>
      <c r="D29" s="728" t="s">
        <v>339</v>
      </c>
      <c r="E29" s="728"/>
      <c r="F29" s="728"/>
      <c r="G29" s="728"/>
      <c r="H29" s="728"/>
      <c r="I29" s="728"/>
      <c r="J29" s="728"/>
      <c r="K29" s="728"/>
      <c r="L29" s="303"/>
      <c r="M29" s="303"/>
      <c r="N29" s="729" t="s">
        <v>44</v>
      </c>
    </row>
    <row r="30" spans="1:15" ht="21.75" customHeight="1" x14ac:dyDescent="0.2">
      <c r="A30" s="738"/>
      <c r="B30" s="739"/>
      <c r="C30" s="740"/>
      <c r="D30" s="744">
        <f>D22</f>
        <v>2024</v>
      </c>
      <c r="E30" s="745"/>
      <c r="F30" s="746">
        <f>F22</f>
        <v>2025</v>
      </c>
      <c r="G30" s="747"/>
      <c r="H30" s="746">
        <f t="shared" ref="H30" si="4">H22</f>
        <v>2026</v>
      </c>
      <c r="I30" s="747"/>
      <c r="J30" s="746">
        <f t="shared" ref="J30" si="5">J22</f>
        <v>2027</v>
      </c>
      <c r="K30" s="747"/>
      <c r="L30" s="746" t="str">
        <f t="shared" ref="L30" si="6">L22</f>
        <v>2028 és további évek</v>
      </c>
      <c r="M30" s="747"/>
      <c r="N30" s="730"/>
    </row>
    <row r="31" spans="1:15" ht="12.95" customHeight="1" x14ac:dyDescent="0.2">
      <c r="A31" s="741"/>
      <c r="B31" s="742"/>
      <c r="C31" s="743"/>
      <c r="D31" s="748">
        <f>('2.működés'!E76+'2.működés'!E77+'2.működés'!E78+'2.működés'!E80+'2.működés'!E82+'2.működés'!E83+'2.működés'!E88+'3.felh'!E25)/2</f>
        <v>331510</v>
      </c>
      <c r="E31" s="749"/>
      <c r="F31" s="723">
        <v>277500</v>
      </c>
      <c r="G31" s="724"/>
      <c r="H31" s="723">
        <v>277500</v>
      </c>
      <c r="I31" s="724"/>
      <c r="J31" s="723">
        <v>277500</v>
      </c>
      <c r="K31" s="724"/>
      <c r="L31" s="723">
        <f>(277500*6)</f>
        <v>1665000</v>
      </c>
      <c r="M31" s="724"/>
      <c r="N31" s="38">
        <f>SUM(D31:M31)</f>
        <v>2829010</v>
      </c>
    </row>
    <row r="32" spans="1:15" ht="12.95" customHeight="1" x14ac:dyDescent="0.2">
      <c r="B32" s="74"/>
      <c r="C32" s="92"/>
    </row>
    <row r="33" spans="2:8" ht="12.95" customHeight="1" x14ac:dyDescent="0.2">
      <c r="B33" s="74"/>
      <c r="C33" s="92"/>
      <c r="F33" s="74"/>
      <c r="G33" s="74"/>
      <c r="H33" s="74"/>
    </row>
    <row r="34" spans="2:8" ht="12.95" customHeight="1" x14ac:dyDescent="0.2">
      <c r="B34" s="74"/>
      <c r="C34" s="92"/>
      <c r="F34" s="74"/>
    </row>
    <row r="35" spans="2:8" ht="12.95" hidden="1" customHeight="1" x14ac:dyDescent="0.2">
      <c r="B35" s="74"/>
      <c r="C35" s="92"/>
      <c r="F35" s="74"/>
    </row>
    <row r="36" spans="2:8" ht="12.95" customHeight="1" x14ac:dyDescent="0.2">
      <c r="B36" s="74"/>
      <c r="C36" s="92"/>
      <c r="F36" s="74"/>
    </row>
    <row r="37" spans="2:8" ht="12.95" customHeight="1" x14ac:dyDescent="0.2">
      <c r="B37" s="74"/>
      <c r="C37" s="92"/>
      <c r="F37" s="74"/>
    </row>
    <row r="38" spans="2:8" ht="12.95" customHeight="1" x14ac:dyDescent="0.2">
      <c r="B38" s="74"/>
      <c r="C38" s="92"/>
      <c r="F38" s="74"/>
    </row>
    <row r="39" spans="2:8" ht="12.95" customHeight="1" x14ac:dyDescent="0.2">
      <c r="B39" s="74"/>
      <c r="C39" s="92"/>
      <c r="F39" s="74"/>
    </row>
    <row r="40" spans="2:8" ht="12.95" customHeight="1" x14ac:dyDescent="0.2">
      <c r="B40" s="74"/>
      <c r="C40" s="92"/>
      <c r="F40" s="74"/>
    </row>
    <row r="41" spans="2:8" ht="12.95" customHeight="1" x14ac:dyDescent="0.2">
      <c r="B41" s="74"/>
      <c r="C41" s="92"/>
      <c r="F41" s="74"/>
    </row>
    <row r="42" spans="2:8" ht="12.95" customHeight="1" x14ac:dyDescent="0.2">
      <c r="B42" s="74"/>
      <c r="C42" s="92"/>
      <c r="F42" s="74"/>
    </row>
    <row r="43" spans="2:8" ht="12.95" customHeight="1" x14ac:dyDescent="0.2">
      <c r="B43" s="74"/>
      <c r="C43" s="92"/>
      <c r="F43" s="74"/>
    </row>
    <row r="44" spans="2:8" ht="12.95" customHeight="1" x14ac:dyDescent="0.2">
      <c r="B44" s="74"/>
      <c r="C44" s="92"/>
      <c r="F44" s="74"/>
    </row>
    <row r="45" spans="2:8" ht="12.95" customHeight="1" x14ac:dyDescent="0.2">
      <c r="B45" s="74"/>
      <c r="C45" s="92"/>
      <c r="F45" s="74"/>
    </row>
    <row r="46" spans="2:8" ht="12.95" customHeight="1" x14ac:dyDescent="0.2">
      <c r="B46" s="74"/>
      <c r="C46" s="92"/>
      <c r="F46" s="74"/>
    </row>
    <row r="47" spans="2:8" ht="12.95" customHeight="1" x14ac:dyDescent="0.2">
      <c r="B47" s="74"/>
      <c r="C47" s="92"/>
      <c r="F47" s="74"/>
    </row>
    <row r="48" spans="2:8" ht="12.95" customHeight="1" x14ac:dyDescent="0.2">
      <c r="B48" s="74"/>
      <c r="C48" s="92"/>
      <c r="F48" s="74"/>
    </row>
    <row r="49" spans="2:6" ht="12.95" customHeight="1" x14ac:dyDescent="0.2">
      <c r="B49" s="74"/>
      <c r="C49" s="92"/>
      <c r="F49" s="74"/>
    </row>
    <row r="50" spans="2:6" ht="12.95" customHeight="1" x14ac:dyDescent="0.2">
      <c r="B50" s="74"/>
      <c r="C50" s="92"/>
      <c r="F50" s="74"/>
    </row>
    <row r="51" spans="2:6" ht="12.95" customHeight="1" x14ac:dyDescent="0.2">
      <c r="B51" s="74"/>
      <c r="C51" s="92"/>
      <c r="F51" s="74"/>
    </row>
    <row r="52" spans="2:6" ht="12.95" customHeight="1" x14ac:dyDescent="0.2">
      <c r="B52" s="74"/>
      <c r="C52" s="92"/>
      <c r="F52" s="74"/>
    </row>
    <row r="53" spans="2:6" ht="12.95" customHeight="1" x14ac:dyDescent="0.2">
      <c r="B53" s="74"/>
      <c r="C53" s="92"/>
      <c r="F53" s="74"/>
    </row>
    <row r="54" spans="2:6" ht="12.95" customHeight="1" x14ac:dyDescent="0.2">
      <c r="B54" s="74"/>
      <c r="C54" s="92"/>
      <c r="F54" s="74"/>
    </row>
    <row r="55" spans="2:6" ht="12.95" customHeight="1" x14ac:dyDescent="0.2">
      <c r="B55" s="74"/>
      <c r="C55" s="92"/>
      <c r="F55" s="74"/>
    </row>
    <row r="56" spans="2:6" ht="12.95" customHeight="1" x14ac:dyDescent="0.2">
      <c r="B56" s="74"/>
      <c r="C56" s="92"/>
      <c r="F56" s="74"/>
    </row>
    <row r="57" spans="2:6" ht="12.95" customHeight="1" x14ac:dyDescent="0.2">
      <c r="B57" s="74"/>
      <c r="C57" s="92"/>
      <c r="F57" s="74"/>
    </row>
    <row r="58" spans="2:6" ht="12.95" customHeight="1" x14ac:dyDescent="0.2">
      <c r="B58" s="74"/>
      <c r="C58" s="92"/>
      <c r="F58" s="74"/>
    </row>
    <row r="59" spans="2:6" ht="12.95" customHeight="1" x14ac:dyDescent="0.2">
      <c r="B59" s="74"/>
      <c r="C59" s="92"/>
      <c r="F59" s="74"/>
    </row>
    <row r="60" spans="2:6" ht="12.95" customHeight="1" x14ac:dyDescent="0.2">
      <c r="B60" s="74"/>
      <c r="C60" s="92"/>
      <c r="F60" s="74"/>
    </row>
    <row r="61" spans="2:6" ht="12.95" customHeight="1" x14ac:dyDescent="0.2">
      <c r="B61" s="74"/>
      <c r="C61" s="92"/>
      <c r="F61" s="74"/>
    </row>
    <row r="62" spans="2:6" ht="12.95" customHeight="1" x14ac:dyDescent="0.2">
      <c r="B62" s="74"/>
      <c r="C62" s="92"/>
      <c r="F62" s="74"/>
    </row>
    <row r="63" spans="2:6" ht="12.95" customHeight="1" x14ac:dyDescent="0.2">
      <c r="B63" s="74"/>
      <c r="C63" s="92"/>
      <c r="F63" s="74"/>
    </row>
    <row r="64" spans="2:6" ht="12.95" customHeight="1" x14ac:dyDescent="0.2">
      <c r="B64" s="74"/>
      <c r="C64" s="92"/>
      <c r="F64" s="74"/>
    </row>
    <row r="65" spans="2:6" ht="12.95" customHeight="1" x14ac:dyDescent="0.2">
      <c r="B65" s="74"/>
      <c r="C65" s="92"/>
      <c r="F65" s="74"/>
    </row>
    <row r="66" spans="2:6" ht="12.95" customHeight="1" x14ac:dyDescent="0.2">
      <c r="B66" s="74"/>
      <c r="C66" s="92"/>
      <c r="F66" s="74"/>
    </row>
    <row r="67" spans="2:6" ht="12.95" customHeight="1" x14ac:dyDescent="0.2">
      <c r="B67" s="74"/>
      <c r="C67" s="92"/>
      <c r="F67" s="74"/>
    </row>
    <row r="68" spans="2:6" ht="12.95" customHeight="1" x14ac:dyDescent="0.2">
      <c r="B68" s="74"/>
      <c r="C68" s="92"/>
      <c r="F68" s="74"/>
    </row>
    <row r="69" spans="2:6" x14ac:dyDescent="0.2">
      <c r="B69" s="74"/>
      <c r="C69" s="92"/>
      <c r="F69" s="74"/>
    </row>
    <row r="70" spans="2:6" x14ac:dyDescent="0.2">
      <c r="B70" s="74"/>
      <c r="C70" s="92"/>
      <c r="F70" s="74"/>
    </row>
    <row r="71" spans="2:6" x14ac:dyDescent="0.2">
      <c r="B71" s="74"/>
      <c r="C71" s="92"/>
      <c r="F71" s="74"/>
    </row>
    <row r="72" spans="2:6" x14ac:dyDescent="0.2">
      <c r="B72" s="74"/>
      <c r="C72" s="92"/>
      <c r="F72" s="74"/>
    </row>
    <row r="73" spans="2:6" x14ac:dyDescent="0.2">
      <c r="B73" s="74"/>
      <c r="C73" s="92"/>
    </row>
    <row r="74" spans="2:6" x14ac:dyDescent="0.2">
      <c r="B74" s="74"/>
      <c r="C74" s="92"/>
    </row>
    <row r="75" spans="2:6" x14ac:dyDescent="0.2">
      <c r="B75" s="74"/>
      <c r="C75" s="92"/>
    </row>
    <row r="76" spans="2:6" x14ac:dyDescent="0.2">
      <c r="B76" s="74"/>
      <c r="C76" s="92"/>
    </row>
    <row r="77" spans="2:6" x14ac:dyDescent="0.2">
      <c r="B77" s="74"/>
      <c r="C77" s="92"/>
    </row>
    <row r="78" spans="2:6" x14ac:dyDescent="0.2">
      <c r="B78" s="74"/>
      <c r="C78" s="92"/>
    </row>
    <row r="79" spans="2:6" x14ac:dyDescent="0.2">
      <c r="B79" s="74"/>
      <c r="C79" s="92"/>
    </row>
    <row r="80" spans="2:6" x14ac:dyDescent="0.2">
      <c r="B80" s="74"/>
      <c r="C80" s="92"/>
    </row>
    <row r="81" spans="2:3" x14ac:dyDescent="0.2">
      <c r="B81" s="74"/>
      <c r="C81" s="92"/>
    </row>
    <row r="82" spans="2:3" x14ac:dyDescent="0.2">
      <c r="B82" s="74"/>
      <c r="C82" s="92"/>
    </row>
    <row r="83" spans="2:3" x14ac:dyDescent="0.2">
      <c r="B83" s="74"/>
      <c r="C83" s="92"/>
    </row>
    <row r="84" spans="2:3" x14ac:dyDescent="0.2">
      <c r="B84" s="74"/>
      <c r="C84" s="92"/>
    </row>
    <row r="85" spans="2:3" x14ac:dyDescent="0.2">
      <c r="B85" s="74"/>
      <c r="C85" s="92"/>
    </row>
    <row r="86" spans="2:3" x14ac:dyDescent="0.2">
      <c r="B86" s="74"/>
      <c r="C86" s="92"/>
    </row>
  </sheetData>
  <mergeCells count="28">
    <mergeCell ref="J22:K22"/>
    <mergeCell ref="L22:M22"/>
    <mergeCell ref="O24:O25"/>
    <mergeCell ref="A29:C31"/>
    <mergeCell ref="D29:K29"/>
    <mergeCell ref="N29:N30"/>
    <mergeCell ref="D30:E30"/>
    <mergeCell ref="F30:G30"/>
    <mergeCell ref="H30:I30"/>
    <mergeCell ref="J30:K30"/>
    <mergeCell ref="L30:M30"/>
    <mergeCell ref="D31:E31"/>
    <mergeCell ref="A4:F4"/>
    <mergeCell ref="A5:F5"/>
    <mergeCell ref="L31:M31"/>
    <mergeCell ref="A18:N18"/>
    <mergeCell ref="A21:A23"/>
    <mergeCell ref="B21:B23"/>
    <mergeCell ref="C21:C23"/>
    <mergeCell ref="A19:N19"/>
    <mergeCell ref="H31:I31"/>
    <mergeCell ref="J31:K31"/>
    <mergeCell ref="F31:G31"/>
    <mergeCell ref="D21:K21"/>
    <mergeCell ref="N21:N23"/>
    <mergeCell ref="D22:E22"/>
    <mergeCell ref="F22:G22"/>
    <mergeCell ref="H22:I22"/>
  </mergeCells>
  <pageMargins left="0.43307086614173229" right="0.19685039370078741" top="0.31496062992125984" bottom="0.98425196850393704" header="0.19685039370078741" footer="0.51181102362204722"/>
  <pageSetup paperSize="9" scale="7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39"/>
  <sheetViews>
    <sheetView zoomScaleNormal="100" workbookViewId="0">
      <selection activeCell="N20" sqref="N20"/>
    </sheetView>
  </sheetViews>
  <sheetFormatPr defaultRowHeight="12.75" x14ac:dyDescent="0.2"/>
  <cols>
    <col min="1" max="1" width="35.28515625" customWidth="1"/>
    <col min="2" max="2" width="9.28515625" customWidth="1"/>
    <col min="3" max="4" width="8.85546875" customWidth="1"/>
    <col min="5" max="5" width="9.42578125" customWidth="1"/>
    <col min="6" max="8" width="9.140625" customWidth="1"/>
    <col min="9" max="9" width="9" customWidth="1"/>
    <col min="10" max="11" width="9.140625" customWidth="1"/>
    <col min="12" max="12" width="9.140625" bestFit="1" customWidth="1"/>
    <col min="13" max="13" width="9.7109375" bestFit="1" customWidth="1"/>
    <col min="14" max="15" width="10.85546875" customWidth="1"/>
    <col min="16" max="16" width="9.7109375" style="422" customWidth="1"/>
  </cols>
  <sheetData>
    <row r="1" spans="1:16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M1" s="3"/>
      <c r="N1" s="172" t="s">
        <v>716</v>
      </c>
      <c r="O1" s="89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M2" s="3"/>
      <c r="N2" s="176" t="str">
        <f>'1.Bev-kiad.'!E2</f>
        <v>a 13/2024.(IX.30.) önkormányzati rendelethez</v>
      </c>
      <c r="O2" s="89"/>
    </row>
    <row r="3" spans="1: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M3" s="3"/>
      <c r="N3" s="176" t="s">
        <v>1115</v>
      </c>
      <c r="O3" s="89"/>
    </row>
    <row r="4" spans="1:16" ht="15.75" x14ac:dyDescent="0.25">
      <c r="A4" s="750" t="s">
        <v>893</v>
      </c>
      <c r="B4" s="751"/>
      <c r="C4" s="751"/>
      <c r="D4" s="751"/>
      <c r="E4" s="751"/>
      <c r="F4" s="751"/>
      <c r="G4" s="751"/>
      <c r="H4" s="751"/>
      <c r="I4" s="751"/>
      <c r="J4" s="751"/>
      <c r="K4" s="751"/>
      <c r="L4" s="751"/>
      <c r="M4" s="751"/>
      <c r="N4" s="751"/>
      <c r="O4" s="89"/>
    </row>
    <row r="5" spans="1:16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83"/>
      <c r="O5" s="89"/>
    </row>
    <row r="6" spans="1:16" ht="13.5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83" t="s">
        <v>0</v>
      </c>
      <c r="O6" s="89"/>
    </row>
    <row r="7" spans="1:16" ht="21.75" customHeight="1" thickBot="1" x14ac:dyDescent="0.25">
      <c r="A7" s="94" t="s">
        <v>68</v>
      </c>
      <c r="B7" s="95" t="s">
        <v>69</v>
      </c>
      <c r="C7" s="95" t="s">
        <v>70</v>
      </c>
      <c r="D7" s="95" t="s">
        <v>71</v>
      </c>
      <c r="E7" s="95" t="s">
        <v>72</v>
      </c>
      <c r="F7" s="95" t="s">
        <v>73</v>
      </c>
      <c r="G7" s="95" t="s">
        <v>74</v>
      </c>
      <c r="H7" s="95" t="s">
        <v>75</v>
      </c>
      <c r="I7" s="95" t="s">
        <v>76</v>
      </c>
      <c r="J7" s="95" t="s">
        <v>77</v>
      </c>
      <c r="K7" s="95" t="s">
        <v>78</v>
      </c>
      <c r="L7" s="95" t="s">
        <v>79</v>
      </c>
      <c r="M7" s="95" t="s">
        <v>80</v>
      </c>
      <c r="N7" s="213" t="s">
        <v>44</v>
      </c>
      <c r="O7" s="424"/>
    </row>
    <row r="8" spans="1:16" ht="15.95" customHeight="1" x14ac:dyDescent="0.2">
      <c r="A8" s="96" t="s">
        <v>81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97"/>
      <c r="O8" s="425"/>
    </row>
    <row r="9" spans="1:16" ht="15.95" customHeight="1" x14ac:dyDescent="0.2">
      <c r="A9" s="267" t="s">
        <v>432</v>
      </c>
      <c r="B9" s="31">
        <v>73196</v>
      </c>
      <c r="C9" s="31">
        <v>48298</v>
      </c>
      <c r="D9" s="31">
        <v>52539</v>
      </c>
      <c r="E9" s="31">
        <v>52837</v>
      </c>
      <c r="F9" s="31">
        <v>64013</v>
      </c>
      <c r="G9" s="31">
        <v>50823</v>
      </c>
      <c r="H9" s="31">
        <v>52173</v>
      </c>
      <c r="I9" s="31">
        <v>51451</v>
      </c>
      <c r="J9" s="31">
        <v>62885</v>
      </c>
      <c r="K9" s="31">
        <v>62884</v>
      </c>
      <c r="L9" s="31">
        <v>62885</v>
      </c>
      <c r="M9" s="31">
        <v>62884</v>
      </c>
      <c r="N9" s="99">
        <f t="shared" ref="N9:N17" si="0">SUM(B9:M9)</f>
        <v>696868</v>
      </c>
      <c r="O9" s="214"/>
      <c r="P9" s="423"/>
    </row>
    <row r="10" spans="1:16" ht="15.95" customHeight="1" x14ac:dyDescent="0.2">
      <c r="A10" s="267" t="s">
        <v>430</v>
      </c>
      <c r="B10" s="31"/>
      <c r="C10" s="31">
        <v>18241</v>
      </c>
      <c r="D10" s="31"/>
      <c r="E10" s="31">
        <v>0</v>
      </c>
      <c r="F10" s="31"/>
      <c r="G10" s="31"/>
      <c r="H10" s="31">
        <v>0</v>
      </c>
      <c r="I10" s="31"/>
      <c r="J10" s="31"/>
      <c r="K10" s="31"/>
      <c r="L10" s="31"/>
      <c r="M10" s="31">
        <v>49245</v>
      </c>
      <c r="N10" s="99">
        <f t="shared" si="0"/>
        <v>67486</v>
      </c>
      <c r="O10" s="35"/>
      <c r="P10" s="423"/>
    </row>
    <row r="11" spans="1:16" ht="15.75" customHeight="1" x14ac:dyDescent="0.2">
      <c r="A11" s="119" t="s">
        <v>330</v>
      </c>
      <c r="B11" s="31">
        <v>2920</v>
      </c>
      <c r="C11" s="31">
        <v>6724</v>
      </c>
      <c r="D11" s="31">
        <v>179941</v>
      </c>
      <c r="E11" s="31">
        <v>24894</v>
      </c>
      <c r="F11" s="31">
        <v>34022</v>
      </c>
      <c r="G11" s="31">
        <v>17705</v>
      </c>
      <c r="H11" s="31">
        <v>20000</v>
      </c>
      <c r="I11" s="31">
        <v>30000</v>
      </c>
      <c r="J11" s="31">
        <v>210000</v>
      </c>
      <c r="K11" s="31">
        <v>5000</v>
      </c>
      <c r="L11" s="31">
        <v>5000</v>
      </c>
      <c r="M11" s="31">
        <v>5114</v>
      </c>
      <c r="N11" s="99">
        <f t="shared" si="0"/>
        <v>541320</v>
      </c>
      <c r="O11" s="35"/>
      <c r="P11" s="423"/>
    </row>
    <row r="12" spans="1:16" ht="15.95" customHeight="1" x14ac:dyDescent="0.2">
      <c r="A12" s="98" t="s">
        <v>331</v>
      </c>
      <c r="B12" s="31">
        <v>3732</v>
      </c>
      <c r="C12" s="31">
        <v>2243</v>
      </c>
      <c r="D12" s="31">
        <v>4671</v>
      </c>
      <c r="E12" s="31">
        <v>2733</v>
      </c>
      <c r="F12" s="31">
        <v>2234</v>
      </c>
      <c r="G12" s="31">
        <v>2743</v>
      </c>
      <c r="H12" s="31">
        <v>2822</v>
      </c>
      <c r="I12" s="31">
        <v>2570</v>
      </c>
      <c r="J12" s="31">
        <v>23469</v>
      </c>
      <c r="K12" s="31">
        <v>23470</v>
      </c>
      <c r="L12" s="31">
        <v>23469</v>
      </c>
      <c r="M12" s="31">
        <v>23470</v>
      </c>
      <c r="N12" s="99">
        <f t="shared" si="0"/>
        <v>117626</v>
      </c>
      <c r="O12" s="35"/>
      <c r="P12" s="423"/>
    </row>
    <row r="13" spans="1:16" ht="15.95" customHeight="1" x14ac:dyDescent="0.2">
      <c r="A13" s="98" t="s">
        <v>333</v>
      </c>
      <c r="B13" s="31">
        <v>2400</v>
      </c>
      <c r="C13" s="31">
        <v>0</v>
      </c>
      <c r="D13" s="31">
        <v>20000</v>
      </c>
      <c r="E13" s="31"/>
      <c r="F13" s="31">
        <v>300</v>
      </c>
      <c r="G13" s="31">
        <v>50000</v>
      </c>
      <c r="H13" s="31">
        <v>0</v>
      </c>
      <c r="I13" s="31">
        <v>25700</v>
      </c>
      <c r="J13" s="31"/>
      <c r="K13" s="31"/>
      <c r="L13" s="31"/>
      <c r="M13" s="31">
        <v>300</v>
      </c>
      <c r="N13" s="99">
        <f t="shared" si="0"/>
        <v>98700</v>
      </c>
      <c r="O13" s="35"/>
      <c r="P13" s="423"/>
    </row>
    <row r="14" spans="1:16" ht="15.95" customHeight="1" x14ac:dyDescent="0.2">
      <c r="A14" s="98" t="s">
        <v>332</v>
      </c>
      <c r="B14" s="31"/>
      <c r="C14" s="31">
        <v>893</v>
      </c>
      <c r="D14" s="31"/>
      <c r="E14" s="31"/>
      <c r="F14" s="31"/>
      <c r="G14" s="31"/>
      <c r="H14" s="31"/>
      <c r="I14" s="31"/>
      <c r="J14" s="31"/>
      <c r="K14" s="31"/>
      <c r="L14" s="31"/>
      <c r="M14" s="31">
        <v>35000</v>
      </c>
      <c r="N14" s="99">
        <f t="shared" si="0"/>
        <v>35893</v>
      </c>
      <c r="O14" s="35"/>
      <c r="P14" s="423"/>
    </row>
    <row r="15" spans="1:16" ht="15.95" customHeight="1" x14ac:dyDescent="0.2">
      <c r="A15" s="98" t="s">
        <v>431</v>
      </c>
      <c r="B15" s="31"/>
      <c r="C15" s="31"/>
      <c r="D15" s="31"/>
      <c r="E15" s="31">
        <v>10000</v>
      </c>
      <c r="F15" s="31">
        <v>0</v>
      </c>
      <c r="G15" s="31"/>
      <c r="H15" s="31"/>
      <c r="I15" s="31"/>
      <c r="J15" s="31">
        <v>10300</v>
      </c>
      <c r="K15" s="31"/>
      <c r="L15" s="31"/>
      <c r="M15" s="31"/>
      <c r="N15" s="99">
        <f t="shared" si="0"/>
        <v>20300</v>
      </c>
      <c r="O15" s="35"/>
      <c r="P15" s="423"/>
    </row>
    <row r="16" spans="1:16" ht="15.95" customHeight="1" x14ac:dyDescent="0.2">
      <c r="A16" s="98" t="s">
        <v>396</v>
      </c>
      <c r="B16" s="31">
        <v>143000</v>
      </c>
      <c r="C16" s="31">
        <v>95000</v>
      </c>
      <c r="D16" s="31"/>
      <c r="E16" s="31">
        <v>55000</v>
      </c>
      <c r="F16" s="31">
        <v>612000</v>
      </c>
      <c r="G16" s="31"/>
      <c r="H16" s="31"/>
      <c r="I16" s="31">
        <v>50000</v>
      </c>
      <c r="J16" s="31"/>
      <c r="K16" s="31">
        <v>100000</v>
      </c>
      <c r="L16" s="31">
        <v>100000</v>
      </c>
      <c r="M16" s="31">
        <v>472918</v>
      </c>
      <c r="N16" s="99">
        <f t="shared" ref="N16" si="1">SUM(B16:M16)</f>
        <v>1627918</v>
      </c>
      <c r="O16" s="35"/>
      <c r="P16" s="423"/>
    </row>
    <row r="17" spans="1:17" ht="32.25" customHeight="1" x14ac:dyDescent="0.2">
      <c r="A17" s="119" t="s">
        <v>1019</v>
      </c>
      <c r="B17" s="31"/>
      <c r="C17" s="31"/>
      <c r="D17" s="31"/>
      <c r="E17" s="31"/>
      <c r="F17" s="649">
        <v>0</v>
      </c>
      <c r="G17" s="31">
        <v>27563</v>
      </c>
      <c r="H17" s="31">
        <v>0</v>
      </c>
      <c r="I17" s="31">
        <v>27563</v>
      </c>
      <c r="J17" s="31">
        <v>165000</v>
      </c>
      <c r="K17" s="31"/>
      <c r="L17" s="31"/>
      <c r="M17" s="31">
        <v>129874</v>
      </c>
      <c r="N17" s="99">
        <f t="shared" si="0"/>
        <v>350000</v>
      </c>
      <c r="O17" s="35"/>
      <c r="P17" s="423"/>
    </row>
    <row r="18" spans="1:17" ht="15.95" customHeight="1" x14ac:dyDescent="0.2">
      <c r="A18" s="100" t="s">
        <v>82</v>
      </c>
      <c r="B18" s="33">
        <f t="shared" ref="B18:N18" si="2">SUM(B9:B17)</f>
        <v>225248</v>
      </c>
      <c r="C18" s="33">
        <f t="shared" si="2"/>
        <v>171399</v>
      </c>
      <c r="D18" s="33">
        <f t="shared" si="2"/>
        <v>257151</v>
      </c>
      <c r="E18" s="33">
        <f t="shared" si="2"/>
        <v>145464</v>
      </c>
      <c r="F18" s="33">
        <f t="shared" si="2"/>
        <v>712569</v>
      </c>
      <c r="G18" s="33">
        <f t="shared" si="2"/>
        <v>148834</v>
      </c>
      <c r="H18" s="33">
        <f>SUM(H9:H17)</f>
        <v>74995</v>
      </c>
      <c r="I18" s="33">
        <f t="shared" si="2"/>
        <v>187284</v>
      </c>
      <c r="J18" s="33">
        <f t="shared" si="2"/>
        <v>471654</v>
      </c>
      <c r="K18" s="33">
        <f t="shared" si="2"/>
        <v>191354</v>
      </c>
      <c r="L18" s="33">
        <f t="shared" si="2"/>
        <v>191354</v>
      </c>
      <c r="M18" s="33">
        <f t="shared" si="2"/>
        <v>778805</v>
      </c>
      <c r="N18" s="99">
        <f t="shared" si="2"/>
        <v>3556111</v>
      </c>
      <c r="O18" s="35"/>
      <c r="P18" s="423"/>
      <c r="Q18" s="74"/>
    </row>
    <row r="19" spans="1:17" ht="16.5" customHeight="1" x14ac:dyDescent="0.2">
      <c r="A19" s="100" t="s">
        <v>83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99"/>
      <c r="O19" s="90"/>
    </row>
    <row r="20" spans="1:17" ht="15.95" customHeight="1" x14ac:dyDescent="0.2">
      <c r="A20" s="98" t="s">
        <v>84</v>
      </c>
      <c r="B20" s="31">
        <v>93963</v>
      </c>
      <c r="C20" s="31">
        <v>83676</v>
      </c>
      <c r="D20" s="31">
        <v>110148</v>
      </c>
      <c r="E20" s="31">
        <v>188638</v>
      </c>
      <c r="F20" s="31">
        <v>96966</v>
      </c>
      <c r="G20" s="31">
        <v>116661</v>
      </c>
      <c r="H20" s="31">
        <v>119616</v>
      </c>
      <c r="I20" s="31">
        <v>68295</v>
      </c>
      <c r="J20" s="31">
        <f>194201-78</f>
        <v>194123</v>
      </c>
      <c r="K20" s="31">
        <f>194202+3443+448</f>
        <v>198093</v>
      </c>
      <c r="L20" s="31">
        <v>194202</v>
      </c>
      <c r="M20" s="31">
        <v>194201</v>
      </c>
      <c r="N20" s="99">
        <f t="shared" ref="N20:N25" si="3">SUM(B20:M20)</f>
        <v>1658582</v>
      </c>
      <c r="O20" s="214"/>
      <c r="P20" s="423"/>
      <c r="Q20" s="74"/>
    </row>
    <row r="21" spans="1:17" ht="15.95" customHeight="1" x14ac:dyDescent="0.2">
      <c r="A21" s="98" t="s">
        <v>85</v>
      </c>
      <c r="B21" s="31">
        <v>3424</v>
      </c>
      <c r="C21" s="31">
        <v>102044</v>
      </c>
      <c r="D21" s="31">
        <v>192951</v>
      </c>
      <c r="E21" s="31">
        <v>62047</v>
      </c>
      <c r="F21" s="31">
        <v>52079</v>
      </c>
      <c r="G21" s="31">
        <v>72404</v>
      </c>
      <c r="H21" s="31">
        <v>4276</v>
      </c>
      <c r="I21" s="31">
        <v>103782</v>
      </c>
      <c r="J21" s="31">
        <v>18637</v>
      </c>
      <c r="K21" s="31">
        <v>288438</v>
      </c>
      <c r="L21" s="31"/>
      <c r="M21" s="31"/>
      <c r="N21" s="99">
        <f t="shared" si="3"/>
        <v>900082</v>
      </c>
      <c r="O21" s="214"/>
      <c r="P21" s="423"/>
      <c r="Q21" s="74"/>
    </row>
    <row r="22" spans="1:17" ht="15.95" customHeight="1" x14ac:dyDescent="0.2">
      <c r="A22" s="98" t="s">
        <v>1119</v>
      </c>
      <c r="B22" s="31"/>
      <c r="C22" s="31"/>
      <c r="D22" s="31"/>
      <c r="E22" s="31"/>
      <c r="F22" s="31">
        <v>680</v>
      </c>
      <c r="G22" s="31"/>
      <c r="H22" s="31"/>
      <c r="I22" s="31"/>
      <c r="J22" s="31">
        <v>849785</v>
      </c>
      <c r="K22" s="31"/>
      <c r="L22" s="31"/>
      <c r="M22" s="31"/>
      <c r="N22" s="99">
        <f t="shared" si="3"/>
        <v>850465</v>
      </c>
      <c r="O22" s="35"/>
      <c r="P22" s="423"/>
    </row>
    <row r="23" spans="1:17" ht="15.95" customHeight="1" x14ac:dyDescent="0.2">
      <c r="A23" s="98" t="s">
        <v>409</v>
      </c>
      <c r="B23" s="31">
        <v>19597</v>
      </c>
      <c r="C23" s="31"/>
      <c r="D23" s="31">
        <v>14539</v>
      </c>
      <c r="E23" s="31"/>
      <c r="F23" s="31"/>
      <c r="G23" s="31">
        <v>14539</v>
      </c>
      <c r="H23" s="31"/>
      <c r="I23" s="31"/>
      <c r="J23" s="31">
        <v>14539</v>
      </c>
      <c r="K23" s="31"/>
      <c r="L23" s="31"/>
      <c r="M23" s="31">
        <v>42171</v>
      </c>
      <c r="N23" s="99">
        <f t="shared" si="3"/>
        <v>105385</v>
      </c>
      <c r="O23" s="35"/>
      <c r="P23" s="423"/>
      <c r="Q23" s="74"/>
    </row>
    <row r="24" spans="1:17" ht="16.5" customHeight="1" x14ac:dyDescent="0.2">
      <c r="A24" s="119" t="s">
        <v>791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>
        <f>64047-3891+78-18637</f>
        <v>41597</v>
      </c>
      <c r="N24" s="99">
        <f t="shared" si="3"/>
        <v>41597</v>
      </c>
      <c r="O24" s="35"/>
    </row>
    <row r="25" spans="1:17" ht="15.95" customHeight="1" x14ac:dyDescent="0.2">
      <c r="A25" s="100" t="s">
        <v>86</v>
      </c>
      <c r="B25" s="33">
        <f t="shared" ref="B25:M25" si="4">SUM(B20:B24)</f>
        <v>116984</v>
      </c>
      <c r="C25" s="33">
        <f t="shared" si="4"/>
        <v>185720</v>
      </c>
      <c r="D25" s="33">
        <f t="shared" si="4"/>
        <v>317638</v>
      </c>
      <c r="E25" s="33">
        <f t="shared" si="4"/>
        <v>250685</v>
      </c>
      <c r="F25" s="33">
        <f t="shared" si="4"/>
        <v>149725</v>
      </c>
      <c r="G25" s="33">
        <f t="shared" si="4"/>
        <v>203604</v>
      </c>
      <c r="H25" s="33">
        <f t="shared" si="4"/>
        <v>123892</v>
      </c>
      <c r="I25" s="33">
        <f t="shared" si="4"/>
        <v>172077</v>
      </c>
      <c r="J25" s="33">
        <f t="shared" si="4"/>
        <v>1077084</v>
      </c>
      <c r="K25" s="33">
        <f t="shared" si="4"/>
        <v>486531</v>
      </c>
      <c r="L25" s="33">
        <f t="shared" si="4"/>
        <v>194202</v>
      </c>
      <c r="M25" s="33">
        <f t="shared" si="4"/>
        <v>277969</v>
      </c>
      <c r="N25" s="99">
        <f t="shared" si="3"/>
        <v>3556111</v>
      </c>
      <c r="O25" s="35"/>
      <c r="P25" s="423"/>
      <c r="Q25" s="74"/>
    </row>
    <row r="26" spans="1:17" ht="15.95" customHeight="1" x14ac:dyDescent="0.2">
      <c r="A26" s="100" t="s">
        <v>87</v>
      </c>
      <c r="B26" s="101">
        <f t="shared" ref="B26:N26" si="5">SUM(B18-B25)</f>
        <v>108264</v>
      </c>
      <c r="C26" s="101">
        <f t="shared" si="5"/>
        <v>-14321</v>
      </c>
      <c r="D26" s="101">
        <f t="shared" si="5"/>
        <v>-60487</v>
      </c>
      <c r="E26" s="101">
        <f t="shared" si="5"/>
        <v>-105221</v>
      </c>
      <c r="F26" s="101">
        <f t="shared" si="5"/>
        <v>562844</v>
      </c>
      <c r="G26" s="101">
        <f t="shared" si="5"/>
        <v>-54770</v>
      </c>
      <c r="H26" s="101">
        <f t="shared" si="5"/>
        <v>-48897</v>
      </c>
      <c r="I26" s="101">
        <f t="shared" si="5"/>
        <v>15207</v>
      </c>
      <c r="J26" s="101">
        <f t="shared" si="5"/>
        <v>-605430</v>
      </c>
      <c r="K26" s="101">
        <f t="shared" si="5"/>
        <v>-295177</v>
      </c>
      <c r="L26" s="101">
        <f t="shared" si="5"/>
        <v>-2848</v>
      </c>
      <c r="M26" s="101">
        <f t="shared" si="5"/>
        <v>500836</v>
      </c>
      <c r="N26" s="99">
        <f t="shared" si="5"/>
        <v>0</v>
      </c>
      <c r="O26" s="35"/>
      <c r="P26" s="423"/>
    </row>
    <row r="27" spans="1:17" ht="15.95" customHeight="1" thickBot="1" x14ac:dyDescent="0.25">
      <c r="A27" s="102" t="s">
        <v>88</v>
      </c>
      <c r="B27" s="103">
        <f>SUM(B26)</f>
        <v>108264</v>
      </c>
      <c r="C27" s="103">
        <f t="shared" ref="C27:M27" si="6">B27+C18-C25</f>
        <v>93943</v>
      </c>
      <c r="D27" s="103">
        <f t="shared" si="6"/>
        <v>33456</v>
      </c>
      <c r="E27" s="103">
        <f t="shared" si="6"/>
        <v>-71765</v>
      </c>
      <c r="F27" s="103">
        <f t="shared" si="6"/>
        <v>491079</v>
      </c>
      <c r="G27" s="103">
        <f t="shared" si="6"/>
        <v>436309</v>
      </c>
      <c r="H27" s="103">
        <f t="shared" si="6"/>
        <v>387412</v>
      </c>
      <c r="I27" s="103">
        <f t="shared" si="6"/>
        <v>402619</v>
      </c>
      <c r="J27" s="103">
        <f t="shared" si="6"/>
        <v>-202811</v>
      </c>
      <c r="K27" s="103">
        <f t="shared" si="6"/>
        <v>-497988</v>
      </c>
      <c r="L27" s="103">
        <f t="shared" si="6"/>
        <v>-500836</v>
      </c>
      <c r="M27" s="103">
        <f t="shared" si="6"/>
        <v>0</v>
      </c>
      <c r="N27" s="104">
        <f>SUM(N26)</f>
        <v>0</v>
      </c>
      <c r="O27" s="35"/>
      <c r="P27" s="423"/>
    </row>
    <row r="28" spans="1:17" ht="18" customHeight="1" x14ac:dyDescent="0.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105"/>
      <c r="O28" s="35"/>
      <c r="P28" s="423"/>
    </row>
    <row r="29" spans="1:17" ht="18" customHeight="1" x14ac:dyDescent="0.2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105"/>
      <c r="O29" s="9"/>
    </row>
    <row r="30" spans="1:17" ht="15.95" customHeight="1" x14ac:dyDescent="0.2">
      <c r="A30" s="52"/>
      <c r="B30" s="52"/>
      <c r="C30" s="52"/>
      <c r="D30" s="52"/>
      <c r="E30" s="52"/>
      <c r="F30" s="52"/>
      <c r="G30" s="106"/>
      <c r="H30" s="52"/>
      <c r="I30" s="52"/>
      <c r="J30" s="52"/>
      <c r="K30" s="52"/>
      <c r="L30" s="52"/>
      <c r="M30" s="52"/>
      <c r="N30" s="105"/>
      <c r="O30" s="425"/>
    </row>
    <row r="31" spans="1:17" ht="15.95" customHeight="1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105"/>
      <c r="O31" s="425"/>
    </row>
    <row r="32" spans="1:17" ht="15.95" customHeight="1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105"/>
      <c r="O32" s="425"/>
    </row>
    <row r="33" spans="1:15" ht="15.95" customHeight="1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105"/>
      <c r="O33" s="425"/>
    </row>
    <row r="34" spans="1:15" ht="15.95" customHeight="1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105"/>
      <c r="O34" s="425"/>
    </row>
    <row r="35" spans="1:15" ht="15" customHeight="1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5" ht="14.1" customHeight="1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5" ht="14.1" customHeight="1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1:15" ht="14.1" customHeight="1" x14ac:dyDescent="0.2"/>
    <row r="39" spans="1:15" ht="14.1" customHeight="1" x14ac:dyDescent="0.2"/>
  </sheetData>
  <mergeCells count="1">
    <mergeCell ref="A4:N4"/>
  </mergeCells>
  <pageMargins left="0.42" right="0.19685039370078741" top="0.74803149606299213" bottom="0.98425196850393704" header="0.51181102362204722" footer="0.51181102362204722"/>
  <pageSetup paperSize="9" scale="9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743"/>
  <sheetViews>
    <sheetView topLeftCell="A40" zoomScaleNormal="100" workbookViewId="0">
      <selection activeCell="E71" sqref="E71"/>
    </sheetView>
  </sheetViews>
  <sheetFormatPr defaultRowHeight="12.75" x14ac:dyDescent="0.2"/>
  <cols>
    <col min="1" max="1" width="6.28515625" style="2" customWidth="1"/>
    <col min="2" max="2" width="71.28515625" customWidth="1"/>
    <col min="3" max="6" width="13.7109375" style="35" customWidth="1"/>
    <col min="8" max="8" width="13" hidden="1" customWidth="1"/>
  </cols>
  <sheetData>
    <row r="1" spans="1:20" ht="15" customHeight="1" x14ac:dyDescent="0.3">
      <c r="A1" s="54"/>
      <c r="B1" s="175"/>
      <c r="D1" s="176"/>
      <c r="E1" s="176"/>
      <c r="F1" s="176" t="s">
        <v>329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" customHeight="1" x14ac:dyDescent="0.3">
      <c r="A2" s="54"/>
      <c r="B2" s="175"/>
      <c r="D2" s="176"/>
      <c r="E2" s="176"/>
      <c r="F2" s="176" t="str">
        <f>'1.Bev-kiad.'!E2</f>
        <v>a 13/2024.(IX.30.) önkormányzati rendelethez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" customHeight="1" x14ac:dyDescent="0.3">
      <c r="A3" s="54"/>
      <c r="B3" s="175"/>
      <c r="D3" s="176"/>
      <c r="E3" s="17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9.5" x14ac:dyDescent="0.35">
      <c r="A4" s="652" t="s">
        <v>24</v>
      </c>
      <c r="B4" s="652"/>
      <c r="C4" s="660"/>
      <c r="D4" s="660"/>
      <c r="E4" s="660"/>
      <c r="F4" s="66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9.5" x14ac:dyDescent="0.35">
      <c r="A5" s="652" t="s">
        <v>894</v>
      </c>
      <c r="B5" s="652"/>
      <c r="C5" s="660"/>
      <c r="D5" s="660"/>
      <c r="E5" s="660"/>
      <c r="F5" s="660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3.5" thickBot="1" x14ac:dyDescent="0.25">
      <c r="A6" s="54"/>
      <c r="B6" s="54"/>
      <c r="D6" s="176"/>
      <c r="E6" s="176"/>
      <c r="F6" s="176" t="s">
        <v>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53.25" customHeight="1" thickBot="1" x14ac:dyDescent="0.25">
      <c r="A7" s="212" t="s">
        <v>109</v>
      </c>
      <c r="B7" s="43" t="s">
        <v>343</v>
      </c>
      <c r="C7" s="43" t="s">
        <v>678</v>
      </c>
      <c r="D7" s="43" t="s">
        <v>723</v>
      </c>
      <c r="E7" s="43" t="s">
        <v>833</v>
      </c>
      <c r="F7" s="43" t="s">
        <v>895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22.5" customHeight="1" x14ac:dyDescent="0.2">
      <c r="A8" s="143" t="s">
        <v>322</v>
      </c>
      <c r="B8" s="221" t="s">
        <v>309</v>
      </c>
      <c r="C8" s="168">
        <f>SUM(C9:C50)</f>
        <v>1529804</v>
      </c>
      <c r="D8" s="168">
        <f>SUM(D9:D50)</f>
        <v>1415300</v>
      </c>
      <c r="E8" s="168">
        <f>SUM(E9:E50)</f>
        <v>1415300</v>
      </c>
      <c r="F8" s="168">
        <f>SUM(F9:F50)</f>
        <v>1335300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8" customHeight="1" x14ac:dyDescent="0.25">
      <c r="A9" s="14" t="s">
        <v>111</v>
      </c>
      <c r="B9" s="22" t="s">
        <v>211</v>
      </c>
      <c r="C9" s="36">
        <f>SUM('1.Bev-kiad.'!C9)</f>
        <v>667449</v>
      </c>
      <c r="D9" s="36">
        <v>660000</v>
      </c>
      <c r="E9" s="36">
        <v>660000</v>
      </c>
      <c r="F9" s="36">
        <v>660000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3.5" hidden="1" customHeight="1" x14ac:dyDescent="0.2">
      <c r="A10" s="8" t="s">
        <v>112</v>
      </c>
      <c r="B10" s="8" t="s">
        <v>120</v>
      </c>
      <c r="C10" s="5"/>
      <c r="D10" s="5"/>
      <c r="E10" s="5"/>
      <c r="F10" s="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3.5" hidden="1" customHeight="1" x14ac:dyDescent="0.2">
      <c r="A11" s="8" t="s">
        <v>161</v>
      </c>
      <c r="B11" s="8" t="s">
        <v>162</v>
      </c>
      <c r="C11" s="5"/>
      <c r="D11" s="5"/>
      <c r="E11" s="5"/>
      <c r="F11" s="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3.5" hidden="1" customHeight="1" x14ac:dyDescent="0.2">
      <c r="A12" s="8" t="s">
        <v>113</v>
      </c>
      <c r="B12" s="8" t="s">
        <v>117</v>
      </c>
      <c r="C12" s="6"/>
      <c r="D12" s="6"/>
      <c r="E12" s="6"/>
      <c r="F12" s="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3.5" hidden="1" customHeight="1" x14ac:dyDescent="0.2">
      <c r="A13" s="8" t="s">
        <v>114</v>
      </c>
      <c r="B13" s="8" t="s">
        <v>118</v>
      </c>
      <c r="C13" s="11"/>
      <c r="D13" s="11"/>
      <c r="E13" s="11"/>
      <c r="F13" s="1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3.5" hidden="1" customHeight="1" x14ac:dyDescent="0.2">
      <c r="A14" s="8" t="s">
        <v>115</v>
      </c>
      <c r="B14" s="8" t="s">
        <v>119</v>
      </c>
      <c r="C14" s="13"/>
      <c r="D14" s="13"/>
      <c r="E14" s="13"/>
      <c r="F14" s="1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2.75" hidden="1" customHeight="1" x14ac:dyDescent="0.2">
      <c r="A15" s="8" t="s">
        <v>116</v>
      </c>
      <c r="B15" s="8" t="s">
        <v>121</v>
      </c>
      <c r="C15" s="13"/>
      <c r="D15" s="13"/>
      <c r="E15" s="13"/>
      <c r="F15" s="1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8" customHeight="1" x14ac:dyDescent="0.25">
      <c r="A16" s="14" t="s">
        <v>122</v>
      </c>
      <c r="B16" s="22" t="s">
        <v>212</v>
      </c>
      <c r="C16" s="40">
        <f>SUM('1.Bev-kiad.'!C16)</f>
        <v>67335</v>
      </c>
      <c r="D16" s="40">
        <v>0</v>
      </c>
      <c r="E16" s="40">
        <v>0</v>
      </c>
      <c r="F16" s="40"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12.75" hidden="1" customHeight="1" x14ac:dyDescent="0.2">
      <c r="A17" s="8" t="s">
        <v>123</v>
      </c>
      <c r="B17" s="8" t="s">
        <v>130</v>
      </c>
      <c r="C17" s="5"/>
      <c r="D17" s="5"/>
      <c r="E17" s="5"/>
      <c r="F17" s="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2.75" hidden="1" customHeight="1" x14ac:dyDescent="0.2">
      <c r="A18" s="8" t="s">
        <v>163</v>
      </c>
      <c r="B18" s="8" t="s">
        <v>164</v>
      </c>
      <c r="C18" s="13"/>
      <c r="D18" s="13"/>
      <c r="E18" s="13"/>
      <c r="F18" s="1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2.75" hidden="1" customHeight="1" x14ac:dyDescent="0.2">
      <c r="A19" s="8" t="s">
        <v>124</v>
      </c>
      <c r="B19" s="8" t="s">
        <v>127</v>
      </c>
      <c r="C19" s="13"/>
      <c r="D19" s="13"/>
      <c r="E19" s="13"/>
      <c r="F19" s="1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12.75" hidden="1" customHeight="1" x14ac:dyDescent="0.2">
      <c r="A20" s="8" t="s">
        <v>125</v>
      </c>
      <c r="B20" s="8" t="s">
        <v>128</v>
      </c>
      <c r="C20" s="13"/>
      <c r="D20" s="13"/>
      <c r="E20" s="13"/>
      <c r="F20" s="1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2.75" hidden="1" customHeight="1" x14ac:dyDescent="0.2">
      <c r="A21" s="8" t="s">
        <v>126</v>
      </c>
      <c r="B21" s="8" t="s">
        <v>129</v>
      </c>
      <c r="C21" s="13"/>
      <c r="D21" s="13"/>
      <c r="E21" s="13"/>
      <c r="F21" s="1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8" customHeight="1" x14ac:dyDescent="0.25">
      <c r="A22" s="14" t="s">
        <v>131</v>
      </c>
      <c r="B22" s="22" t="s">
        <v>95</v>
      </c>
      <c r="C22" s="40">
        <f>SUM('1.Bev-kiad.'!C22)</f>
        <v>538820</v>
      </c>
      <c r="D22" s="40">
        <v>540000</v>
      </c>
      <c r="E22" s="40">
        <v>540000</v>
      </c>
      <c r="F22" s="40">
        <v>540000</v>
      </c>
      <c r="G22" s="2"/>
      <c r="H22" s="7">
        <v>540000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2.75" hidden="1" customHeight="1" x14ac:dyDescent="0.2">
      <c r="A23" s="8" t="s">
        <v>132</v>
      </c>
      <c r="B23" s="8" t="s">
        <v>138</v>
      </c>
      <c r="C23" s="13"/>
      <c r="D23" s="13"/>
      <c r="E23" s="13"/>
      <c r="F23" s="1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2.75" hidden="1" customHeight="1" x14ac:dyDescent="0.2">
      <c r="A24" s="8" t="s">
        <v>133</v>
      </c>
      <c r="B24" s="8" t="s">
        <v>139</v>
      </c>
      <c r="C24" s="13"/>
      <c r="D24" s="13"/>
      <c r="E24" s="13"/>
      <c r="F24" s="1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2.75" hidden="1" customHeight="1" x14ac:dyDescent="0.2">
      <c r="A25" s="8" t="s">
        <v>134</v>
      </c>
      <c r="B25" s="19" t="s">
        <v>140</v>
      </c>
      <c r="C25" s="47"/>
      <c r="D25" s="47"/>
      <c r="E25" s="47"/>
      <c r="F25" s="4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2.75" hidden="1" customHeight="1" x14ac:dyDescent="0.2">
      <c r="A26" s="8" t="s">
        <v>135</v>
      </c>
      <c r="B26" s="8" t="s">
        <v>167</v>
      </c>
      <c r="C26" s="37"/>
      <c r="D26" s="37"/>
      <c r="E26" s="37"/>
      <c r="F26" s="3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s="48" customFormat="1" ht="12.75" hidden="1" customHeight="1" x14ac:dyDescent="0.2">
      <c r="A27" s="8" t="s">
        <v>136</v>
      </c>
      <c r="B27" s="8" t="s">
        <v>168</v>
      </c>
      <c r="C27" s="13"/>
      <c r="D27" s="13"/>
      <c r="E27" s="13"/>
      <c r="F27" s="1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s="48" customFormat="1" ht="12.75" hidden="1" customHeight="1" x14ac:dyDescent="0.2">
      <c r="A28" s="8" t="s">
        <v>137</v>
      </c>
      <c r="B28" s="8" t="s">
        <v>141</v>
      </c>
      <c r="C28" s="13"/>
      <c r="D28" s="13"/>
      <c r="E28" s="13"/>
      <c r="F28" s="1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s="48" customFormat="1" ht="18" customHeight="1" x14ac:dyDescent="0.25">
      <c r="A29" s="14" t="s">
        <v>142</v>
      </c>
      <c r="B29" s="22" t="s">
        <v>213</v>
      </c>
      <c r="C29" s="40">
        <f>SUM('1.Bev-kiad.'!C29)</f>
        <v>125200</v>
      </c>
      <c r="D29" s="40">
        <f>87000+80000</f>
        <v>167000</v>
      </c>
      <c r="E29" s="40">
        <f>87000+80000</f>
        <v>167000</v>
      </c>
      <c r="F29" s="40">
        <v>87000</v>
      </c>
      <c r="G29" s="2"/>
      <c r="H29" s="2">
        <v>15000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3.5" hidden="1" customHeight="1" x14ac:dyDescent="0.2">
      <c r="A30" s="8" t="s">
        <v>145</v>
      </c>
      <c r="B30" s="8" t="s">
        <v>143</v>
      </c>
      <c r="C30" s="13"/>
      <c r="D30" s="13"/>
      <c r="E30" s="13"/>
      <c r="F30" s="1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s="48" customFormat="1" ht="13.5" hidden="1" customHeight="1" x14ac:dyDescent="0.2">
      <c r="A31" s="8" t="s">
        <v>146</v>
      </c>
      <c r="B31" s="8" t="s">
        <v>144</v>
      </c>
      <c r="C31" s="13"/>
      <c r="D31" s="13"/>
      <c r="E31" s="13"/>
      <c r="F31" s="1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s="48" customFormat="1" ht="13.5" hidden="1" customHeight="1" x14ac:dyDescent="0.2">
      <c r="A32" s="8" t="s">
        <v>147</v>
      </c>
      <c r="B32" s="8" t="s">
        <v>150</v>
      </c>
      <c r="C32" s="11"/>
      <c r="D32" s="11"/>
      <c r="E32" s="11"/>
      <c r="F32" s="1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3.5" hidden="1" customHeight="1" x14ac:dyDescent="0.2">
      <c r="A33" s="8" t="s">
        <v>148</v>
      </c>
      <c r="B33" s="19" t="s">
        <v>151</v>
      </c>
      <c r="C33" s="8"/>
      <c r="D33" s="8"/>
      <c r="E33" s="8"/>
      <c r="F33" s="8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2.75" hidden="1" customHeight="1" x14ac:dyDescent="0.2">
      <c r="A34" s="8" t="s">
        <v>149</v>
      </c>
      <c r="B34" s="19" t="s">
        <v>152</v>
      </c>
      <c r="C34" s="8"/>
      <c r="D34" s="8"/>
      <c r="E34" s="8"/>
      <c r="F34" s="8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2.75" hidden="1" customHeight="1" x14ac:dyDescent="0.2">
      <c r="A35" s="8" t="s">
        <v>153</v>
      </c>
      <c r="B35" s="19" t="s">
        <v>154</v>
      </c>
      <c r="C35" s="8"/>
      <c r="D35" s="8"/>
      <c r="E35" s="8"/>
      <c r="F35" s="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2.75" hidden="1" customHeight="1" x14ac:dyDescent="0.2">
      <c r="A36" s="8" t="s">
        <v>155</v>
      </c>
      <c r="B36" s="19" t="s">
        <v>156</v>
      </c>
      <c r="C36" s="8"/>
      <c r="D36" s="8"/>
      <c r="E36" s="8"/>
      <c r="F36" s="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2.75" hidden="1" customHeight="1" x14ac:dyDescent="0.2">
      <c r="A37" s="8" t="s">
        <v>157</v>
      </c>
      <c r="B37" s="19" t="s">
        <v>158</v>
      </c>
      <c r="C37" s="8"/>
      <c r="D37" s="8"/>
      <c r="E37" s="8"/>
      <c r="F37" s="8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2.75" hidden="1" customHeight="1" x14ac:dyDescent="0.2">
      <c r="A38" s="8" t="s">
        <v>159</v>
      </c>
      <c r="B38" s="19" t="s">
        <v>160</v>
      </c>
      <c r="C38" s="8"/>
      <c r="D38" s="8"/>
      <c r="E38" s="8"/>
      <c r="F38" s="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2.75" hidden="1" customHeight="1" x14ac:dyDescent="0.2">
      <c r="A39" s="8" t="s">
        <v>165</v>
      </c>
      <c r="B39" s="19" t="s">
        <v>166</v>
      </c>
      <c r="C39" s="8"/>
      <c r="D39" s="8"/>
      <c r="E39" s="8"/>
      <c r="F39" s="8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7.25" customHeight="1" x14ac:dyDescent="0.25">
      <c r="A40" s="14" t="s">
        <v>169</v>
      </c>
      <c r="B40" s="22" t="s">
        <v>214</v>
      </c>
      <c r="C40" s="40">
        <f>SUM('1.Bev-kiad.'!C40)</f>
        <v>72700</v>
      </c>
      <c r="D40" s="40">
        <v>0</v>
      </c>
      <c r="E40" s="40">
        <v>0</v>
      </c>
      <c r="F40" s="40">
        <v>0</v>
      </c>
      <c r="G40" s="2"/>
      <c r="H40" s="2">
        <f>(H22+H29)/2</f>
        <v>277500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2.75" hidden="1" customHeight="1" x14ac:dyDescent="0.2">
      <c r="A41" s="8" t="s">
        <v>170</v>
      </c>
      <c r="B41" s="19" t="s">
        <v>175</v>
      </c>
      <c r="C41" s="8"/>
      <c r="D41" s="8"/>
      <c r="E41" s="8"/>
      <c r="F41" s="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2.75" hidden="1" customHeight="1" x14ac:dyDescent="0.2">
      <c r="A42" s="8" t="s">
        <v>171</v>
      </c>
      <c r="B42" s="19" t="s">
        <v>176</v>
      </c>
      <c r="C42" s="8"/>
      <c r="D42" s="8"/>
      <c r="E42" s="8"/>
      <c r="F42" s="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2.75" hidden="1" customHeight="1" x14ac:dyDescent="0.2">
      <c r="A43" s="8" t="s">
        <v>172</v>
      </c>
      <c r="B43" s="19" t="s">
        <v>177</v>
      </c>
      <c r="C43" s="8"/>
      <c r="D43" s="8"/>
      <c r="E43" s="8"/>
      <c r="F43" s="8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2.75" hidden="1" customHeight="1" x14ac:dyDescent="0.2">
      <c r="A44" s="8" t="s">
        <v>173</v>
      </c>
      <c r="B44" s="19" t="s">
        <v>178</v>
      </c>
      <c r="C44" s="8"/>
      <c r="D44" s="8"/>
      <c r="E44" s="8"/>
      <c r="F44" s="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2.75" hidden="1" customHeight="1" x14ac:dyDescent="0.2">
      <c r="A45" s="8" t="s">
        <v>174</v>
      </c>
      <c r="B45" s="19" t="s">
        <v>179</v>
      </c>
      <c r="C45" s="8"/>
      <c r="D45" s="8"/>
      <c r="E45" s="8"/>
      <c r="F45" s="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8" customHeight="1" x14ac:dyDescent="0.25">
      <c r="A46" s="14" t="s">
        <v>180</v>
      </c>
      <c r="B46" s="22" t="s">
        <v>215</v>
      </c>
      <c r="C46" s="40">
        <f>SUM('1.Bev-kiad.'!C46)</f>
        <v>38000</v>
      </c>
      <c r="D46" s="40">
        <v>38000</v>
      </c>
      <c r="E46" s="40">
        <v>38000</v>
      </c>
      <c r="F46" s="40">
        <v>38000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2.75" hidden="1" customHeight="1" x14ac:dyDescent="0.2">
      <c r="A47" s="8" t="s">
        <v>186</v>
      </c>
      <c r="B47" s="19" t="s">
        <v>183</v>
      </c>
      <c r="C47" s="8"/>
      <c r="D47" s="8"/>
      <c r="E47" s="8"/>
      <c r="F47" s="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2.75" hidden="1" customHeight="1" x14ac:dyDescent="0.2">
      <c r="A48" s="8" t="s">
        <v>187</v>
      </c>
      <c r="B48" s="19" t="s">
        <v>184</v>
      </c>
      <c r="C48" s="8"/>
      <c r="D48" s="8"/>
      <c r="E48" s="8"/>
      <c r="F48" s="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2.75" hidden="1" customHeight="1" x14ac:dyDescent="0.2">
      <c r="A49" s="8" t="s">
        <v>188</v>
      </c>
      <c r="B49" s="19" t="s">
        <v>185</v>
      </c>
      <c r="C49" s="8"/>
      <c r="D49" s="8"/>
      <c r="E49" s="8"/>
      <c r="F49" s="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8" customHeight="1" x14ac:dyDescent="0.25">
      <c r="A50" s="14" t="s">
        <v>181</v>
      </c>
      <c r="B50" s="22" t="s">
        <v>216</v>
      </c>
      <c r="C50" s="40">
        <f>SUM('3.felh'!D31)</f>
        <v>20300</v>
      </c>
      <c r="D50" s="40">
        <v>10300</v>
      </c>
      <c r="E50" s="40">
        <v>10300</v>
      </c>
      <c r="F50" s="40">
        <v>10300</v>
      </c>
      <c r="G50" s="2"/>
      <c r="H50" s="7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3.5" hidden="1" customHeight="1" x14ac:dyDescent="0.25">
      <c r="A51" s="8" t="s">
        <v>189</v>
      </c>
      <c r="B51" s="19" t="s">
        <v>192</v>
      </c>
      <c r="C51" s="40"/>
      <c r="D51" s="40"/>
      <c r="E51" s="40"/>
      <c r="F51" s="40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13.5" hidden="1" customHeight="1" x14ac:dyDescent="0.25">
      <c r="A52" s="8" t="s">
        <v>190</v>
      </c>
      <c r="B52" s="19" t="s">
        <v>193</v>
      </c>
      <c r="C52" s="40"/>
      <c r="D52" s="40"/>
      <c r="E52" s="40"/>
      <c r="F52" s="40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13.5" hidden="1" customHeight="1" x14ac:dyDescent="0.25">
      <c r="A53" s="8" t="s">
        <v>191</v>
      </c>
      <c r="B53" s="19" t="s">
        <v>194</v>
      </c>
      <c r="C53" s="40"/>
      <c r="D53" s="40"/>
      <c r="E53" s="40"/>
      <c r="F53" s="40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22.5" customHeight="1" x14ac:dyDescent="0.2">
      <c r="A54" s="24" t="s">
        <v>182</v>
      </c>
      <c r="B54" s="167" t="s">
        <v>319</v>
      </c>
      <c r="C54" s="188">
        <f>SUM(C55+C60)</f>
        <v>1979225</v>
      </c>
      <c r="D54" s="188">
        <f>SUM(D55+D60)</f>
        <v>660000</v>
      </c>
      <c r="E54" s="188">
        <f>SUM(E55+E60)</f>
        <v>305000</v>
      </c>
      <c r="F54" s="188">
        <f>SUM(F55+F60)</f>
        <v>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13.5" customHeight="1" x14ac:dyDescent="0.25">
      <c r="A55" s="24"/>
      <c r="B55" s="22" t="s">
        <v>399</v>
      </c>
      <c r="C55" s="40">
        <f>SUM(C56)+C59</f>
        <v>1629225</v>
      </c>
      <c r="D55" s="40">
        <f>SUM(D56)+D59</f>
        <v>660000</v>
      </c>
      <c r="E55" s="40">
        <f>SUM(E56)+E59</f>
        <v>305000</v>
      </c>
      <c r="F55" s="40">
        <f>SUM(F56)+F59</f>
        <v>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3.5" customHeight="1" x14ac:dyDescent="0.2">
      <c r="A56" s="8"/>
      <c r="B56" s="29" t="s">
        <v>400</v>
      </c>
      <c r="C56" s="5">
        <f>SUM(C57:C58)</f>
        <v>1629225</v>
      </c>
      <c r="D56" s="5">
        <f>SUM(D57:D58)</f>
        <v>660000</v>
      </c>
      <c r="E56" s="5">
        <f>SUM(E57:E58)</f>
        <v>305000</v>
      </c>
      <c r="F56" s="5">
        <f>SUM(F57:F58)</f>
        <v>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3.5" customHeight="1" x14ac:dyDescent="0.2">
      <c r="A57" s="8"/>
      <c r="B57" s="29" t="s">
        <v>388</v>
      </c>
      <c r="C57" s="13">
        <f>SUM('1.Bev-kiad.'!C57)</f>
        <v>708152</v>
      </c>
      <c r="D57" s="13">
        <v>50000</v>
      </c>
      <c r="E57" s="13"/>
      <c r="F57" s="1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3.5" customHeight="1" x14ac:dyDescent="0.2">
      <c r="A58" s="8"/>
      <c r="B58" s="29" t="s">
        <v>389</v>
      </c>
      <c r="C58" s="13">
        <f>SUM('1.Bev-kiad.'!C58)</f>
        <v>921073</v>
      </c>
      <c r="D58" s="13">
        <v>610000</v>
      </c>
      <c r="E58" s="13">
        <v>305000</v>
      </c>
      <c r="F58" s="13">
        <v>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3.5" hidden="1" customHeight="1" x14ac:dyDescent="0.2">
      <c r="A59" s="8"/>
      <c r="B59" s="29" t="s">
        <v>445</v>
      </c>
      <c r="C59" s="13">
        <f>'2.működés'!C110</f>
        <v>0</v>
      </c>
      <c r="D59" s="13">
        <f>'2.működés'!D110</f>
        <v>0</v>
      </c>
      <c r="E59" s="13">
        <f>'2.működés'!E110</f>
        <v>0</v>
      </c>
      <c r="F59" s="13">
        <f>'2.működés'!F110</f>
        <v>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3.5" customHeight="1" x14ac:dyDescent="0.25">
      <c r="A60" s="8"/>
      <c r="B60" s="22" t="s">
        <v>397</v>
      </c>
      <c r="C60" s="40">
        <f>SUM(C61:C62)</f>
        <v>350000</v>
      </c>
      <c r="D60" s="40">
        <f>SUM(D61:D62)</f>
        <v>0</v>
      </c>
      <c r="E60" s="40">
        <f>SUM(E61:E62)</f>
        <v>0</v>
      </c>
      <c r="F60" s="40">
        <f>SUM(F61:F62)</f>
        <v>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13.5" hidden="1" customHeight="1" x14ac:dyDescent="0.2">
      <c r="A61" s="8"/>
      <c r="B61" s="8" t="s">
        <v>863</v>
      </c>
      <c r="C61" s="13">
        <f>'1.Bev-kiad.'!C61</f>
        <v>0</v>
      </c>
      <c r="D61" s="13">
        <v>0</v>
      </c>
      <c r="E61" s="13">
        <v>0</v>
      </c>
      <c r="F61" s="13">
        <v>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13.5" customHeight="1" thickBot="1" x14ac:dyDescent="0.25">
      <c r="A62" s="12"/>
      <c r="B62" s="12" t="s">
        <v>1039</v>
      </c>
      <c r="C62" s="30">
        <f>'3.felh'!C40</f>
        <v>350000</v>
      </c>
      <c r="D62" s="30">
        <v>0</v>
      </c>
      <c r="E62" s="30">
        <v>0</v>
      </c>
      <c r="F62" s="30">
        <v>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23.25" customHeight="1" thickBot="1" x14ac:dyDescent="0.4">
      <c r="A63" s="210"/>
      <c r="B63" s="211" t="s">
        <v>342</v>
      </c>
      <c r="C63" s="174">
        <f>SUM(C8+C54)</f>
        <v>3509029</v>
      </c>
      <c r="D63" s="174">
        <f>SUM(D8+D54)</f>
        <v>2075300</v>
      </c>
      <c r="E63" s="174">
        <f>SUM(E8+E54)</f>
        <v>1720300</v>
      </c>
      <c r="F63" s="174">
        <f>SUM(F8+F54)</f>
        <v>1335300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20.25" customHeight="1" x14ac:dyDescent="0.25">
      <c r="A64" s="143" t="s">
        <v>321</v>
      </c>
      <c r="B64" s="220" t="s">
        <v>311</v>
      </c>
      <c r="C64" s="169">
        <f>SUM(C65+C72)</f>
        <v>3393644</v>
      </c>
      <c r="D64" s="169">
        <f t="shared" ref="D64:F64" si="0">SUM(D65+D72)</f>
        <v>1960982</v>
      </c>
      <c r="E64" s="169">
        <f t="shared" si="0"/>
        <v>1605982</v>
      </c>
      <c r="F64" s="169">
        <f t="shared" si="0"/>
        <v>1220302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8" customHeight="1" x14ac:dyDescent="0.25">
      <c r="A65" s="14" t="s">
        <v>195</v>
      </c>
      <c r="B65" s="22" t="s">
        <v>1047</v>
      </c>
      <c r="C65" s="144">
        <f>C66</f>
        <v>1736677</v>
      </c>
      <c r="D65" s="144">
        <f t="shared" ref="D65:F65" si="1">D66</f>
        <v>1266241</v>
      </c>
      <c r="E65" s="144">
        <f t="shared" si="1"/>
        <v>1216241</v>
      </c>
      <c r="F65" s="144">
        <f t="shared" si="1"/>
        <v>1220302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">
      <c r="A66" s="8"/>
      <c r="B66" s="14" t="s">
        <v>1021</v>
      </c>
      <c r="C66" s="81">
        <f>SUM(C67:C71)</f>
        <v>1736677</v>
      </c>
      <c r="D66" s="81">
        <f t="shared" ref="D66:F66" si="2">SUM(D67:D71)</f>
        <v>1266241</v>
      </c>
      <c r="E66" s="81">
        <f t="shared" si="2"/>
        <v>1216241</v>
      </c>
      <c r="F66" s="81">
        <f t="shared" si="2"/>
        <v>1220302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3.5" customHeight="1" x14ac:dyDescent="0.2">
      <c r="A67" s="8"/>
      <c r="B67" s="8" t="s">
        <v>1022</v>
      </c>
      <c r="C67" s="127">
        <f>'2.működés'!C115</f>
        <v>277035</v>
      </c>
      <c r="D67" s="127">
        <v>290000</v>
      </c>
      <c r="E67" s="127">
        <v>310000</v>
      </c>
      <c r="F67" s="127">
        <v>320000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3.5" customHeight="1" x14ac:dyDescent="0.2">
      <c r="A68" s="8"/>
      <c r="B68" s="8" t="s">
        <v>1023</v>
      </c>
      <c r="C68" s="127">
        <f>'2.működés'!C118</f>
        <v>35306</v>
      </c>
      <c r="D68" s="127">
        <v>37700</v>
      </c>
      <c r="E68" s="127">
        <v>39000</v>
      </c>
      <c r="F68" s="127">
        <v>40300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3.5" customHeight="1" x14ac:dyDescent="0.2">
      <c r="A69" s="8"/>
      <c r="B69" s="8" t="s">
        <v>1024</v>
      </c>
      <c r="C69" s="127">
        <f>'2.működés'!C121</f>
        <v>686565</v>
      </c>
      <c r="D69" s="127">
        <v>382041</v>
      </c>
      <c r="E69" s="127">
        <v>355741</v>
      </c>
      <c r="F69" s="127">
        <v>348502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3.5" customHeight="1" x14ac:dyDescent="0.2">
      <c r="A70" s="8"/>
      <c r="B70" s="8" t="s">
        <v>1025</v>
      </c>
      <c r="C70" s="127">
        <f>'2.működés'!C124</f>
        <v>11500</v>
      </c>
      <c r="D70" s="127">
        <f>'2.működés'!D124</f>
        <v>11500</v>
      </c>
      <c r="E70" s="127">
        <f>'2.működés'!E124</f>
        <v>11500</v>
      </c>
      <c r="F70" s="127">
        <f>'2.működés'!F124</f>
        <v>11500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s="48" customFormat="1" ht="13.5" customHeight="1" x14ac:dyDescent="0.2">
      <c r="A71" s="8"/>
      <c r="B71" s="8" t="s">
        <v>1026</v>
      </c>
      <c r="C71" s="127">
        <f>'2.működés'!C125</f>
        <v>726271</v>
      </c>
      <c r="D71" s="127">
        <v>545000</v>
      </c>
      <c r="E71" s="127">
        <v>500000</v>
      </c>
      <c r="F71" s="127">
        <v>500000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s="48" customFormat="1" ht="13.5" customHeight="1" x14ac:dyDescent="0.25">
      <c r="A72" s="14" t="s">
        <v>196</v>
      </c>
      <c r="B72" s="22" t="s">
        <v>1048</v>
      </c>
      <c r="C72" s="34">
        <f>SUM(C73:C75)</f>
        <v>1656967</v>
      </c>
      <c r="D72" s="34">
        <f t="shared" ref="D72:F72" si="3">SUM(D73:D75)</f>
        <v>694741</v>
      </c>
      <c r="E72" s="34">
        <f t="shared" si="3"/>
        <v>389741</v>
      </c>
      <c r="F72" s="34">
        <f t="shared" si="3"/>
        <v>0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s="48" customFormat="1" ht="13.5" customHeight="1" x14ac:dyDescent="0.2">
      <c r="A73" s="8"/>
      <c r="B73" s="8" t="s">
        <v>305</v>
      </c>
      <c r="C73" s="13">
        <f>SUM('3.felh'!C44)</f>
        <v>225350</v>
      </c>
      <c r="D73" s="13">
        <v>0</v>
      </c>
      <c r="E73" s="13">
        <v>0</v>
      </c>
      <c r="F73" s="13">
        <v>0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s="48" customFormat="1" ht="15" customHeight="1" x14ac:dyDescent="0.2">
      <c r="A74" s="8"/>
      <c r="B74" s="8" t="s">
        <v>306</v>
      </c>
      <c r="C74" s="13">
        <f>SUM('3.felh'!C66)</f>
        <v>821982</v>
      </c>
      <c r="D74" s="13">
        <v>389061</v>
      </c>
      <c r="E74" s="13">
        <v>389061</v>
      </c>
      <c r="F74" s="13">
        <v>0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s="48" customFormat="1" ht="15" customHeight="1" x14ac:dyDescent="0.2">
      <c r="A75" s="8"/>
      <c r="B75" s="8" t="s">
        <v>307</v>
      </c>
      <c r="C75" s="13">
        <f>SUM(C76:C78)</f>
        <v>609635</v>
      </c>
      <c r="D75" s="13">
        <f t="shared" ref="D75:F75" si="4">SUM(D76:D78)</f>
        <v>305680</v>
      </c>
      <c r="E75" s="13">
        <f t="shared" si="4"/>
        <v>680</v>
      </c>
      <c r="F75" s="13">
        <f t="shared" si="4"/>
        <v>0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s="48" customFormat="1" ht="12.75" customHeight="1" x14ac:dyDescent="0.2">
      <c r="A76" s="8"/>
      <c r="B76" s="147" t="s">
        <v>693</v>
      </c>
      <c r="C76" s="71">
        <f>SUM('3.felh'!C88)</f>
        <v>0</v>
      </c>
      <c r="D76" s="71">
        <f>SUM('3.felh'!D88)</f>
        <v>680</v>
      </c>
      <c r="E76" s="71">
        <f>SUM('3.felh'!E88)</f>
        <v>680</v>
      </c>
      <c r="F76" s="71">
        <f>SUM('3.felh'!F88)</f>
        <v>0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s="48" customFormat="1" ht="13.5" hidden="1" customHeight="1" x14ac:dyDescent="0.2">
      <c r="A77" s="8"/>
      <c r="B77" s="147" t="s">
        <v>704</v>
      </c>
      <c r="C77" s="71">
        <v>0</v>
      </c>
      <c r="D77" s="71">
        <v>0</v>
      </c>
      <c r="E77" s="71">
        <v>0</v>
      </c>
      <c r="F77" s="71">
        <v>0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s="48" customFormat="1" ht="12.75" customHeight="1" x14ac:dyDescent="0.2">
      <c r="A78" s="8"/>
      <c r="B78" s="640" t="s">
        <v>1053</v>
      </c>
      <c r="C78" s="641">
        <f>SUM('3.felh'!C92)</f>
        <v>609635</v>
      </c>
      <c r="D78" s="641">
        <v>305000</v>
      </c>
      <c r="E78" s="641">
        <v>0</v>
      </c>
      <c r="F78" s="641">
        <v>0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s="48" customFormat="1" ht="15" customHeight="1" x14ac:dyDescent="0.25">
      <c r="A79" s="14" t="s">
        <v>197</v>
      </c>
      <c r="B79" s="167" t="s">
        <v>320</v>
      </c>
      <c r="C79" s="185">
        <f>SUM(C80+C85+C86)</f>
        <v>105385</v>
      </c>
      <c r="D79" s="185">
        <f t="shared" ref="D79:F79" si="5">SUM(D80+D85+D86)</f>
        <v>114998</v>
      </c>
      <c r="E79" s="185">
        <f t="shared" si="5"/>
        <v>114998</v>
      </c>
      <c r="F79" s="185">
        <f t="shared" si="5"/>
        <v>114998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s="48" customFormat="1" ht="15" customHeight="1" x14ac:dyDescent="0.25">
      <c r="A80" s="14"/>
      <c r="B80" s="184" t="s">
        <v>347</v>
      </c>
      <c r="C80" s="156">
        <f>SUM(C81:C84)</f>
        <v>105385</v>
      </c>
      <c r="D80" s="156">
        <f t="shared" ref="D80:F80" si="6">SUM(D81:D84)</f>
        <v>114998</v>
      </c>
      <c r="E80" s="156">
        <f t="shared" si="6"/>
        <v>114998</v>
      </c>
      <c r="F80" s="156">
        <f t="shared" si="6"/>
        <v>114998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21.75" hidden="1" customHeight="1" x14ac:dyDescent="0.2">
      <c r="A81" s="8" t="s">
        <v>1006</v>
      </c>
      <c r="B81" s="8" t="s">
        <v>1008</v>
      </c>
      <c r="C81" s="13">
        <v>0</v>
      </c>
      <c r="D81" s="13">
        <v>0</v>
      </c>
      <c r="E81" s="13">
        <v>0</v>
      </c>
      <c r="F81" s="13">
        <v>0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4.25" customHeight="1" x14ac:dyDescent="0.2">
      <c r="A82" s="8" t="s">
        <v>354</v>
      </c>
      <c r="B82" s="8" t="s">
        <v>374</v>
      </c>
      <c r="C82" s="13">
        <f>SUM('2.működés'!C133)</f>
        <v>19597</v>
      </c>
      <c r="D82" s="13">
        <v>20000</v>
      </c>
      <c r="E82" s="13">
        <v>20000</v>
      </c>
      <c r="F82" s="13">
        <v>20000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5.75" hidden="1" customHeight="1" x14ac:dyDescent="0.25">
      <c r="A83" s="8"/>
      <c r="B83" s="219" t="s">
        <v>348</v>
      </c>
      <c r="C83" s="41"/>
      <c r="D83" s="41"/>
      <c r="E83" s="41"/>
      <c r="F83" s="4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5.75" customHeight="1" x14ac:dyDescent="0.2">
      <c r="A84" s="8" t="s">
        <v>1006</v>
      </c>
      <c r="B84" s="219" t="s">
        <v>721</v>
      </c>
      <c r="C84" s="13">
        <f>SUM('3.felh'!C97)</f>
        <v>85788</v>
      </c>
      <c r="D84" s="13">
        <v>94998</v>
      </c>
      <c r="E84" s="13">
        <v>94998</v>
      </c>
      <c r="F84" s="13">
        <v>94998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5.75" customHeight="1" x14ac:dyDescent="0.25">
      <c r="A85" s="14"/>
      <c r="B85" s="184" t="s">
        <v>349</v>
      </c>
      <c r="C85" s="41">
        <v>0</v>
      </c>
      <c r="D85" s="41">
        <v>0</v>
      </c>
      <c r="E85" s="41">
        <v>0</v>
      </c>
      <c r="F85" s="41">
        <v>0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5.75" customHeight="1" thickBot="1" x14ac:dyDescent="0.3">
      <c r="A86" s="21"/>
      <c r="B86" s="181" t="s">
        <v>350</v>
      </c>
      <c r="C86" s="166">
        <v>0</v>
      </c>
      <c r="D86" s="166">
        <v>0</v>
      </c>
      <c r="E86" s="166">
        <v>0</v>
      </c>
      <c r="F86" s="166">
        <v>0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20.25" customHeight="1" thickBot="1" x14ac:dyDescent="0.4">
      <c r="A87" s="255"/>
      <c r="B87" s="211" t="s">
        <v>52</v>
      </c>
      <c r="C87" s="432">
        <f>SUM(C64+C79)</f>
        <v>3499029</v>
      </c>
      <c r="D87" s="432">
        <f t="shared" ref="D87:F87" si="7">SUM(D64+D79)</f>
        <v>2075980</v>
      </c>
      <c r="E87" s="432">
        <f t="shared" si="7"/>
        <v>1720980</v>
      </c>
      <c r="F87" s="432">
        <f t="shared" si="7"/>
        <v>1335300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5.75" customHeight="1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5.75" customHeight="1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5.75" customHeight="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5.75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5.75" customHeight="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5.7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5.75" customHeight="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5.75" customHeight="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5.7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2:20" ht="15.75" customHeight="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2:20" ht="15.75" customHeight="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2:20" ht="15.75" customHeight="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2:20" ht="15.75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2:20" ht="15.75" customHeight="1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2:20" ht="15.75" customHeight="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2:20" ht="15.75" customHeight="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2:20" ht="15.75" customHeight="1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2:20" ht="15.75" customHeight="1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2:20" ht="15.75" customHeight="1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2:20" ht="15.75" customHeight="1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2:20" ht="15.7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2:20" ht="15.75" customHeight="1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2:20" ht="15.75" customHeight="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2:20" ht="15.75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2:20" ht="15.75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2:20" ht="15.75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2:20" ht="15.7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2:20" ht="15.7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2:20" ht="15.75" customHeight="1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2:20" ht="15.75" customHeight="1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2:20" ht="15.75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2:20" ht="15.75" customHeight="1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2:20" ht="15.75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2:20" ht="15.75" customHeight="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2:20" ht="15.75" customHeight="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2:20" ht="15.75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2:20" ht="15.75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2:20" ht="15.7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2:20" ht="15.7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2:20" ht="15.75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2:20" ht="15.75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2:20" ht="15.75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2:20" ht="15.75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2:20" ht="15.75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2:20" ht="15.7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2:20" ht="15.75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2:20" ht="15.75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2:20" ht="15.75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2:20" ht="15.7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2:20" ht="15.75" customHeight="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2:20" ht="15.7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2:20" ht="15.75" customHeight="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2:20" ht="15.75" customHeight="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2:20" ht="15.75" customHeight="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2:20" ht="15.75" customHeight="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2:20" ht="15.75" customHeight="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2:20" ht="15.75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2:20" ht="15.75" customHeight="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2:20" ht="15.75" customHeight="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2:20" ht="15.75" customHeight="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2:20" ht="15.75" customHeight="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2:20" ht="15.75" customHeight="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2:20" ht="15.75" customHeight="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2:20" ht="15.75" customHeight="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2:20" ht="15.75" customHeight="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2:20" ht="15.75" customHeight="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2:20" ht="15.75" customHeight="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2:20" ht="15.75" customHeight="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2:20" ht="15.75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2:20" ht="15.75" customHeight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2:20" ht="15.75" customHeight="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2:20" ht="15.75" customHeight="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2:20" ht="15.75" customHeight="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2:20" ht="15.75" customHeight="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2:20" ht="15.75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2:20" ht="15.75" customHeight="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2:20" ht="15.75" customHeight="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2:20" ht="15.75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2:20" ht="15.75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2:20" ht="15.75" customHeight="1" x14ac:dyDescent="0.2">
      <c r="B167" s="2"/>
      <c r="C167" s="27"/>
      <c r="D167" s="27"/>
      <c r="E167" s="27"/>
      <c r="F167" s="27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2:20" ht="15.75" customHeight="1" x14ac:dyDescent="0.2">
      <c r="B168" s="2"/>
      <c r="C168" s="27"/>
      <c r="D168" s="27"/>
      <c r="E168" s="27"/>
      <c r="F168" s="27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2:20" ht="15.75" customHeight="1" x14ac:dyDescent="0.2">
      <c r="B169" s="2"/>
      <c r="C169" s="27"/>
      <c r="D169" s="27"/>
      <c r="E169" s="27"/>
      <c r="F169" s="27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2:20" ht="15.75" customHeight="1" x14ac:dyDescent="0.2">
      <c r="B170" s="2"/>
      <c r="C170" s="27"/>
      <c r="D170" s="27"/>
      <c r="E170" s="27"/>
      <c r="F170" s="27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2:20" ht="15.75" customHeight="1" x14ac:dyDescent="0.2">
      <c r="B171" s="2"/>
      <c r="C171" s="27"/>
      <c r="D171" s="27"/>
      <c r="E171" s="27"/>
      <c r="F171" s="27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2:20" ht="15.75" customHeight="1" x14ac:dyDescent="0.2">
      <c r="B172" s="2"/>
      <c r="C172" s="27"/>
      <c r="D172" s="27"/>
      <c r="E172" s="27"/>
      <c r="F172" s="27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2:20" ht="15.75" customHeight="1" x14ac:dyDescent="0.2">
      <c r="B173" s="2"/>
      <c r="C173" s="27"/>
      <c r="D173" s="27"/>
      <c r="E173" s="27"/>
      <c r="F173" s="27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2:20" ht="15.75" customHeight="1" x14ac:dyDescent="0.2">
      <c r="B174" s="2"/>
      <c r="C174" s="27"/>
      <c r="D174" s="27"/>
      <c r="E174" s="27"/>
      <c r="F174" s="27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2:20" ht="15.75" customHeight="1" x14ac:dyDescent="0.2">
      <c r="B175" s="2"/>
      <c r="C175" s="27"/>
      <c r="D175" s="27"/>
      <c r="E175" s="27"/>
      <c r="F175" s="27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2:20" ht="15.75" customHeight="1" x14ac:dyDescent="0.2">
      <c r="B176" s="2"/>
      <c r="C176" s="27"/>
      <c r="D176" s="27"/>
      <c r="E176" s="27"/>
      <c r="F176" s="27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2:20" ht="15.75" customHeight="1" x14ac:dyDescent="0.2">
      <c r="B177" s="2"/>
      <c r="C177" s="27"/>
      <c r="D177" s="27"/>
      <c r="E177" s="27"/>
      <c r="F177" s="27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2:20" ht="15.75" customHeight="1" x14ac:dyDescent="0.2">
      <c r="B178" s="2"/>
      <c r="C178" s="27"/>
      <c r="D178" s="27"/>
      <c r="E178" s="27"/>
      <c r="F178" s="27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2:20" ht="15.75" customHeight="1" x14ac:dyDescent="0.2">
      <c r="B179" s="2"/>
      <c r="C179" s="27"/>
      <c r="D179" s="27"/>
      <c r="E179" s="27"/>
      <c r="F179" s="27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2:20" ht="15.75" customHeight="1" x14ac:dyDescent="0.2">
      <c r="B180" s="2"/>
      <c r="C180" s="27"/>
      <c r="D180" s="27"/>
      <c r="E180" s="27"/>
      <c r="F180" s="27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2:20" ht="15.75" customHeight="1" x14ac:dyDescent="0.2">
      <c r="B181" s="2"/>
      <c r="C181" s="27"/>
      <c r="D181" s="27"/>
      <c r="E181" s="27"/>
      <c r="F181" s="27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2:20" ht="15.75" customHeight="1" x14ac:dyDescent="0.2">
      <c r="B182" s="2"/>
      <c r="C182" s="27"/>
      <c r="D182" s="27"/>
      <c r="E182" s="27"/>
      <c r="F182" s="27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2:20" ht="15.75" customHeight="1" x14ac:dyDescent="0.2">
      <c r="B183" s="2"/>
      <c r="C183" s="27"/>
      <c r="D183" s="27"/>
      <c r="E183" s="27"/>
      <c r="F183" s="27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2:20" ht="15.75" customHeight="1" x14ac:dyDescent="0.2">
      <c r="B184" s="2"/>
      <c r="C184" s="27"/>
      <c r="D184" s="27"/>
      <c r="E184" s="27"/>
      <c r="F184" s="27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2:20" ht="15.75" customHeight="1" x14ac:dyDescent="0.2">
      <c r="B185" s="2"/>
      <c r="C185" s="27"/>
      <c r="D185" s="27"/>
      <c r="E185" s="27"/>
      <c r="F185" s="27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2:20" ht="15.75" customHeight="1" x14ac:dyDescent="0.2">
      <c r="B186" s="2"/>
      <c r="C186" s="27"/>
      <c r="D186" s="27"/>
      <c r="E186" s="27"/>
      <c r="F186" s="27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2:20" ht="15.75" customHeight="1" x14ac:dyDescent="0.2">
      <c r="B187" s="2"/>
      <c r="C187" s="27"/>
      <c r="D187" s="27"/>
      <c r="E187" s="27"/>
      <c r="F187" s="27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2:20" ht="15.75" customHeight="1" x14ac:dyDescent="0.2">
      <c r="B188" s="2"/>
      <c r="C188" s="27"/>
      <c r="D188" s="27"/>
      <c r="E188" s="27"/>
      <c r="F188" s="27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2:20" ht="15.75" customHeight="1" x14ac:dyDescent="0.2">
      <c r="B189" s="2"/>
      <c r="C189" s="27"/>
      <c r="D189" s="27"/>
      <c r="E189" s="27"/>
      <c r="F189" s="27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2:20" ht="15.75" customHeight="1" x14ac:dyDescent="0.2">
      <c r="B190" s="2"/>
      <c r="C190" s="27"/>
      <c r="D190" s="27"/>
      <c r="E190" s="27"/>
      <c r="F190" s="27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2:20" ht="15.75" customHeight="1" x14ac:dyDescent="0.2">
      <c r="B191" s="2"/>
      <c r="C191" s="27"/>
      <c r="D191" s="27"/>
      <c r="E191" s="27"/>
      <c r="F191" s="27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2:20" ht="15.75" customHeight="1" x14ac:dyDescent="0.2">
      <c r="B192" s="2"/>
      <c r="C192" s="27"/>
      <c r="D192" s="27"/>
      <c r="E192" s="27"/>
      <c r="F192" s="27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2:20" ht="15.75" customHeight="1" x14ac:dyDescent="0.2">
      <c r="B193" s="2"/>
      <c r="C193" s="27"/>
      <c r="D193" s="27"/>
      <c r="E193" s="27"/>
      <c r="F193" s="27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2:20" ht="15.75" customHeight="1" x14ac:dyDescent="0.2">
      <c r="B194" s="2"/>
      <c r="C194" s="27"/>
      <c r="D194" s="27"/>
      <c r="E194" s="27"/>
      <c r="F194" s="27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2:20" ht="15.75" customHeight="1" x14ac:dyDescent="0.2">
      <c r="B195" s="2"/>
      <c r="C195" s="27"/>
      <c r="D195" s="27"/>
      <c r="E195" s="27"/>
      <c r="F195" s="27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2:20" ht="15.75" customHeight="1" x14ac:dyDescent="0.2">
      <c r="B196" s="2"/>
      <c r="C196" s="27"/>
      <c r="D196" s="27"/>
      <c r="E196" s="27"/>
      <c r="F196" s="27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2:20" ht="15.75" customHeight="1" x14ac:dyDescent="0.2">
      <c r="B197" s="2"/>
      <c r="C197" s="27"/>
      <c r="D197" s="27"/>
      <c r="E197" s="27"/>
      <c r="F197" s="27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2:20" ht="15.75" customHeight="1" x14ac:dyDescent="0.2">
      <c r="B198" s="2"/>
      <c r="C198" s="27"/>
      <c r="D198" s="27"/>
      <c r="E198" s="27"/>
      <c r="F198" s="27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2:20" ht="15.75" customHeight="1" x14ac:dyDescent="0.2">
      <c r="B199" s="2"/>
      <c r="C199" s="27"/>
      <c r="D199" s="27"/>
      <c r="E199" s="27"/>
      <c r="F199" s="27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2:20" ht="15.75" customHeight="1" x14ac:dyDescent="0.2">
      <c r="B200" s="2"/>
      <c r="C200" s="27"/>
      <c r="D200" s="27"/>
      <c r="E200" s="27"/>
      <c r="F200" s="27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2:20" ht="15.75" customHeight="1" x14ac:dyDescent="0.2">
      <c r="B201" s="2"/>
      <c r="C201" s="27"/>
      <c r="D201" s="27"/>
      <c r="E201" s="27"/>
      <c r="F201" s="27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2:20" ht="15.75" customHeight="1" x14ac:dyDescent="0.2">
      <c r="B202" s="2"/>
      <c r="C202" s="27"/>
      <c r="D202" s="27"/>
      <c r="E202" s="27"/>
      <c r="F202" s="27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2:20" ht="15.75" customHeight="1" x14ac:dyDescent="0.2">
      <c r="B203" s="2"/>
      <c r="C203" s="27"/>
      <c r="D203" s="27"/>
      <c r="E203" s="27"/>
      <c r="F203" s="27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2:20" ht="15.75" customHeight="1" x14ac:dyDescent="0.2">
      <c r="B204" s="2"/>
      <c r="C204" s="27"/>
      <c r="D204" s="27"/>
      <c r="E204" s="27"/>
      <c r="F204" s="27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2:20" ht="15.75" customHeight="1" x14ac:dyDescent="0.2">
      <c r="B205" s="2"/>
      <c r="C205" s="27"/>
      <c r="D205" s="27"/>
      <c r="E205" s="27"/>
      <c r="F205" s="27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2:20" ht="15.75" customHeight="1" x14ac:dyDescent="0.2">
      <c r="B206" s="2"/>
      <c r="C206" s="27"/>
      <c r="D206" s="27"/>
      <c r="E206" s="27"/>
      <c r="F206" s="27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2:20" ht="15.75" customHeight="1" x14ac:dyDescent="0.2">
      <c r="B207" s="2"/>
      <c r="C207" s="27"/>
      <c r="D207" s="27"/>
      <c r="E207" s="27"/>
      <c r="F207" s="27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2:20" ht="15.75" customHeight="1" x14ac:dyDescent="0.2">
      <c r="B208" s="2"/>
      <c r="C208" s="27"/>
      <c r="D208" s="27"/>
      <c r="E208" s="27"/>
      <c r="F208" s="27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2:20" ht="15.75" customHeight="1" x14ac:dyDescent="0.2">
      <c r="B209" s="2"/>
      <c r="C209" s="27"/>
      <c r="D209" s="27"/>
      <c r="E209" s="27"/>
      <c r="F209" s="27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2:20" ht="15.75" customHeight="1" x14ac:dyDescent="0.2">
      <c r="B210" s="2"/>
      <c r="C210" s="27"/>
      <c r="D210" s="27"/>
      <c r="E210" s="27"/>
      <c r="F210" s="27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2:20" ht="15.75" customHeight="1" x14ac:dyDescent="0.2">
      <c r="B211" s="2"/>
      <c r="C211" s="27"/>
      <c r="D211" s="27"/>
      <c r="E211" s="27"/>
      <c r="F211" s="27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2:20" ht="15.75" customHeight="1" x14ac:dyDescent="0.2">
      <c r="B212" s="2"/>
      <c r="C212" s="27"/>
      <c r="D212" s="27"/>
      <c r="E212" s="27"/>
      <c r="F212" s="27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2:20" ht="15.75" customHeight="1" x14ac:dyDescent="0.2">
      <c r="B213" s="2"/>
      <c r="C213" s="27"/>
      <c r="D213" s="27"/>
      <c r="E213" s="27"/>
      <c r="F213" s="27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2:20" ht="15.75" customHeight="1" x14ac:dyDescent="0.2">
      <c r="B214" s="2"/>
      <c r="C214" s="27"/>
      <c r="D214" s="27"/>
      <c r="E214" s="27"/>
      <c r="F214" s="27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2:20" ht="15.75" customHeight="1" x14ac:dyDescent="0.2">
      <c r="B215" s="2"/>
      <c r="C215" s="27"/>
      <c r="D215" s="27"/>
      <c r="E215" s="27"/>
      <c r="F215" s="27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2:20" ht="15.75" customHeight="1" x14ac:dyDescent="0.2">
      <c r="B216" s="2"/>
      <c r="C216" s="27"/>
      <c r="D216" s="27"/>
      <c r="E216" s="27"/>
      <c r="F216" s="27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2:20" ht="15.75" customHeight="1" x14ac:dyDescent="0.2">
      <c r="B217" s="2"/>
      <c r="C217" s="27"/>
      <c r="D217" s="27"/>
      <c r="E217" s="27"/>
      <c r="F217" s="27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2:20" ht="15.75" customHeight="1" x14ac:dyDescent="0.2">
      <c r="B218" s="2"/>
      <c r="C218" s="27"/>
      <c r="D218" s="27"/>
      <c r="E218" s="27"/>
      <c r="F218" s="27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2:20" ht="15.75" customHeight="1" x14ac:dyDescent="0.2">
      <c r="B219" s="2"/>
      <c r="C219" s="27"/>
      <c r="D219" s="27"/>
      <c r="E219" s="27"/>
      <c r="F219" s="27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2:20" ht="15.75" customHeight="1" x14ac:dyDescent="0.2">
      <c r="B220" s="2"/>
      <c r="C220" s="27"/>
      <c r="D220" s="27"/>
      <c r="E220" s="27"/>
      <c r="F220" s="27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2:20" ht="15.75" customHeight="1" x14ac:dyDescent="0.2">
      <c r="B221" s="2"/>
      <c r="C221" s="27"/>
      <c r="D221" s="27"/>
      <c r="E221" s="27"/>
      <c r="F221" s="27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2:20" ht="15.75" customHeight="1" x14ac:dyDescent="0.2">
      <c r="B222" s="2"/>
      <c r="C222" s="27"/>
      <c r="D222" s="27"/>
      <c r="E222" s="27"/>
      <c r="F222" s="27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2:20" ht="15.75" customHeight="1" x14ac:dyDescent="0.2">
      <c r="B223" s="2"/>
      <c r="C223" s="27"/>
      <c r="D223" s="27"/>
      <c r="E223" s="27"/>
      <c r="F223" s="27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2:20" ht="15.75" customHeight="1" x14ac:dyDescent="0.2">
      <c r="B224" s="2"/>
      <c r="C224" s="27"/>
      <c r="D224" s="27"/>
      <c r="E224" s="27"/>
      <c r="F224" s="27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2:20" ht="15.75" customHeight="1" x14ac:dyDescent="0.2">
      <c r="B225" s="2"/>
      <c r="C225" s="27"/>
      <c r="D225" s="27"/>
      <c r="E225" s="27"/>
      <c r="F225" s="27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2:20" ht="15.75" customHeight="1" x14ac:dyDescent="0.2">
      <c r="B226" s="2"/>
      <c r="C226" s="27"/>
      <c r="D226" s="27"/>
      <c r="E226" s="27"/>
      <c r="F226" s="27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2:20" ht="15.75" customHeight="1" x14ac:dyDescent="0.2">
      <c r="B227" s="2"/>
      <c r="C227" s="27"/>
      <c r="D227" s="27"/>
      <c r="E227" s="27"/>
      <c r="F227" s="27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2:20" ht="15.75" customHeight="1" x14ac:dyDescent="0.2">
      <c r="B228" s="2"/>
      <c r="C228" s="27"/>
      <c r="D228" s="27"/>
      <c r="E228" s="27"/>
      <c r="F228" s="27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2:20" ht="15.75" customHeight="1" x14ac:dyDescent="0.2">
      <c r="B229" s="2"/>
      <c r="C229" s="27"/>
      <c r="D229" s="27"/>
      <c r="E229" s="27"/>
      <c r="F229" s="27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2:20" ht="15.75" customHeight="1" x14ac:dyDescent="0.2">
      <c r="B230" s="2"/>
      <c r="C230" s="27"/>
      <c r="D230" s="27"/>
      <c r="E230" s="27"/>
      <c r="F230" s="27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2:20" ht="15.75" customHeight="1" x14ac:dyDescent="0.2">
      <c r="B231" s="2"/>
      <c r="C231" s="27"/>
      <c r="D231" s="27"/>
      <c r="E231" s="27"/>
      <c r="F231" s="27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2:20" ht="15.75" customHeight="1" x14ac:dyDescent="0.2">
      <c r="B232" s="2"/>
      <c r="C232" s="27"/>
      <c r="D232" s="27"/>
      <c r="E232" s="27"/>
      <c r="F232" s="27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2:20" ht="15.75" customHeight="1" x14ac:dyDescent="0.2">
      <c r="B233" s="2"/>
      <c r="C233" s="27"/>
      <c r="D233" s="27"/>
      <c r="E233" s="27"/>
      <c r="F233" s="27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2:20" ht="15.75" customHeight="1" x14ac:dyDescent="0.2">
      <c r="B234" s="2"/>
      <c r="C234" s="27"/>
      <c r="D234" s="27"/>
      <c r="E234" s="27"/>
      <c r="F234" s="27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2:20" ht="15.75" customHeight="1" x14ac:dyDescent="0.2">
      <c r="B235" s="2"/>
      <c r="C235" s="27"/>
      <c r="D235" s="27"/>
      <c r="E235" s="27"/>
      <c r="F235" s="27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2:20" ht="15.75" customHeight="1" x14ac:dyDescent="0.2">
      <c r="B236" s="2"/>
      <c r="C236" s="27"/>
      <c r="D236" s="27"/>
      <c r="E236" s="27"/>
      <c r="F236" s="27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2:20" ht="15.75" customHeight="1" x14ac:dyDescent="0.2">
      <c r="B237" s="2"/>
      <c r="C237" s="27"/>
      <c r="D237" s="27"/>
      <c r="E237" s="27"/>
      <c r="F237" s="27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2:20" ht="15.75" customHeight="1" x14ac:dyDescent="0.2">
      <c r="B238" s="2"/>
      <c r="C238" s="27"/>
      <c r="D238" s="27"/>
      <c r="E238" s="27"/>
      <c r="F238" s="27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2:20" ht="15.75" customHeight="1" x14ac:dyDescent="0.2">
      <c r="B239" s="2"/>
      <c r="C239" s="27"/>
      <c r="D239" s="27"/>
      <c r="E239" s="27"/>
      <c r="F239" s="27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2:20" ht="15.75" customHeight="1" x14ac:dyDescent="0.2">
      <c r="B240" s="2"/>
      <c r="C240" s="27"/>
      <c r="D240" s="27"/>
      <c r="E240" s="27"/>
      <c r="F240" s="27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2:20" ht="15.75" customHeight="1" x14ac:dyDescent="0.2">
      <c r="B241" s="2"/>
      <c r="C241" s="27"/>
      <c r="D241" s="27"/>
      <c r="E241" s="27"/>
      <c r="F241" s="27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2:20" ht="15.75" customHeight="1" x14ac:dyDescent="0.2">
      <c r="B242" s="2"/>
      <c r="C242" s="27"/>
      <c r="D242" s="27"/>
      <c r="E242" s="27"/>
      <c r="F242" s="27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2:20" ht="15.75" customHeight="1" x14ac:dyDescent="0.2">
      <c r="B243" s="2"/>
      <c r="C243" s="27"/>
      <c r="D243" s="27"/>
      <c r="E243" s="27"/>
      <c r="F243" s="27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2:20" ht="15.75" customHeight="1" x14ac:dyDescent="0.2">
      <c r="B244" s="2"/>
      <c r="C244" s="27"/>
      <c r="D244" s="27"/>
      <c r="E244" s="27"/>
      <c r="F244" s="27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2:20" ht="15.75" customHeight="1" x14ac:dyDescent="0.2">
      <c r="B245" s="2"/>
      <c r="C245" s="27"/>
      <c r="D245" s="27"/>
      <c r="E245" s="27"/>
      <c r="F245" s="27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2:20" ht="15.75" customHeight="1" x14ac:dyDescent="0.2">
      <c r="B246" s="2"/>
      <c r="C246" s="27"/>
      <c r="D246" s="27"/>
      <c r="E246" s="27"/>
      <c r="F246" s="27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2:20" ht="15.75" customHeight="1" x14ac:dyDescent="0.2">
      <c r="B247" s="2"/>
      <c r="C247" s="27"/>
      <c r="D247" s="27"/>
      <c r="E247" s="27"/>
      <c r="F247" s="27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2:20" ht="15.75" customHeight="1" x14ac:dyDescent="0.2">
      <c r="B248" s="2"/>
      <c r="C248" s="27"/>
      <c r="D248" s="27"/>
      <c r="E248" s="27"/>
      <c r="F248" s="27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2:20" ht="15.75" customHeight="1" x14ac:dyDescent="0.2">
      <c r="B249" s="2"/>
      <c r="C249" s="27"/>
      <c r="D249" s="27"/>
      <c r="E249" s="27"/>
      <c r="F249" s="27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2:20" ht="15.75" customHeight="1" x14ac:dyDescent="0.2">
      <c r="B250" s="2"/>
      <c r="C250" s="27"/>
      <c r="D250" s="27"/>
      <c r="E250" s="27"/>
      <c r="F250" s="27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2:20" ht="15.75" customHeight="1" x14ac:dyDescent="0.2">
      <c r="B251" s="2"/>
      <c r="C251" s="27"/>
      <c r="D251" s="27"/>
      <c r="E251" s="27"/>
      <c r="F251" s="27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2:20" ht="15.75" customHeight="1" x14ac:dyDescent="0.2">
      <c r="B252" s="2"/>
      <c r="C252" s="27"/>
      <c r="D252" s="27"/>
      <c r="E252" s="27"/>
      <c r="F252" s="27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2:20" ht="15.75" customHeight="1" x14ac:dyDescent="0.2">
      <c r="B253" s="2"/>
      <c r="C253" s="27"/>
      <c r="D253" s="27"/>
      <c r="E253" s="27"/>
      <c r="F253" s="27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2:20" ht="15.75" customHeight="1" x14ac:dyDescent="0.2">
      <c r="B254" s="2"/>
      <c r="C254" s="27"/>
      <c r="D254" s="27"/>
      <c r="E254" s="27"/>
      <c r="F254" s="27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2:20" ht="15.75" customHeight="1" x14ac:dyDescent="0.2">
      <c r="B255" s="2"/>
      <c r="C255" s="27"/>
      <c r="D255" s="27"/>
      <c r="E255" s="27"/>
      <c r="F255" s="27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2:20" ht="15.75" customHeight="1" x14ac:dyDescent="0.2">
      <c r="B256" s="2"/>
      <c r="C256" s="27"/>
      <c r="D256" s="27"/>
      <c r="E256" s="27"/>
      <c r="F256" s="27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2:20" ht="15.75" customHeight="1" x14ac:dyDescent="0.2">
      <c r="B257" s="2"/>
      <c r="C257" s="27"/>
      <c r="D257" s="27"/>
      <c r="E257" s="27"/>
      <c r="F257" s="27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2:20" ht="15.75" customHeight="1" x14ac:dyDescent="0.2">
      <c r="B258" s="2"/>
      <c r="C258" s="27"/>
      <c r="D258" s="27"/>
      <c r="E258" s="27"/>
      <c r="F258" s="27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2:20" ht="15.75" customHeight="1" x14ac:dyDescent="0.2">
      <c r="B259" s="2"/>
      <c r="C259" s="27"/>
      <c r="D259" s="27"/>
      <c r="E259" s="27"/>
      <c r="F259" s="27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2:20" ht="15.75" customHeight="1" x14ac:dyDescent="0.2">
      <c r="B260" s="2"/>
      <c r="C260" s="27"/>
      <c r="D260" s="27"/>
      <c r="E260" s="27"/>
      <c r="F260" s="27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2:20" ht="15.75" customHeight="1" x14ac:dyDescent="0.2">
      <c r="B261" s="2"/>
      <c r="C261" s="27"/>
      <c r="D261" s="27"/>
      <c r="E261" s="27"/>
      <c r="F261" s="27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2:20" ht="15.75" customHeight="1" x14ac:dyDescent="0.2">
      <c r="B262" s="2"/>
      <c r="C262" s="27"/>
      <c r="D262" s="27"/>
      <c r="E262" s="27"/>
      <c r="F262" s="27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2:20" ht="15.75" customHeight="1" x14ac:dyDescent="0.2">
      <c r="B263" s="2"/>
      <c r="C263" s="27"/>
      <c r="D263" s="27"/>
      <c r="E263" s="27"/>
      <c r="F263" s="27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2:20" ht="15.75" customHeight="1" x14ac:dyDescent="0.2">
      <c r="B264" s="2"/>
      <c r="C264" s="27"/>
      <c r="D264" s="27"/>
      <c r="E264" s="27"/>
      <c r="F264" s="27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2:20" ht="15.75" customHeight="1" x14ac:dyDescent="0.2">
      <c r="B265" s="2"/>
      <c r="C265" s="27"/>
      <c r="D265" s="27"/>
      <c r="E265" s="27"/>
      <c r="F265" s="27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2:20" ht="15.75" customHeight="1" x14ac:dyDescent="0.2">
      <c r="B266" s="2"/>
      <c r="C266" s="27"/>
      <c r="D266" s="27"/>
      <c r="E266" s="27"/>
      <c r="F266" s="27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2:20" ht="15.75" customHeight="1" x14ac:dyDescent="0.2">
      <c r="B267" s="2"/>
      <c r="C267" s="27"/>
      <c r="D267" s="27"/>
      <c r="E267" s="27"/>
      <c r="F267" s="27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2:20" ht="15.75" customHeight="1" x14ac:dyDescent="0.2">
      <c r="B268" s="2"/>
      <c r="C268" s="27"/>
      <c r="D268" s="27"/>
      <c r="E268" s="27"/>
      <c r="F268" s="27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2:20" ht="15.75" customHeight="1" x14ac:dyDescent="0.2">
      <c r="B269" s="2"/>
      <c r="C269" s="27"/>
      <c r="D269" s="27"/>
      <c r="E269" s="27"/>
      <c r="F269" s="27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2:20" ht="15.75" customHeight="1" x14ac:dyDescent="0.2">
      <c r="B270" s="2"/>
      <c r="C270" s="27"/>
      <c r="D270" s="27"/>
      <c r="E270" s="27"/>
      <c r="F270" s="27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2:20" ht="15.75" customHeight="1" x14ac:dyDescent="0.2">
      <c r="B271" s="2"/>
      <c r="C271" s="27"/>
      <c r="D271" s="27"/>
      <c r="E271" s="27"/>
      <c r="F271" s="27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2:20" ht="15.75" customHeight="1" x14ac:dyDescent="0.2">
      <c r="B272" s="2"/>
      <c r="C272" s="27"/>
      <c r="D272" s="27"/>
      <c r="E272" s="27"/>
      <c r="F272" s="27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2:20" ht="15.75" customHeight="1" x14ac:dyDescent="0.2">
      <c r="B273" s="2"/>
      <c r="C273" s="27"/>
      <c r="D273" s="27"/>
      <c r="E273" s="27"/>
      <c r="F273" s="27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2:20" ht="15.75" customHeight="1" x14ac:dyDescent="0.2">
      <c r="B274" s="2"/>
      <c r="C274" s="27"/>
      <c r="D274" s="27"/>
      <c r="E274" s="27"/>
      <c r="F274" s="27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2:20" ht="15.75" customHeight="1" x14ac:dyDescent="0.2">
      <c r="B275" s="2"/>
      <c r="C275" s="27"/>
      <c r="D275" s="27"/>
      <c r="E275" s="27"/>
      <c r="F275" s="27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2:20" ht="15.75" customHeight="1" x14ac:dyDescent="0.2">
      <c r="B276" s="2"/>
      <c r="C276" s="27"/>
      <c r="D276" s="27"/>
      <c r="E276" s="27"/>
      <c r="F276" s="27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2:20" ht="15.75" customHeight="1" x14ac:dyDescent="0.2">
      <c r="B277" s="2"/>
      <c r="C277" s="27"/>
      <c r="D277" s="27"/>
      <c r="E277" s="27"/>
      <c r="F277" s="27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2:20" ht="15.75" customHeight="1" x14ac:dyDescent="0.2">
      <c r="B278" s="2"/>
      <c r="C278" s="27"/>
      <c r="D278" s="27"/>
      <c r="E278" s="27"/>
      <c r="F278" s="27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2:20" ht="15.75" customHeight="1" x14ac:dyDescent="0.2">
      <c r="B279" s="2"/>
      <c r="C279" s="27"/>
      <c r="D279" s="27"/>
      <c r="E279" s="27"/>
      <c r="F279" s="27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2:20" ht="15.75" customHeight="1" x14ac:dyDescent="0.2">
      <c r="B280" s="2"/>
      <c r="C280" s="27"/>
      <c r="D280" s="27"/>
      <c r="E280" s="27"/>
      <c r="F280" s="27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2:20" ht="15.75" customHeight="1" x14ac:dyDescent="0.2">
      <c r="B281" s="2"/>
      <c r="C281" s="27"/>
      <c r="D281" s="27"/>
      <c r="E281" s="27"/>
      <c r="F281" s="27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2:20" ht="15.75" customHeight="1" x14ac:dyDescent="0.2">
      <c r="B282" s="2"/>
      <c r="C282" s="27"/>
      <c r="D282" s="27"/>
      <c r="E282" s="27"/>
      <c r="F282" s="27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2:20" ht="15.75" customHeight="1" x14ac:dyDescent="0.2">
      <c r="B283" s="2"/>
      <c r="C283" s="27"/>
      <c r="D283" s="27"/>
      <c r="E283" s="27"/>
      <c r="F283" s="27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2:20" ht="15.75" customHeight="1" x14ac:dyDescent="0.2">
      <c r="B284" s="2"/>
      <c r="C284" s="27"/>
      <c r="D284" s="27"/>
      <c r="E284" s="27"/>
      <c r="F284" s="27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2:20" ht="15.75" customHeight="1" x14ac:dyDescent="0.2">
      <c r="B285" s="2"/>
      <c r="C285" s="27"/>
      <c r="D285" s="27"/>
      <c r="E285" s="27"/>
      <c r="F285" s="27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2:20" ht="15.75" customHeight="1" x14ac:dyDescent="0.2">
      <c r="B286" s="2"/>
      <c r="C286" s="27"/>
      <c r="D286" s="27"/>
      <c r="E286" s="27"/>
      <c r="F286" s="27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2:20" ht="15.75" customHeight="1" x14ac:dyDescent="0.2">
      <c r="B287" s="2"/>
      <c r="C287" s="27"/>
      <c r="D287" s="27"/>
      <c r="E287" s="27"/>
      <c r="F287" s="27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2:20" ht="15.75" customHeight="1" x14ac:dyDescent="0.2">
      <c r="B288" s="2"/>
      <c r="C288" s="27"/>
      <c r="D288" s="27"/>
      <c r="E288" s="27"/>
      <c r="F288" s="27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2:20" ht="15.75" customHeight="1" x14ac:dyDescent="0.2">
      <c r="B289" s="2"/>
      <c r="C289" s="27"/>
      <c r="D289" s="27"/>
      <c r="E289" s="27"/>
      <c r="F289" s="27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2:20" ht="15.75" customHeight="1" x14ac:dyDescent="0.2">
      <c r="B290" s="2"/>
      <c r="C290" s="27"/>
      <c r="D290" s="27"/>
      <c r="E290" s="27"/>
      <c r="F290" s="27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2:20" ht="15.75" customHeight="1" x14ac:dyDescent="0.2">
      <c r="B291" s="2"/>
      <c r="C291" s="27"/>
      <c r="D291" s="27"/>
      <c r="E291" s="27"/>
      <c r="F291" s="27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2:20" ht="15.75" customHeight="1" x14ac:dyDescent="0.2">
      <c r="B292" s="2"/>
      <c r="C292" s="27"/>
      <c r="D292" s="27"/>
      <c r="E292" s="27"/>
      <c r="F292" s="27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2:20" ht="15.75" customHeight="1" x14ac:dyDescent="0.2">
      <c r="B293" s="2"/>
      <c r="C293" s="27"/>
      <c r="D293" s="27"/>
      <c r="E293" s="27"/>
      <c r="F293" s="27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2:20" ht="15.75" customHeight="1" x14ac:dyDescent="0.2">
      <c r="B294" s="2"/>
      <c r="C294" s="27"/>
      <c r="D294" s="27"/>
      <c r="E294" s="27"/>
      <c r="F294" s="27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2:20" ht="15.75" customHeight="1" x14ac:dyDescent="0.2">
      <c r="B295" s="2"/>
      <c r="C295" s="27"/>
      <c r="D295" s="27"/>
      <c r="E295" s="27"/>
      <c r="F295" s="27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2:20" ht="15.75" customHeight="1" x14ac:dyDescent="0.2">
      <c r="B296" s="2"/>
      <c r="C296" s="27"/>
      <c r="D296" s="27"/>
      <c r="E296" s="27"/>
      <c r="F296" s="27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2:20" ht="15.75" customHeight="1" x14ac:dyDescent="0.2">
      <c r="B297" s="2"/>
      <c r="C297" s="27"/>
      <c r="D297" s="27"/>
      <c r="E297" s="27"/>
      <c r="F297" s="27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2:20" ht="15.75" customHeight="1" x14ac:dyDescent="0.2">
      <c r="B298" s="2"/>
      <c r="C298" s="27"/>
      <c r="D298" s="27"/>
      <c r="E298" s="27"/>
      <c r="F298" s="27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2:20" ht="15.75" customHeight="1" x14ac:dyDescent="0.2">
      <c r="B299" s="2"/>
      <c r="C299" s="27"/>
      <c r="D299" s="27"/>
      <c r="E299" s="27"/>
      <c r="F299" s="27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2:20" ht="15.75" customHeight="1" x14ac:dyDescent="0.2">
      <c r="B300" s="2"/>
      <c r="C300" s="27"/>
      <c r="D300" s="27"/>
      <c r="E300" s="27"/>
      <c r="F300" s="27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2:20" ht="15.75" customHeight="1" x14ac:dyDescent="0.2">
      <c r="B301" s="2"/>
      <c r="C301" s="27"/>
      <c r="D301" s="27"/>
      <c r="E301" s="27"/>
      <c r="F301" s="27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2:20" ht="15.75" customHeight="1" x14ac:dyDescent="0.2">
      <c r="B302" s="2"/>
      <c r="C302" s="27"/>
      <c r="D302" s="27"/>
      <c r="E302" s="27"/>
      <c r="F302" s="27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2:20" ht="15.75" customHeight="1" x14ac:dyDescent="0.2">
      <c r="B303" s="2"/>
      <c r="C303" s="27"/>
      <c r="D303" s="27"/>
      <c r="E303" s="27"/>
      <c r="F303" s="27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2:20" ht="15.75" customHeight="1" x14ac:dyDescent="0.2">
      <c r="B304" s="2"/>
      <c r="C304" s="27"/>
      <c r="D304" s="27"/>
      <c r="E304" s="27"/>
      <c r="F304" s="27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2:20" ht="15.75" customHeight="1" x14ac:dyDescent="0.2">
      <c r="B305" s="2"/>
      <c r="C305" s="27"/>
      <c r="D305" s="27"/>
      <c r="E305" s="27"/>
      <c r="F305" s="27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2:20" ht="15.75" customHeight="1" x14ac:dyDescent="0.2">
      <c r="B306" s="2"/>
      <c r="C306" s="27"/>
      <c r="D306" s="27"/>
      <c r="E306" s="27"/>
      <c r="F306" s="27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2:20" ht="15.75" customHeight="1" x14ac:dyDescent="0.2">
      <c r="B307" s="2"/>
      <c r="C307" s="27"/>
      <c r="D307" s="27"/>
      <c r="E307" s="27"/>
      <c r="F307" s="27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2:20" ht="15.75" customHeight="1" x14ac:dyDescent="0.2">
      <c r="B308" s="2"/>
      <c r="C308" s="27"/>
      <c r="D308" s="27"/>
      <c r="E308" s="27"/>
      <c r="F308" s="27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2:20" ht="15.75" customHeight="1" x14ac:dyDescent="0.2">
      <c r="B309" s="2"/>
      <c r="C309" s="27"/>
      <c r="D309" s="27"/>
      <c r="E309" s="27"/>
      <c r="F309" s="27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2:20" ht="15.75" customHeight="1" x14ac:dyDescent="0.2">
      <c r="B310" s="2"/>
      <c r="C310" s="27"/>
      <c r="D310" s="27"/>
      <c r="E310" s="27"/>
      <c r="F310" s="27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2:20" ht="15.75" customHeight="1" x14ac:dyDescent="0.2">
      <c r="B311" s="2"/>
      <c r="C311" s="27"/>
      <c r="D311" s="27"/>
      <c r="E311" s="27"/>
      <c r="F311" s="27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2:20" ht="15.75" customHeight="1" x14ac:dyDescent="0.2">
      <c r="B312" s="2"/>
      <c r="C312" s="27"/>
      <c r="D312" s="27"/>
      <c r="E312" s="27"/>
      <c r="F312" s="27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2:20" ht="15.75" customHeight="1" x14ac:dyDescent="0.2">
      <c r="B313" s="2"/>
      <c r="C313" s="27"/>
      <c r="D313" s="27"/>
      <c r="E313" s="27"/>
      <c r="F313" s="27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2:20" ht="15.75" customHeight="1" x14ac:dyDescent="0.2">
      <c r="B314" s="2"/>
      <c r="C314" s="27"/>
      <c r="D314" s="27"/>
      <c r="E314" s="27"/>
      <c r="F314" s="27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2:20" ht="15.75" customHeight="1" x14ac:dyDescent="0.2">
      <c r="B315" s="2"/>
      <c r="C315" s="27"/>
      <c r="D315" s="27"/>
      <c r="E315" s="27"/>
      <c r="F315" s="27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2:20" ht="15.75" customHeight="1" x14ac:dyDescent="0.2">
      <c r="B316" s="2"/>
      <c r="C316" s="27"/>
      <c r="D316" s="27"/>
      <c r="E316" s="27"/>
      <c r="F316" s="27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2:20" ht="15.75" customHeight="1" x14ac:dyDescent="0.2">
      <c r="B317" s="2"/>
      <c r="C317" s="27"/>
      <c r="D317" s="27"/>
      <c r="E317" s="27"/>
      <c r="F317" s="27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2:20" ht="15.75" customHeight="1" x14ac:dyDescent="0.2">
      <c r="B318" s="2"/>
      <c r="C318" s="27"/>
      <c r="D318" s="27"/>
      <c r="E318" s="27"/>
      <c r="F318" s="27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2:20" ht="15.75" customHeight="1" x14ac:dyDescent="0.2">
      <c r="B319" s="2"/>
      <c r="C319" s="27"/>
      <c r="D319" s="27"/>
      <c r="E319" s="27"/>
      <c r="F319" s="27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2:20" ht="15.75" customHeight="1" x14ac:dyDescent="0.2">
      <c r="B320" s="2"/>
      <c r="C320" s="27"/>
      <c r="D320" s="27"/>
      <c r="E320" s="27"/>
      <c r="F320" s="27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2:20" ht="15.75" customHeight="1" x14ac:dyDescent="0.2">
      <c r="B321" s="2"/>
      <c r="C321" s="27"/>
      <c r="D321" s="27"/>
      <c r="E321" s="27"/>
      <c r="F321" s="27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2:20" ht="15.75" customHeight="1" x14ac:dyDescent="0.2">
      <c r="B322" s="2"/>
      <c r="C322" s="27"/>
      <c r="D322" s="27"/>
      <c r="E322" s="27"/>
      <c r="F322" s="27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2:20" ht="15.75" customHeight="1" x14ac:dyDescent="0.2">
      <c r="B323" s="2"/>
      <c r="C323" s="27"/>
      <c r="D323" s="27"/>
      <c r="E323" s="27"/>
      <c r="F323" s="27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2:20" ht="15.75" customHeight="1" x14ac:dyDescent="0.2">
      <c r="B324" s="2"/>
      <c r="C324" s="27"/>
      <c r="D324" s="27"/>
      <c r="E324" s="27"/>
      <c r="F324" s="27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2:20" ht="15.75" customHeight="1" x14ac:dyDescent="0.2">
      <c r="B325" s="2"/>
      <c r="C325" s="27"/>
      <c r="D325" s="27"/>
      <c r="E325" s="27"/>
      <c r="F325" s="27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2:20" ht="15.75" customHeight="1" x14ac:dyDescent="0.2">
      <c r="B326" s="2"/>
      <c r="C326" s="27"/>
      <c r="D326" s="27"/>
      <c r="E326" s="27"/>
      <c r="F326" s="27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2:20" ht="15.75" customHeight="1" x14ac:dyDescent="0.2">
      <c r="B327" s="2"/>
      <c r="C327" s="27"/>
      <c r="D327" s="27"/>
      <c r="E327" s="27"/>
      <c r="F327" s="27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2:20" ht="15.75" customHeight="1" x14ac:dyDescent="0.2">
      <c r="B328" s="2"/>
      <c r="C328" s="27"/>
      <c r="D328" s="27"/>
      <c r="E328" s="27"/>
      <c r="F328" s="27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2:20" ht="15.75" customHeight="1" x14ac:dyDescent="0.2">
      <c r="B329" s="2"/>
      <c r="C329" s="27"/>
      <c r="D329" s="27"/>
      <c r="E329" s="27"/>
      <c r="F329" s="27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2:20" ht="15.75" customHeight="1" x14ac:dyDescent="0.2">
      <c r="B330" s="2"/>
      <c r="C330" s="27"/>
      <c r="D330" s="27"/>
      <c r="E330" s="27"/>
      <c r="F330" s="27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2:20" ht="15.75" customHeight="1" x14ac:dyDescent="0.2">
      <c r="B331" s="2"/>
      <c r="C331" s="27"/>
      <c r="D331" s="27"/>
      <c r="E331" s="27"/>
      <c r="F331" s="27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2:20" ht="15.75" customHeight="1" x14ac:dyDescent="0.2">
      <c r="B332" s="2"/>
      <c r="C332" s="27"/>
      <c r="D332" s="27"/>
      <c r="E332" s="27"/>
      <c r="F332" s="27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2:20" ht="15.75" customHeight="1" x14ac:dyDescent="0.2">
      <c r="B333" s="2"/>
      <c r="C333" s="27"/>
      <c r="D333" s="27"/>
      <c r="E333" s="27"/>
      <c r="F333" s="27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2:20" ht="15.75" customHeight="1" x14ac:dyDescent="0.2">
      <c r="B334" s="2"/>
      <c r="C334" s="27"/>
      <c r="D334" s="27"/>
      <c r="E334" s="27"/>
      <c r="F334" s="27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2:20" ht="15.75" customHeight="1" x14ac:dyDescent="0.2">
      <c r="B335" s="2"/>
      <c r="C335" s="27"/>
      <c r="D335" s="27"/>
      <c r="E335" s="27"/>
      <c r="F335" s="27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2:20" ht="15.75" customHeight="1" x14ac:dyDescent="0.2">
      <c r="B336" s="2"/>
      <c r="C336" s="27"/>
      <c r="D336" s="27"/>
      <c r="E336" s="27"/>
      <c r="F336" s="27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2:20" ht="15.75" customHeight="1" x14ac:dyDescent="0.2">
      <c r="B337" s="2"/>
      <c r="C337" s="27"/>
      <c r="D337" s="27"/>
      <c r="E337" s="27"/>
      <c r="F337" s="27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2:20" ht="15.75" customHeight="1" x14ac:dyDescent="0.2">
      <c r="B338" s="2"/>
      <c r="C338" s="27"/>
      <c r="D338" s="27"/>
      <c r="E338" s="27"/>
      <c r="F338" s="27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2:20" ht="15.75" customHeight="1" x14ac:dyDescent="0.2">
      <c r="B339" s="2"/>
      <c r="C339" s="27"/>
      <c r="D339" s="27"/>
      <c r="E339" s="27"/>
      <c r="F339" s="27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2:20" ht="15.75" customHeight="1" x14ac:dyDescent="0.2">
      <c r="B340" s="2"/>
      <c r="C340" s="27"/>
      <c r="D340" s="27"/>
      <c r="E340" s="27"/>
      <c r="F340" s="27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2:20" ht="15.75" customHeight="1" x14ac:dyDescent="0.2">
      <c r="B341" s="2"/>
      <c r="C341" s="27"/>
      <c r="D341" s="27"/>
      <c r="E341" s="27"/>
      <c r="F341" s="27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2:20" ht="15.75" customHeight="1" x14ac:dyDescent="0.2">
      <c r="B342" s="2"/>
      <c r="C342" s="27"/>
      <c r="D342" s="27"/>
      <c r="E342" s="27"/>
      <c r="F342" s="27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2:20" ht="15.75" customHeight="1" x14ac:dyDescent="0.2">
      <c r="B343" s="2"/>
      <c r="C343" s="27"/>
      <c r="D343" s="27"/>
      <c r="E343" s="27"/>
      <c r="F343" s="27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2:20" ht="15.75" customHeight="1" x14ac:dyDescent="0.2">
      <c r="B344" s="2"/>
      <c r="C344" s="27"/>
      <c r="D344" s="27"/>
      <c r="E344" s="27"/>
      <c r="F344" s="27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2:20" ht="15.75" customHeight="1" x14ac:dyDescent="0.2">
      <c r="B345" s="2"/>
      <c r="C345" s="27"/>
      <c r="D345" s="27"/>
      <c r="E345" s="27"/>
      <c r="F345" s="27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2:20" ht="15.75" customHeight="1" x14ac:dyDescent="0.2">
      <c r="B346" s="2"/>
      <c r="C346" s="27"/>
      <c r="D346" s="27"/>
      <c r="E346" s="27"/>
      <c r="F346" s="27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2:20" ht="15.75" customHeight="1" x14ac:dyDescent="0.2">
      <c r="B347" s="2"/>
      <c r="C347" s="27"/>
      <c r="D347" s="27"/>
      <c r="E347" s="27"/>
      <c r="F347" s="27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2:20" ht="15.75" customHeight="1" x14ac:dyDescent="0.2">
      <c r="B348" s="2"/>
      <c r="C348" s="27"/>
      <c r="D348" s="27"/>
      <c r="E348" s="27"/>
      <c r="F348" s="27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2:20" ht="15.75" customHeight="1" x14ac:dyDescent="0.2">
      <c r="B349" s="2"/>
      <c r="C349" s="27"/>
      <c r="D349" s="27"/>
      <c r="E349" s="27"/>
      <c r="F349" s="27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2:20" ht="15.75" customHeight="1" x14ac:dyDescent="0.2">
      <c r="B350" s="2"/>
      <c r="C350" s="27"/>
      <c r="D350" s="27"/>
      <c r="E350" s="27"/>
      <c r="F350" s="27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2:20" ht="15.75" customHeight="1" x14ac:dyDescent="0.2">
      <c r="B351" s="2"/>
      <c r="C351" s="27"/>
      <c r="D351" s="27"/>
      <c r="E351" s="27"/>
      <c r="F351" s="27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2:20" ht="15.75" customHeight="1" x14ac:dyDescent="0.2">
      <c r="B352" s="2"/>
      <c r="C352" s="27"/>
      <c r="D352" s="27"/>
      <c r="E352" s="27"/>
      <c r="F352" s="27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2:20" ht="15.75" customHeight="1" x14ac:dyDescent="0.2">
      <c r="B353" s="2"/>
      <c r="C353" s="27"/>
      <c r="D353" s="27"/>
      <c r="E353" s="27"/>
      <c r="F353" s="27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2:20" ht="15.75" customHeight="1" x14ac:dyDescent="0.2">
      <c r="B354" s="2"/>
      <c r="C354" s="27"/>
      <c r="D354" s="27"/>
      <c r="E354" s="27"/>
      <c r="F354" s="27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2:20" ht="15.75" customHeight="1" x14ac:dyDescent="0.2">
      <c r="B355" s="2"/>
      <c r="C355" s="27"/>
      <c r="D355" s="27"/>
      <c r="E355" s="27"/>
      <c r="F355" s="27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2:20" ht="15.75" customHeight="1" x14ac:dyDescent="0.2">
      <c r="B356" s="2"/>
      <c r="C356" s="27"/>
      <c r="D356" s="27"/>
      <c r="E356" s="27"/>
      <c r="F356" s="27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2:20" ht="15.75" customHeight="1" x14ac:dyDescent="0.2">
      <c r="B357" s="2"/>
      <c r="C357" s="27"/>
      <c r="D357" s="27"/>
      <c r="E357" s="27"/>
      <c r="F357" s="27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2:20" ht="15.75" customHeight="1" x14ac:dyDescent="0.2">
      <c r="B358" s="2"/>
      <c r="C358" s="27"/>
      <c r="D358" s="27"/>
      <c r="E358" s="27"/>
      <c r="F358" s="27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2:20" ht="15.75" customHeight="1" x14ac:dyDescent="0.2">
      <c r="B359" s="2"/>
      <c r="C359" s="27"/>
      <c r="D359" s="27"/>
      <c r="E359" s="27"/>
      <c r="F359" s="27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2:20" ht="15.75" customHeight="1" x14ac:dyDescent="0.2">
      <c r="B360" s="2"/>
      <c r="C360" s="27"/>
      <c r="D360" s="27"/>
      <c r="E360" s="27"/>
      <c r="F360" s="27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2:20" ht="15.75" customHeight="1" x14ac:dyDescent="0.2">
      <c r="B361" s="2"/>
      <c r="C361" s="27"/>
      <c r="D361" s="27"/>
      <c r="E361" s="27"/>
      <c r="F361" s="27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2:20" ht="15.75" customHeight="1" x14ac:dyDescent="0.2">
      <c r="B362" s="2"/>
      <c r="C362" s="27"/>
      <c r="D362" s="27"/>
      <c r="E362" s="27"/>
      <c r="F362" s="27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2:20" ht="15.75" customHeight="1" x14ac:dyDescent="0.2">
      <c r="B363" s="2"/>
      <c r="C363" s="27"/>
      <c r="D363" s="27"/>
      <c r="E363" s="27"/>
      <c r="F363" s="27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2:20" ht="15.75" customHeight="1" x14ac:dyDescent="0.2">
      <c r="B364" s="2"/>
      <c r="C364" s="27"/>
      <c r="D364" s="27"/>
      <c r="E364" s="27"/>
      <c r="F364" s="27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2:20" ht="15.75" customHeight="1" x14ac:dyDescent="0.2">
      <c r="B365" s="2"/>
      <c r="C365" s="27"/>
      <c r="D365" s="27"/>
      <c r="E365" s="27"/>
      <c r="F365" s="27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2:20" ht="15.75" customHeight="1" x14ac:dyDescent="0.2">
      <c r="B366" s="2"/>
      <c r="C366" s="27"/>
      <c r="D366" s="27"/>
      <c r="E366" s="27"/>
      <c r="F366" s="27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2:20" ht="15.75" customHeight="1" x14ac:dyDescent="0.2">
      <c r="B367" s="2"/>
      <c r="C367" s="27"/>
      <c r="D367" s="27"/>
      <c r="E367" s="27"/>
      <c r="F367" s="27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2:20" ht="15.75" customHeight="1" x14ac:dyDescent="0.2">
      <c r="B368" s="2"/>
      <c r="C368" s="27"/>
      <c r="D368" s="27"/>
      <c r="E368" s="27"/>
      <c r="F368" s="27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2:20" ht="15.75" customHeight="1" x14ac:dyDescent="0.2">
      <c r="B369" s="2"/>
      <c r="C369" s="27"/>
      <c r="D369" s="27"/>
      <c r="E369" s="27"/>
      <c r="F369" s="27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2:20" ht="15.75" customHeight="1" x14ac:dyDescent="0.2">
      <c r="B370" s="2"/>
      <c r="C370" s="27"/>
      <c r="D370" s="27"/>
      <c r="E370" s="27"/>
      <c r="F370" s="27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2:20" ht="15.75" customHeight="1" x14ac:dyDescent="0.2">
      <c r="B371" s="2"/>
      <c r="C371" s="27"/>
      <c r="D371" s="27"/>
      <c r="E371" s="27"/>
      <c r="F371" s="27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2:20" ht="15.75" customHeight="1" x14ac:dyDescent="0.2">
      <c r="B372" s="2"/>
      <c r="C372" s="27"/>
      <c r="D372" s="27"/>
      <c r="E372" s="27"/>
      <c r="F372" s="27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2:20" ht="15.75" customHeight="1" x14ac:dyDescent="0.2">
      <c r="B373" s="2"/>
      <c r="C373" s="27"/>
      <c r="D373" s="27"/>
      <c r="E373" s="27"/>
      <c r="F373" s="27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2:20" ht="15.75" customHeight="1" x14ac:dyDescent="0.2">
      <c r="B374" s="2"/>
      <c r="C374" s="27"/>
      <c r="D374" s="27"/>
      <c r="E374" s="27"/>
      <c r="F374" s="27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2:20" ht="15.75" customHeight="1" x14ac:dyDescent="0.2">
      <c r="B375" s="2"/>
      <c r="C375" s="27"/>
      <c r="D375" s="27"/>
      <c r="E375" s="27"/>
      <c r="F375" s="27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2:20" ht="15.75" customHeight="1" x14ac:dyDescent="0.2">
      <c r="B376" s="2"/>
      <c r="C376" s="27"/>
      <c r="D376" s="27"/>
      <c r="E376" s="27"/>
      <c r="F376" s="27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2:20" ht="15.75" customHeight="1" x14ac:dyDescent="0.2">
      <c r="B377" s="2"/>
      <c r="C377" s="27"/>
      <c r="D377" s="27"/>
      <c r="E377" s="27"/>
      <c r="F377" s="27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2:20" ht="15.75" customHeight="1" x14ac:dyDescent="0.2">
      <c r="B378" s="2"/>
      <c r="C378" s="27"/>
      <c r="D378" s="27"/>
      <c r="E378" s="27"/>
      <c r="F378" s="27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2:20" ht="15.75" customHeight="1" x14ac:dyDescent="0.2">
      <c r="B379" s="2"/>
      <c r="C379" s="27"/>
      <c r="D379" s="27"/>
      <c r="E379" s="27"/>
      <c r="F379" s="27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2:20" ht="15.75" customHeight="1" x14ac:dyDescent="0.2">
      <c r="B380" s="2"/>
      <c r="C380" s="27"/>
      <c r="D380" s="27"/>
      <c r="E380" s="27"/>
      <c r="F380" s="27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2:20" ht="15.75" customHeight="1" x14ac:dyDescent="0.2">
      <c r="B381" s="2"/>
      <c r="C381" s="27"/>
      <c r="D381" s="27"/>
      <c r="E381" s="27"/>
      <c r="F381" s="27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2:20" ht="15.75" customHeight="1" x14ac:dyDescent="0.2">
      <c r="B382" s="2"/>
      <c r="C382" s="27"/>
      <c r="D382" s="27"/>
      <c r="E382" s="27"/>
      <c r="F382" s="27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2:20" ht="15.75" customHeight="1" x14ac:dyDescent="0.2">
      <c r="B383" s="2"/>
      <c r="C383" s="27"/>
      <c r="D383" s="27"/>
      <c r="E383" s="27"/>
      <c r="F383" s="27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2:20" ht="15.75" customHeight="1" x14ac:dyDescent="0.2">
      <c r="B384" s="2"/>
      <c r="C384" s="27"/>
      <c r="D384" s="27"/>
      <c r="E384" s="27"/>
      <c r="F384" s="27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2:20" ht="15.75" customHeight="1" x14ac:dyDescent="0.2">
      <c r="B385" s="2"/>
      <c r="C385" s="27"/>
      <c r="D385" s="27"/>
      <c r="E385" s="27"/>
      <c r="F385" s="27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2:20" ht="15.75" customHeight="1" x14ac:dyDescent="0.2">
      <c r="B386" s="2"/>
      <c r="C386" s="27"/>
      <c r="D386" s="27"/>
      <c r="E386" s="27"/>
      <c r="F386" s="27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2:20" ht="15.75" customHeight="1" x14ac:dyDescent="0.2">
      <c r="B387" s="2"/>
      <c r="C387" s="27"/>
      <c r="D387" s="27"/>
      <c r="E387" s="27"/>
      <c r="F387" s="27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2:20" ht="15.75" customHeight="1" x14ac:dyDescent="0.2">
      <c r="B388" s="2"/>
      <c r="C388" s="27"/>
      <c r="D388" s="27"/>
      <c r="E388" s="27"/>
      <c r="F388" s="27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2:20" ht="15.75" customHeight="1" x14ac:dyDescent="0.2">
      <c r="B389" s="2"/>
      <c r="C389" s="27"/>
      <c r="D389" s="27"/>
      <c r="E389" s="27"/>
      <c r="F389" s="27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2:20" ht="15.75" customHeight="1" x14ac:dyDescent="0.2">
      <c r="B390" s="2"/>
      <c r="C390" s="27"/>
      <c r="D390" s="27"/>
      <c r="E390" s="27"/>
      <c r="F390" s="27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2:20" ht="15.75" customHeight="1" x14ac:dyDescent="0.2">
      <c r="B391" s="2"/>
      <c r="C391" s="27"/>
      <c r="D391" s="27"/>
      <c r="E391" s="27"/>
      <c r="F391" s="27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2:20" ht="15.75" customHeight="1" x14ac:dyDescent="0.2">
      <c r="B392" s="2"/>
      <c r="C392" s="27"/>
      <c r="D392" s="27"/>
      <c r="E392" s="27"/>
      <c r="F392" s="27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2:20" ht="15.75" customHeight="1" x14ac:dyDescent="0.2">
      <c r="B393" s="2"/>
      <c r="C393" s="27"/>
      <c r="D393" s="27"/>
      <c r="E393" s="27"/>
      <c r="F393" s="27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2:20" ht="15.75" customHeight="1" x14ac:dyDescent="0.2">
      <c r="B394" s="2"/>
      <c r="C394" s="27"/>
      <c r="D394" s="27"/>
      <c r="E394" s="27"/>
      <c r="F394" s="27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2:20" ht="15.75" customHeight="1" x14ac:dyDescent="0.2">
      <c r="B395" s="2"/>
      <c r="C395" s="27"/>
      <c r="D395" s="27"/>
      <c r="E395" s="27"/>
      <c r="F395" s="27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2:20" ht="15.75" customHeight="1" x14ac:dyDescent="0.2">
      <c r="B396" s="2"/>
      <c r="C396" s="27"/>
      <c r="D396" s="27"/>
      <c r="E396" s="27"/>
      <c r="F396" s="27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2:20" ht="15.75" customHeight="1" x14ac:dyDescent="0.2">
      <c r="B397" s="2"/>
      <c r="C397" s="27"/>
      <c r="D397" s="27"/>
      <c r="E397" s="27"/>
      <c r="F397" s="27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2:20" ht="15.75" customHeight="1" x14ac:dyDescent="0.2">
      <c r="B398" s="2"/>
      <c r="C398" s="27"/>
      <c r="D398" s="27"/>
      <c r="E398" s="27"/>
      <c r="F398" s="27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2:20" ht="15.75" customHeight="1" x14ac:dyDescent="0.2">
      <c r="B399" s="2"/>
      <c r="C399" s="27"/>
      <c r="D399" s="27"/>
      <c r="E399" s="27"/>
      <c r="F399" s="27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2:20" ht="15.75" customHeight="1" x14ac:dyDescent="0.2">
      <c r="B400" s="2"/>
      <c r="C400" s="27"/>
      <c r="D400" s="27"/>
      <c r="E400" s="27"/>
      <c r="F400" s="27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2:20" ht="15.75" customHeight="1" x14ac:dyDescent="0.2">
      <c r="B401" s="2"/>
      <c r="C401" s="27"/>
      <c r="D401" s="27"/>
      <c r="E401" s="27"/>
      <c r="F401" s="27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2:20" ht="15.75" customHeight="1" x14ac:dyDescent="0.2">
      <c r="B402" s="2"/>
      <c r="C402" s="27"/>
      <c r="D402" s="27"/>
      <c r="E402" s="27"/>
      <c r="F402" s="27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2:20" ht="15.75" customHeight="1" x14ac:dyDescent="0.2">
      <c r="B403" s="2"/>
      <c r="C403" s="27"/>
      <c r="D403" s="27"/>
      <c r="E403" s="27"/>
      <c r="F403" s="27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2:20" ht="15.75" customHeight="1" x14ac:dyDescent="0.2">
      <c r="B404" s="2"/>
      <c r="C404" s="27"/>
      <c r="D404" s="27"/>
      <c r="E404" s="27"/>
      <c r="F404" s="27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2:20" ht="15.75" customHeight="1" x14ac:dyDescent="0.2">
      <c r="B405" s="2"/>
      <c r="C405" s="27"/>
      <c r="D405" s="27"/>
      <c r="E405" s="27"/>
      <c r="F405" s="27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2:20" ht="15.75" customHeight="1" x14ac:dyDescent="0.2">
      <c r="B406" s="2"/>
      <c r="C406" s="27"/>
      <c r="D406" s="27"/>
      <c r="E406" s="27"/>
      <c r="F406" s="27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2:20" ht="15.75" customHeight="1" x14ac:dyDescent="0.2">
      <c r="B407" s="2"/>
      <c r="C407" s="27"/>
      <c r="D407" s="27"/>
      <c r="E407" s="27"/>
      <c r="F407" s="27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2:20" ht="15.75" customHeight="1" x14ac:dyDescent="0.2">
      <c r="B408" s="2"/>
      <c r="C408" s="27"/>
      <c r="D408" s="27"/>
      <c r="E408" s="27"/>
      <c r="F408" s="27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2:20" ht="15.75" customHeight="1" x14ac:dyDescent="0.2">
      <c r="B409" s="2"/>
      <c r="C409" s="27"/>
      <c r="D409" s="27"/>
      <c r="E409" s="27"/>
      <c r="F409" s="27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2:20" ht="15.75" customHeight="1" x14ac:dyDescent="0.2">
      <c r="B410" s="2"/>
      <c r="C410" s="27"/>
      <c r="D410" s="27"/>
      <c r="E410" s="27"/>
      <c r="F410" s="27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2:20" ht="15.75" customHeight="1" x14ac:dyDescent="0.2">
      <c r="B411" s="2"/>
      <c r="C411" s="27"/>
      <c r="D411" s="27"/>
      <c r="E411" s="27"/>
      <c r="F411" s="27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2:20" ht="15.75" customHeight="1" x14ac:dyDescent="0.2">
      <c r="B412" s="2"/>
      <c r="C412" s="27"/>
      <c r="D412" s="27"/>
      <c r="E412" s="27"/>
      <c r="F412" s="27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2:20" ht="15.75" customHeight="1" x14ac:dyDescent="0.2">
      <c r="B413" s="2"/>
      <c r="C413" s="27"/>
      <c r="D413" s="27"/>
      <c r="E413" s="27"/>
      <c r="F413" s="27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2:20" ht="15.75" customHeight="1" x14ac:dyDescent="0.2">
      <c r="B414" s="2"/>
      <c r="C414" s="27"/>
      <c r="D414" s="27"/>
      <c r="E414" s="27"/>
      <c r="F414" s="2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2:20" ht="15.75" customHeight="1" x14ac:dyDescent="0.2">
      <c r="B415" s="2"/>
      <c r="C415" s="27"/>
      <c r="D415" s="27"/>
      <c r="E415" s="27"/>
      <c r="F415" s="27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2:20" ht="15.75" customHeight="1" x14ac:dyDescent="0.2">
      <c r="B416" s="2"/>
      <c r="C416" s="27"/>
      <c r="D416" s="27"/>
      <c r="E416" s="27"/>
      <c r="F416" s="27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2:20" ht="15.75" customHeight="1" x14ac:dyDescent="0.2">
      <c r="B417" s="2"/>
      <c r="C417" s="27"/>
      <c r="D417" s="27"/>
      <c r="E417" s="27"/>
      <c r="F417" s="27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2:20" ht="15.75" customHeight="1" x14ac:dyDescent="0.2">
      <c r="B418" s="2"/>
      <c r="C418" s="27"/>
      <c r="D418" s="27"/>
      <c r="E418" s="27"/>
      <c r="F418" s="27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2:20" ht="15.75" customHeight="1" x14ac:dyDescent="0.2">
      <c r="B419" s="2"/>
      <c r="C419" s="27"/>
      <c r="D419" s="27"/>
      <c r="E419" s="27"/>
      <c r="F419" s="27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2:20" ht="15.75" customHeight="1" x14ac:dyDescent="0.2">
      <c r="B420" s="2"/>
      <c r="C420" s="27"/>
      <c r="D420" s="27"/>
      <c r="E420" s="27"/>
      <c r="F420" s="27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2:20" ht="15.75" customHeight="1" x14ac:dyDescent="0.2">
      <c r="B421" s="2"/>
      <c r="C421" s="27"/>
      <c r="D421" s="27"/>
      <c r="E421" s="27"/>
      <c r="F421" s="27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2:20" ht="15.75" customHeight="1" x14ac:dyDescent="0.2">
      <c r="B422" s="2"/>
      <c r="C422" s="27"/>
      <c r="D422" s="27"/>
      <c r="E422" s="27"/>
      <c r="F422" s="27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2:20" ht="15.75" customHeight="1" x14ac:dyDescent="0.2">
      <c r="B423" s="2"/>
      <c r="C423" s="27"/>
      <c r="D423" s="27"/>
      <c r="E423" s="27"/>
      <c r="F423" s="27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2:20" ht="15.75" customHeight="1" x14ac:dyDescent="0.2">
      <c r="B424" s="2"/>
      <c r="C424" s="27"/>
      <c r="D424" s="27"/>
      <c r="E424" s="27"/>
      <c r="F424" s="27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2:20" ht="15.75" customHeight="1" x14ac:dyDescent="0.2">
      <c r="B425" s="2"/>
      <c r="C425" s="27"/>
      <c r="D425" s="27"/>
      <c r="E425" s="27"/>
      <c r="F425" s="27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2:20" ht="15.75" customHeight="1" x14ac:dyDescent="0.2">
      <c r="B426" s="2"/>
      <c r="C426" s="27"/>
      <c r="D426" s="27"/>
      <c r="E426" s="27"/>
      <c r="F426" s="27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2:20" ht="15.75" customHeight="1" x14ac:dyDescent="0.2">
      <c r="B427" s="2"/>
      <c r="C427" s="27"/>
      <c r="D427" s="27"/>
      <c r="E427" s="27"/>
      <c r="F427" s="27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2:20" ht="15.75" customHeight="1" x14ac:dyDescent="0.2">
      <c r="B428" s="2"/>
      <c r="C428" s="27"/>
      <c r="D428" s="27"/>
      <c r="E428" s="27"/>
      <c r="F428" s="27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2:20" ht="15.75" customHeight="1" x14ac:dyDescent="0.2">
      <c r="B429" s="2"/>
      <c r="C429" s="27"/>
      <c r="D429" s="27"/>
      <c r="E429" s="27"/>
      <c r="F429" s="27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2:20" ht="15.75" customHeight="1" x14ac:dyDescent="0.2">
      <c r="B430" s="2"/>
      <c r="C430" s="27"/>
      <c r="D430" s="27"/>
      <c r="E430" s="27"/>
      <c r="F430" s="27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2:20" ht="15.75" customHeight="1" x14ac:dyDescent="0.2">
      <c r="B431" s="2"/>
      <c r="C431" s="27"/>
      <c r="D431" s="27"/>
      <c r="E431" s="27"/>
      <c r="F431" s="27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2:20" ht="15.75" customHeight="1" x14ac:dyDescent="0.2">
      <c r="B432" s="2"/>
      <c r="C432" s="27"/>
      <c r="D432" s="27"/>
      <c r="E432" s="27"/>
      <c r="F432" s="27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2:20" ht="15.75" customHeight="1" x14ac:dyDescent="0.2">
      <c r="B433" s="2"/>
      <c r="C433" s="27"/>
      <c r="D433" s="27"/>
      <c r="E433" s="27"/>
      <c r="F433" s="27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2:20" ht="15.75" customHeight="1" x14ac:dyDescent="0.2">
      <c r="B434" s="2"/>
      <c r="C434" s="27"/>
      <c r="D434" s="27"/>
      <c r="E434" s="27"/>
      <c r="F434" s="27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2:20" ht="15.75" customHeight="1" x14ac:dyDescent="0.2">
      <c r="B435" s="2"/>
      <c r="C435" s="27"/>
      <c r="D435" s="27"/>
      <c r="E435" s="27"/>
      <c r="F435" s="27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2:20" ht="15.75" customHeight="1" x14ac:dyDescent="0.2">
      <c r="B436" s="2"/>
      <c r="C436" s="27"/>
      <c r="D436" s="27"/>
      <c r="E436" s="27"/>
      <c r="F436" s="27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2:20" ht="15.75" customHeight="1" x14ac:dyDescent="0.2">
      <c r="B437" s="2"/>
      <c r="C437" s="27"/>
      <c r="D437" s="27"/>
      <c r="E437" s="27"/>
      <c r="F437" s="27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2:20" ht="15.75" customHeight="1" x14ac:dyDescent="0.2">
      <c r="B438" s="2"/>
      <c r="C438" s="27"/>
      <c r="D438" s="27"/>
      <c r="E438" s="27"/>
      <c r="F438" s="27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2:20" ht="15.75" customHeight="1" x14ac:dyDescent="0.2">
      <c r="B439" s="2"/>
      <c r="C439" s="27"/>
      <c r="D439" s="27"/>
      <c r="E439" s="27"/>
      <c r="F439" s="27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2:20" ht="15.75" customHeight="1" x14ac:dyDescent="0.2">
      <c r="B440" s="2"/>
      <c r="C440" s="27"/>
      <c r="D440" s="27"/>
      <c r="E440" s="27"/>
      <c r="F440" s="27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2:20" ht="15.75" customHeight="1" x14ac:dyDescent="0.2">
      <c r="B441" s="2"/>
      <c r="C441" s="27"/>
      <c r="D441" s="27"/>
      <c r="E441" s="27"/>
      <c r="F441" s="27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2:20" ht="15.75" customHeight="1" x14ac:dyDescent="0.2">
      <c r="B442" s="2"/>
      <c r="C442" s="27"/>
      <c r="D442" s="27"/>
      <c r="E442" s="27"/>
      <c r="F442" s="27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2:20" ht="15.75" customHeight="1" x14ac:dyDescent="0.2">
      <c r="B443" s="2"/>
      <c r="C443" s="27"/>
      <c r="D443" s="27"/>
      <c r="E443" s="27"/>
      <c r="F443" s="27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2:20" ht="15.75" customHeight="1" x14ac:dyDescent="0.2">
      <c r="B444" s="2"/>
      <c r="C444" s="27"/>
      <c r="D444" s="27"/>
      <c r="E444" s="27"/>
      <c r="F444" s="27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2:20" ht="15.75" customHeight="1" x14ac:dyDescent="0.2">
      <c r="B445" s="2"/>
      <c r="C445" s="27"/>
      <c r="D445" s="27"/>
      <c r="E445" s="27"/>
      <c r="F445" s="27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2:20" ht="15.75" customHeight="1" x14ac:dyDescent="0.2">
      <c r="B446" s="2"/>
      <c r="C446" s="27"/>
      <c r="D446" s="27"/>
      <c r="E446" s="27"/>
      <c r="F446" s="27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2:20" ht="15.75" customHeight="1" x14ac:dyDescent="0.2">
      <c r="B447" s="2"/>
      <c r="C447" s="27"/>
      <c r="D447" s="27"/>
      <c r="E447" s="27"/>
      <c r="F447" s="27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2:20" ht="15.75" customHeight="1" x14ac:dyDescent="0.2">
      <c r="B448" s="2"/>
      <c r="C448" s="27"/>
      <c r="D448" s="27"/>
      <c r="E448" s="27"/>
      <c r="F448" s="27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2:20" ht="15.75" customHeight="1" x14ac:dyDescent="0.2">
      <c r="B449" s="2"/>
      <c r="C449" s="27"/>
      <c r="D449" s="27"/>
      <c r="E449" s="27"/>
      <c r="F449" s="27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2:20" ht="15.75" customHeight="1" x14ac:dyDescent="0.2">
      <c r="B450" s="2"/>
      <c r="C450" s="27"/>
      <c r="D450" s="27"/>
      <c r="E450" s="27"/>
      <c r="F450" s="27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2:20" ht="15.75" customHeight="1" x14ac:dyDescent="0.2">
      <c r="B451" s="2"/>
      <c r="C451" s="27"/>
      <c r="D451" s="27"/>
      <c r="E451" s="27"/>
      <c r="F451" s="27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2:20" ht="15.75" customHeight="1" x14ac:dyDescent="0.2">
      <c r="B452" s="2"/>
      <c r="C452" s="27"/>
      <c r="D452" s="27"/>
      <c r="E452" s="27"/>
      <c r="F452" s="27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2:20" ht="15.75" customHeight="1" x14ac:dyDescent="0.2">
      <c r="B453" s="2"/>
      <c r="C453" s="27"/>
      <c r="D453" s="27"/>
      <c r="E453" s="27"/>
      <c r="F453" s="27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2:20" ht="15.75" customHeight="1" x14ac:dyDescent="0.2">
      <c r="B454" s="2"/>
      <c r="C454" s="27"/>
      <c r="D454" s="27"/>
      <c r="E454" s="27"/>
      <c r="F454" s="27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2:20" ht="15.75" customHeight="1" x14ac:dyDescent="0.2">
      <c r="B455" s="2"/>
      <c r="C455" s="27"/>
      <c r="D455" s="27"/>
      <c r="E455" s="27"/>
      <c r="F455" s="27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2:20" ht="15.75" customHeight="1" x14ac:dyDescent="0.2">
      <c r="B456" s="2"/>
      <c r="C456" s="27"/>
      <c r="D456" s="27"/>
      <c r="E456" s="27"/>
      <c r="F456" s="27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2:20" ht="15.75" customHeight="1" x14ac:dyDescent="0.2">
      <c r="B457" s="2"/>
      <c r="C457" s="27"/>
      <c r="D457" s="27"/>
      <c r="E457" s="27"/>
      <c r="F457" s="27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2:20" ht="15.75" customHeight="1" x14ac:dyDescent="0.2">
      <c r="B458" s="2"/>
      <c r="C458" s="27"/>
      <c r="D458" s="27"/>
      <c r="E458" s="27"/>
      <c r="F458" s="27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2:20" ht="15.75" customHeight="1" x14ac:dyDescent="0.2">
      <c r="B459" s="2"/>
      <c r="C459" s="27"/>
      <c r="D459" s="27"/>
      <c r="E459" s="27"/>
      <c r="F459" s="27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2:20" ht="15.75" customHeight="1" x14ac:dyDescent="0.2">
      <c r="B460" s="2"/>
      <c r="C460" s="27"/>
      <c r="D460" s="27"/>
      <c r="E460" s="27"/>
      <c r="F460" s="27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2:20" ht="15.75" customHeight="1" x14ac:dyDescent="0.2">
      <c r="B461" s="2"/>
      <c r="C461" s="27"/>
      <c r="D461" s="27"/>
      <c r="E461" s="27"/>
      <c r="F461" s="27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2:20" ht="15.75" customHeight="1" x14ac:dyDescent="0.2">
      <c r="B462" s="2"/>
      <c r="C462" s="27"/>
      <c r="D462" s="27"/>
      <c r="E462" s="27"/>
      <c r="F462" s="27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2:20" ht="15.75" customHeight="1" x14ac:dyDescent="0.2">
      <c r="B463" s="2"/>
      <c r="C463" s="27"/>
      <c r="D463" s="27"/>
      <c r="E463" s="27"/>
      <c r="F463" s="27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2:20" ht="15.75" customHeight="1" x14ac:dyDescent="0.2">
      <c r="B464" s="2"/>
      <c r="C464" s="27"/>
      <c r="D464" s="27"/>
      <c r="E464" s="27"/>
      <c r="F464" s="27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2:20" ht="15.75" customHeight="1" x14ac:dyDescent="0.2">
      <c r="B465" s="2"/>
      <c r="C465" s="27"/>
      <c r="D465" s="27"/>
      <c r="E465" s="27"/>
      <c r="F465" s="27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2:20" ht="15.75" customHeight="1" x14ac:dyDescent="0.2">
      <c r="B466" s="2"/>
      <c r="C466" s="27"/>
      <c r="D466" s="27"/>
      <c r="E466" s="27"/>
      <c r="F466" s="27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2:20" ht="15.75" customHeight="1" x14ac:dyDescent="0.2">
      <c r="B467" s="2"/>
      <c r="C467" s="27"/>
      <c r="D467" s="27"/>
      <c r="E467" s="27"/>
      <c r="F467" s="27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2:20" ht="15.75" customHeight="1" x14ac:dyDescent="0.2">
      <c r="B468" s="2"/>
      <c r="C468" s="27"/>
      <c r="D468" s="27"/>
      <c r="E468" s="27"/>
      <c r="F468" s="27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2:20" ht="15.75" customHeight="1" x14ac:dyDescent="0.2">
      <c r="B469" s="2"/>
      <c r="C469" s="27"/>
      <c r="D469" s="27"/>
      <c r="E469" s="27"/>
      <c r="F469" s="27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2:20" ht="15.75" customHeight="1" x14ac:dyDescent="0.2">
      <c r="B470" s="2"/>
      <c r="C470" s="27"/>
      <c r="D470" s="27"/>
      <c r="E470" s="27"/>
      <c r="F470" s="27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2:20" ht="15.75" customHeight="1" x14ac:dyDescent="0.2">
      <c r="B471" s="2"/>
      <c r="C471" s="27"/>
      <c r="D471" s="27"/>
      <c r="E471" s="27"/>
      <c r="F471" s="27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2:20" ht="15.75" customHeight="1" x14ac:dyDescent="0.2">
      <c r="B472" s="2"/>
      <c r="C472" s="27"/>
      <c r="D472" s="27"/>
      <c r="E472" s="27"/>
      <c r="F472" s="27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2:20" ht="15.75" customHeight="1" x14ac:dyDescent="0.2">
      <c r="B473" s="2"/>
      <c r="C473" s="27"/>
      <c r="D473" s="27"/>
      <c r="E473" s="27"/>
      <c r="F473" s="27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2:20" ht="15.75" customHeight="1" x14ac:dyDescent="0.2">
      <c r="B474" s="2"/>
      <c r="C474" s="27"/>
      <c r="D474" s="27"/>
      <c r="E474" s="27"/>
      <c r="F474" s="27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2:20" ht="15.75" customHeight="1" x14ac:dyDescent="0.2">
      <c r="B475" s="2"/>
      <c r="C475" s="27"/>
      <c r="D475" s="27"/>
      <c r="E475" s="27"/>
      <c r="F475" s="27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2:20" ht="15.75" customHeight="1" x14ac:dyDescent="0.2">
      <c r="B476" s="2"/>
      <c r="C476" s="27"/>
      <c r="D476" s="27"/>
      <c r="E476" s="27"/>
      <c r="F476" s="27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2:20" ht="15.75" customHeight="1" x14ac:dyDescent="0.2">
      <c r="B477" s="2"/>
      <c r="C477" s="27"/>
      <c r="D477" s="27"/>
      <c r="E477" s="27"/>
      <c r="F477" s="27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2:20" ht="15.75" customHeight="1" x14ac:dyDescent="0.2">
      <c r="B478" s="2"/>
      <c r="C478" s="27"/>
      <c r="D478" s="27"/>
      <c r="E478" s="27"/>
      <c r="F478" s="27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2:20" ht="15.75" customHeight="1" x14ac:dyDescent="0.2">
      <c r="B479" s="2"/>
      <c r="C479" s="27"/>
      <c r="D479" s="27"/>
      <c r="E479" s="27"/>
      <c r="F479" s="27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2:20" ht="15.75" customHeight="1" x14ac:dyDescent="0.2">
      <c r="B480" s="2"/>
      <c r="C480" s="27"/>
      <c r="D480" s="27"/>
      <c r="E480" s="27"/>
      <c r="F480" s="27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2:20" ht="15.75" customHeight="1" x14ac:dyDescent="0.2">
      <c r="B481" s="2"/>
      <c r="C481" s="27"/>
      <c r="D481" s="27"/>
      <c r="E481" s="27"/>
      <c r="F481" s="27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2:20" ht="15.75" customHeight="1" x14ac:dyDescent="0.2">
      <c r="B482" s="2"/>
      <c r="C482" s="27"/>
      <c r="D482" s="27"/>
      <c r="E482" s="27"/>
      <c r="F482" s="27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2:20" ht="15.75" customHeight="1" x14ac:dyDescent="0.2">
      <c r="B483" s="2"/>
      <c r="C483" s="27"/>
      <c r="D483" s="27"/>
      <c r="E483" s="27"/>
      <c r="F483" s="27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2:20" ht="15.75" customHeight="1" x14ac:dyDescent="0.2">
      <c r="B484" s="2"/>
      <c r="C484" s="27"/>
      <c r="D484" s="27"/>
      <c r="E484" s="27"/>
      <c r="F484" s="27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2:20" ht="15.75" customHeight="1" x14ac:dyDescent="0.2">
      <c r="B485" s="2"/>
      <c r="C485" s="27"/>
      <c r="D485" s="27"/>
      <c r="E485" s="27"/>
      <c r="F485" s="27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2:20" ht="15.75" customHeight="1" x14ac:dyDescent="0.2">
      <c r="B486" s="2"/>
      <c r="C486" s="27"/>
      <c r="D486" s="27"/>
      <c r="E486" s="27"/>
      <c r="F486" s="27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2:20" ht="15.75" customHeight="1" x14ac:dyDescent="0.2">
      <c r="B487" s="2"/>
      <c r="C487" s="27"/>
      <c r="D487" s="27"/>
      <c r="E487" s="27"/>
      <c r="F487" s="27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2:20" ht="15.75" customHeight="1" x14ac:dyDescent="0.2">
      <c r="B488" s="2"/>
      <c r="C488" s="27"/>
      <c r="D488" s="27"/>
      <c r="E488" s="27"/>
      <c r="F488" s="27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2:20" ht="15.75" customHeight="1" x14ac:dyDescent="0.2">
      <c r="B489" s="2"/>
      <c r="C489" s="27"/>
      <c r="D489" s="27"/>
      <c r="E489" s="27"/>
      <c r="F489" s="27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2:20" ht="15.75" customHeight="1" x14ac:dyDescent="0.2">
      <c r="B490" s="2"/>
      <c r="C490" s="27"/>
      <c r="D490" s="27"/>
      <c r="E490" s="27"/>
      <c r="F490" s="27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2:20" ht="15.75" customHeight="1" x14ac:dyDescent="0.2">
      <c r="B491" s="2"/>
      <c r="C491" s="27"/>
      <c r="D491" s="27"/>
      <c r="E491" s="27"/>
      <c r="F491" s="27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2:20" ht="15.75" customHeight="1" x14ac:dyDescent="0.2">
      <c r="B492" s="2"/>
      <c r="C492" s="27"/>
      <c r="D492" s="27"/>
      <c r="E492" s="27"/>
      <c r="F492" s="27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2:20" ht="15.75" customHeight="1" x14ac:dyDescent="0.2">
      <c r="B493" s="2"/>
      <c r="C493" s="27"/>
      <c r="D493" s="27"/>
      <c r="E493" s="27"/>
      <c r="F493" s="27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2:20" ht="15.75" customHeight="1" x14ac:dyDescent="0.2">
      <c r="B494" s="2"/>
      <c r="C494" s="27"/>
      <c r="D494" s="27"/>
      <c r="E494" s="27"/>
      <c r="F494" s="27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2:20" ht="15.75" customHeight="1" x14ac:dyDescent="0.2">
      <c r="B495" s="2"/>
      <c r="C495" s="27"/>
      <c r="D495" s="27"/>
      <c r="E495" s="27"/>
      <c r="F495" s="27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2:20" ht="15.75" customHeight="1" x14ac:dyDescent="0.2">
      <c r="B496" s="2"/>
      <c r="C496" s="27"/>
      <c r="D496" s="27"/>
      <c r="E496" s="27"/>
      <c r="F496" s="27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2:20" ht="15.75" customHeight="1" x14ac:dyDescent="0.2">
      <c r="B497" s="2"/>
      <c r="C497" s="27"/>
      <c r="D497" s="27"/>
      <c r="E497" s="27"/>
      <c r="F497" s="27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2:20" ht="15.75" customHeight="1" x14ac:dyDescent="0.2">
      <c r="B498" s="2"/>
      <c r="C498" s="27"/>
      <c r="D498" s="27"/>
      <c r="E498" s="27"/>
      <c r="F498" s="27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2:20" ht="15.75" customHeight="1" x14ac:dyDescent="0.2">
      <c r="B499" s="2"/>
      <c r="C499" s="27"/>
      <c r="D499" s="27"/>
      <c r="E499" s="27"/>
      <c r="F499" s="27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2:20" ht="15.75" customHeight="1" x14ac:dyDescent="0.2">
      <c r="B500" s="2"/>
      <c r="C500" s="27"/>
      <c r="D500" s="27"/>
      <c r="E500" s="27"/>
      <c r="F500" s="27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2:20" ht="15.75" customHeight="1" x14ac:dyDescent="0.2">
      <c r="B501" s="2"/>
      <c r="C501" s="27"/>
      <c r="D501" s="27"/>
      <c r="E501" s="27"/>
      <c r="F501" s="27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2:20" ht="15.75" customHeight="1" x14ac:dyDescent="0.2">
      <c r="B502" s="2"/>
      <c r="C502" s="27"/>
      <c r="D502" s="27"/>
      <c r="E502" s="27"/>
      <c r="F502" s="27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2:20" ht="15.75" customHeight="1" x14ac:dyDescent="0.2">
      <c r="B503" s="2"/>
      <c r="C503" s="27"/>
      <c r="D503" s="27"/>
      <c r="E503" s="27"/>
      <c r="F503" s="27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2:20" ht="15.75" customHeight="1" x14ac:dyDescent="0.2">
      <c r="B504" s="2"/>
      <c r="C504" s="27"/>
      <c r="D504" s="27"/>
      <c r="E504" s="27"/>
      <c r="F504" s="27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2:20" ht="15.75" customHeight="1" x14ac:dyDescent="0.2">
      <c r="B505" s="2"/>
      <c r="C505" s="27"/>
      <c r="D505" s="27"/>
      <c r="E505" s="27"/>
      <c r="F505" s="27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2:20" ht="15.75" customHeight="1" x14ac:dyDescent="0.2">
      <c r="B506" s="2"/>
      <c r="C506" s="27"/>
      <c r="D506" s="27"/>
      <c r="E506" s="27"/>
      <c r="F506" s="27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2:20" ht="15.75" customHeight="1" x14ac:dyDescent="0.2">
      <c r="B507" s="2"/>
      <c r="C507" s="27"/>
      <c r="D507" s="27"/>
      <c r="E507" s="27"/>
      <c r="F507" s="27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2:20" ht="15.75" customHeight="1" x14ac:dyDescent="0.2">
      <c r="B508" s="2"/>
      <c r="C508" s="27"/>
      <c r="D508" s="27"/>
      <c r="E508" s="27"/>
      <c r="F508" s="27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2:20" ht="15.75" customHeight="1" x14ac:dyDescent="0.2">
      <c r="B509" s="2"/>
      <c r="C509" s="27"/>
      <c r="D509" s="27"/>
      <c r="E509" s="27"/>
      <c r="F509" s="27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2:20" ht="15.75" customHeight="1" x14ac:dyDescent="0.2">
      <c r="B510" s="2"/>
      <c r="C510" s="27"/>
      <c r="D510" s="27"/>
      <c r="E510" s="27"/>
      <c r="F510" s="27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2:20" ht="15.75" customHeight="1" x14ac:dyDescent="0.2">
      <c r="B511" s="2"/>
      <c r="C511" s="27"/>
      <c r="D511" s="27"/>
      <c r="E511" s="27"/>
      <c r="F511" s="27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2:20" ht="15.75" customHeight="1" x14ac:dyDescent="0.2">
      <c r="B512" s="2"/>
      <c r="C512" s="27"/>
      <c r="D512" s="27"/>
      <c r="E512" s="27"/>
      <c r="F512" s="27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2:20" ht="15.75" customHeight="1" x14ac:dyDescent="0.2">
      <c r="B513" s="2"/>
      <c r="C513" s="27"/>
      <c r="D513" s="27"/>
      <c r="E513" s="27"/>
      <c r="F513" s="27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2:20" ht="15.75" customHeight="1" x14ac:dyDescent="0.2">
      <c r="B514" s="2"/>
      <c r="C514" s="27"/>
      <c r="D514" s="27"/>
      <c r="E514" s="27"/>
      <c r="F514" s="27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2:20" ht="15.75" customHeight="1" x14ac:dyDescent="0.2">
      <c r="B515" s="2"/>
      <c r="C515" s="27"/>
      <c r="D515" s="27"/>
      <c r="E515" s="27"/>
      <c r="F515" s="27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2:20" ht="15.75" customHeight="1" x14ac:dyDescent="0.2">
      <c r="B516" s="2"/>
      <c r="C516" s="27"/>
      <c r="D516" s="27"/>
      <c r="E516" s="27"/>
      <c r="F516" s="27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2:20" ht="15.75" customHeight="1" x14ac:dyDescent="0.2">
      <c r="B517" s="2"/>
      <c r="C517" s="27"/>
      <c r="D517" s="27"/>
      <c r="E517" s="27"/>
      <c r="F517" s="27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2:20" ht="15.75" customHeight="1" x14ac:dyDescent="0.2">
      <c r="B518" s="2"/>
      <c r="C518" s="27"/>
      <c r="D518" s="27"/>
      <c r="E518" s="27"/>
      <c r="F518" s="27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2:20" ht="15.75" customHeight="1" x14ac:dyDescent="0.2">
      <c r="B519" s="2"/>
      <c r="C519" s="27"/>
      <c r="D519" s="27"/>
      <c r="E519" s="27"/>
      <c r="F519" s="27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2:20" ht="15.75" customHeight="1" x14ac:dyDescent="0.2">
      <c r="B520" s="2"/>
      <c r="C520" s="27"/>
      <c r="D520" s="27"/>
      <c r="E520" s="27"/>
      <c r="F520" s="27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2:20" ht="15.75" customHeight="1" x14ac:dyDescent="0.2">
      <c r="B521" s="2"/>
      <c r="C521" s="27"/>
      <c r="D521" s="27"/>
      <c r="E521" s="27"/>
      <c r="F521" s="27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2:20" ht="15.75" customHeight="1" x14ac:dyDescent="0.2">
      <c r="B522" s="2"/>
      <c r="C522" s="27"/>
      <c r="D522" s="27"/>
      <c r="E522" s="27"/>
      <c r="F522" s="27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2:20" ht="15.75" customHeight="1" x14ac:dyDescent="0.2">
      <c r="B523" s="2"/>
      <c r="C523" s="27"/>
      <c r="D523" s="27"/>
      <c r="E523" s="27"/>
      <c r="F523" s="27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2:20" ht="15.75" customHeight="1" x14ac:dyDescent="0.2">
      <c r="B524" s="2"/>
      <c r="C524" s="27"/>
      <c r="D524" s="27"/>
      <c r="E524" s="27"/>
      <c r="F524" s="27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2:20" ht="15.75" customHeight="1" x14ac:dyDescent="0.2">
      <c r="B525" s="2"/>
      <c r="C525" s="27"/>
      <c r="D525" s="27"/>
      <c r="E525" s="27"/>
      <c r="F525" s="27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2:20" ht="15.75" customHeight="1" x14ac:dyDescent="0.2">
      <c r="B526" s="2"/>
      <c r="C526" s="27"/>
      <c r="D526" s="27"/>
      <c r="E526" s="27"/>
      <c r="F526" s="27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2:20" ht="15.75" customHeight="1" x14ac:dyDescent="0.2">
      <c r="B527" s="2"/>
      <c r="C527" s="27"/>
      <c r="D527" s="27"/>
      <c r="E527" s="27"/>
      <c r="F527" s="27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2:20" ht="15.75" customHeight="1" x14ac:dyDescent="0.2">
      <c r="B528" s="2"/>
      <c r="C528" s="27"/>
      <c r="D528" s="27"/>
      <c r="E528" s="27"/>
      <c r="F528" s="27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2:20" ht="15.75" customHeight="1" x14ac:dyDescent="0.2">
      <c r="B529" s="2"/>
      <c r="C529" s="27"/>
      <c r="D529" s="27"/>
      <c r="E529" s="27"/>
      <c r="F529" s="27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2:20" ht="15.75" customHeight="1" x14ac:dyDescent="0.2">
      <c r="B530" s="2"/>
      <c r="C530" s="27"/>
      <c r="D530" s="27"/>
      <c r="E530" s="27"/>
      <c r="F530" s="27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2:20" ht="15.75" customHeight="1" x14ac:dyDescent="0.2">
      <c r="B531" s="2"/>
      <c r="C531" s="27"/>
      <c r="D531" s="27"/>
      <c r="E531" s="27"/>
      <c r="F531" s="27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2:20" ht="15.75" customHeight="1" x14ac:dyDescent="0.2">
      <c r="B532" s="2"/>
      <c r="C532" s="27"/>
      <c r="D532" s="27"/>
      <c r="E532" s="27"/>
      <c r="F532" s="27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2:20" ht="15.75" customHeight="1" x14ac:dyDescent="0.2">
      <c r="B533" s="2"/>
      <c r="C533" s="27"/>
      <c r="D533" s="27"/>
      <c r="E533" s="27"/>
      <c r="F533" s="27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2:20" ht="15.75" customHeight="1" x14ac:dyDescent="0.2">
      <c r="B534" s="2"/>
      <c r="C534" s="27"/>
      <c r="D534" s="27"/>
      <c r="E534" s="27"/>
      <c r="F534" s="27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2:20" ht="15.75" customHeight="1" x14ac:dyDescent="0.2">
      <c r="B535" s="2"/>
      <c r="C535" s="27"/>
      <c r="D535" s="27"/>
      <c r="E535" s="27"/>
      <c r="F535" s="27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2:20" ht="15.75" customHeight="1" x14ac:dyDescent="0.2">
      <c r="B536" s="2"/>
      <c r="C536" s="27"/>
      <c r="D536" s="27"/>
      <c r="E536" s="27"/>
      <c r="F536" s="27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2:20" ht="15.75" customHeight="1" x14ac:dyDescent="0.2">
      <c r="B537" s="2"/>
      <c r="C537" s="27"/>
      <c r="D537" s="27"/>
      <c r="E537" s="27"/>
      <c r="F537" s="27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2:20" ht="15.75" customHeight="1" x14ac:dyDescent="0.2">
      <c r="B538" s="2"/>
      <c r="C538" s="27"/>
      <c r="D538" s="27"/>
      <c r="E538" s="27"/>
      <c r="F538" s="27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2:20" ht="15.75" customHeight="1" x14ac:dyDescent="0.2">
      <c r="B539" s="2"/>
      <c r="C539" s="27"/>
      <c r="D539" s="27"/>
      <c r="E539" s="27"/>
      <c r="F539" s="27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2:20" ht="15.75" customHeight="1" x14ac:dyDescent="0.2">
      <c r="B540" s="2"/>
      <c r="C540" s="27"/>
      <c r="D540" s="27"/>
      <c r="E540" s="27"/>
      <c r="F540" s="27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2:20" ht="15.75" customHeight="1" x14ac:dyDescent="0.2">
      <c r="B541" s="2"/>
      <c r="C541" s="27"/>
      <c r="D541" s="27"/>
      <c r="E541" s="27"/>
      <c r="F541" s="27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2:20" ht="15.75" customHeight="1" x14ac:dyDescent="0.2">
      <c r="B542" s="2"/>
      <c r="C542" s="27"/>
      <c r="D542" s="27"/>
      <c r="E542" s="27"/>
      <c r="F542" s="27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2:20" ht="15.75" customHeight="1" x14ac:dyDescent="0.2">
      <c r="B543" s="2"/>
      <c r="C543" s="27"/>
      <c r="D543" s="27"/>
      <c r="E543" s="27"/>
      <c r="F543" s="27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2:20" ht="15.75" customHeight="1" x14ac:dyDescent="0.2">
      <c r="B544" s="2"/>
      <c r="C544" s="27"/>
      <c r="D544" s="27"/>
      <c r="E544" s="27"/>
      <c r="F544" s="27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2:20" ht="15.75" customHeight="1" x14ac:dyDescent="0.2">
      <c r="B545" s="2"/>
      <c r="C545" s="27"/>
      <c r="D545" s="27"/>
      <c r="E545" s="27"/>
      <c r="F545" s="27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2:20" ht="15.75" customHeight="1" x14ac:dyDescent="0.2">
      <c r="B546" s="2"/>
      <c r="C546" s="27"/>
      <c r="D546" s="27"/>
      <c r="E546" s="27"/>
      <c r="F546" s="27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2:20" ht="15.75" customHeight="1" x14ac:dyDescent="0.2">
      <c r="B547" s="2"/>
      <c r="C547" s="27"/>
      <c r="D547" s="27"/>
      <c r="E547" s="27"/>
      <c r="F547" s="27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2:20" ht="15.75" customHeight="1" x14ac:dyDescent="0.2">
      <c r="B548" s="2"/>
      <c r="C548" s="27"/>
      <c r="D548" s="27"/>
      <c r="E548" s="27"/>
      <c r="F548" s="27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2:20" ht="15.75" customHeight="1" x14ac:dyDescent="0.2">
      <c r="B549" s="2"/>
      <c r="C549" s="27"/>
      <c r="D549" s="27"/>
      <c r="E549" s="27"/>
      <c r="F549" s="27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2:20" ht="15.75" customHeight="1" x14ac:dyDescent="0.2">
      <c r="B550" s="2"/>
      <c r="C550" s="27"/>
      <c r="D550" s="27"/>
      <c r="E550" s="27"/>
      <c r="F550" s="27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2:20" ht="15.75" customHeight="1" x14ac:dyDescent="0.2">
      <c r="B551" s="2"/>
      <c r="C551" s="27"/>
      <c r="D551" s="27"/>
      <c r="E551" s="27"/>
      <c r="F551" s="27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2:20" ht="15.75" customHeight="1" x14ac:dyDescent="0.2">
      <c r="B552" s="2"/>
      <c r="C552" s="27"/>
      <c r="D552" s="27"/>
      <c r="E552" s="27"/>
      <c r="F552" s="27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2:20" ht="15.75" customHeight="1" x14ac:dyDescent="0.2">
      <c r="B553" s="2"/>
      <c r="C553" s="27"/>
      <c r="D553" s="27"/>
      <c r="E553" s="27"/>
      <c r="F553" s="27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2:20" ht="15.75" customHeight="1" x14ac:dyDescent="0.2">
      <c r="B554" s="2"/>
      <c r="C554" s="27"/>
      <c r="D554" s="27"/>
      <c r="E554" s="27"/>
      <c r="F554" s="27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2:20" ht="15.75" customHeight="1" x14ac:dyDescent="0.2">
      <c r="B555" s="2"/>
      <c r="C555" s="27"/>
      <c r="D555" s="27"/>
      <c r="E555" s="27"/>
      <c r="F555" s="27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2:20" ht="15.75" customHeight="1" x14ac:dyDescent="0.2">
      <c r="B556" s="2"/>
      <c r="C556" s="27"/>
      <c r="D556" s="27"/>
      <c r="E556" s="27"/>
      <c r="F556" s="27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2:20" ht="15.75" customHeight="1" x14ac:dyDescent="0.2">
      <c r="B557" s="2"/>
      <c r="C557" s="27"/>
      <c r="D557" s="27"/>
      <c r="E557" s="27"/>
      <c r="F557" s="27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2:20" ht="15.75" customHeight="1" x14ac:dyDescent="0.2">
      <c r="B558" s="2"/>
      <c r="C558" s="27"/>
      <c r="D558" s="27"/>
      <c r="E558" s="27"/>
      <c r="F558" s="27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2:20" ht="15.75" customHeight="1" x14ac:dyDescent="0.2">
      <c r="B559" s="2"/>
      <c r="C559" s="27"/>
      <c r="D559" s="27"/>
      <c r="E559" s="27"/>
      <c r="F559" s="27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2:20" ht="15.75" customHeight="1" x14ac:dyDescent="0.2">
      <c r="B560" s="2"/>
      <c r="C560" s="27"/>
      <c r="D560" s="27"/>
      <c r="E560" s="27"/>
      <c r="F560" s="27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2:20" ht="15.75" customHeight="1" x14ac:dyDescent="0.2">
      <c r="B561" s="2"/>
      <c r="C561" s="27"/>
      <c r="D561" s="27"/>
      <c r="E561" s="27"/>
      <c r="F561" s="27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2:20" ht="15.75" customHeight="1" x14ac:dyDescent="0.2">
      <c r="B562" s="2"/>
      <c r="C562" s="27"/>
      <c r="D562" s="27"/>
      <c r="E562" s="27"/>
      <c r="F562" s="27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2:20" ht="15.75" customHeight="1" x14ac:dyDescent="0.2">
      <c r="B563" s="2"/>
      <c r="C563" s="27"/>
      <c r="D563" s="27"/>
      <c r="E563" s="27"/>
      <c r="F563" s="27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2:20" ht="15.75" customHeight="1" x14ac:dyDescent="0.2">
      <c r="B564" s="2"/>
      <c r="C564" s="27"/>
      <c r="D564" s="27"/>
      <c r="E564" s="27"/>
      <c r="F564" s="27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2:20" ht="15.75" customHeight="1" x14ac:dyDescent="0.2">
      <c r="B565" s="2"/>
      <c r="C565" s="27"/>
      <c r="D565" s="27"/>
      <c r="E565" s="27"/>
      <c r="F565" s="27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2:20" ht="15.75" customHeight="1" x14ac:dyDescent="0.2">
      <c r="B566" s="2"/>
      <c r="C566" s="27"/>
      <c r="D566" s="27"/>
      <c r="E566" s="27"/>
      <c r="F566" s="27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2:20" ht="15.75" customHeight="1" x14ac:dyDescent="0.2">
      <c r="B567" s="2"/>
      <c r="C567" s="27"/>
      <c r="D567" s="27"/>
      <c r="E567" s="27"/>
      <c r="F567" s="27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2:20" ht="15.75" customHeight="1" x14ac:dyDescent="0.2">
      <c r="B568" s="2"/>
      <c r="C568" s="27"/>
      <c r="D568" s="27"/>
      <c r="E568" s="27"/>
      <c r="F568" s="27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2:20" ht="15.75" customHeight="1" x14ac:dyDescent="0.2">
      <c r="B569" s="2"/>
      <c r="C569" s="27"/>
      <c r="D569" s="27"/>
      <c r="E569" s="27"/>
      <c r="F569" s="27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2:20" ht="15.75" customHeight="1" x14ac:dyDescent="0.2">
      <c r="B570" s="2"/>
      <c r="C570" s="27"/>
      <c r="D570" s="27"/>
      <c r="E570" s="27"/>
      <c r="F570" s="27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2:20" ht="15.75" customHeight="1" x14ac:dyDescent="0.2">
      <c r="B571" s="2"/>
      <c r="C571" s="27"/>
      <c r="D571" s="27"/>
      <c r="E571" s="27"/>
      <c r="F571" s="27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2:20" ht="15.75" customHeight="1" x14ac:dyDescent="0.2">
      <c r="B572" s="2"/>
      <c r="C572" s="27"/>
      <c r="D572" s="27"/>
      <c r="E572" s="27"/>
      <c r="F572" s="27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2:20" ht="15.75" customHeight="1" x14ac:dyDescent="0.2">
      <c r="B573" s="2"/>
      <c r="C573" s="27"/>
      <c r="D573" s="27"/>
      <c r="E573" s="27"/>
      <c r="F573" s="27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2:20" ht="15.75" customHeight="1" x14ac:dyDescent="0.2">
      <c r="B574" s="2"/>
      <c r="C574" s="27"/>
      <c r="D574" s="27"/>
      <c r="E574" s="27"/>
      <c r="F574" s="27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2:20" ht="15.75" customHeight="1" x14ac:dyDescent="0.2">
      <c r="B575" s="2"/>
      <c r="C575" s="27"/>
      <c r="D575" s="27"/>
      <c r="E575" s="27"/>
      <c r="F575" s="27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2:20" ht="15.75" customHeight="1" x14ac:dyDescent="0.2">
      <c r="B576" s="2"/>
      <c r="C576" s="27"/>
      <c r="D576" s="27"/>
      <c r="E576" s="27"/>
      <c r="F576" s="27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2:20" ht="15.75" customHeight="1" x14ac:dyDescent="0.2">
      <c r="B577" s="2"/>
      <c r="C577" s="27"/>
      <c r="D577" s="27"/>
      <c r="E577" s="27"/>
      <c r="F577" s="27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2:20" ht="15.75" customHeight="1" x14ac:dyDescent="0.2">
      <c r="B578" s="2"/>
      <c r="C578" s="27"/>
      <c r="D578" s="27"/>
      <c r="E578" s="27"/>
      <c r="F578" s="27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2:20" ht="15.75" customHeight="1" x14ac:dyDescent="0.2">
      <c r="B579" s="2"/>
      <c r="C579" s="27"/>
      <c r="D579" s="27"/>
      <c r="E579" s="27"/>
      <c r="F579" s="27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2:20" ht="15.75" customHeight="1" x14ac:dyDescent="0.2">
      <c r="B580" s="2"/>
      <c r="C580" s="27"/>
      <c r="D580" s="27"/>
      <c r="E580" s="27"/>
      <c r="F580" s="27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2:20" ht="15.75" customHeight="1" x14ac:dyDescent="0.2">
      <c r="B581" s="2"/>
      <c r="C581" s="27"/>
      <c r="D581" s="27"/>
      <c r="E581" s="27"/>
      <c r="F581" s="27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2:20" ht="15.75" customHeight="1" x14ac:dyDescent="0.2">
      <c r="B582" s="2"/>
      <c r="C582" s="27"/>
      <c r="D582" s="27"/>
      <c r="E582" s="27"/>
      <c r="F582" s="27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2:20" ht="15.75" customHeight="1" x14ac:dyDescent="0.2">
      <c r="B583" s="2"/>
      <c r="C583" s="27"/>
      <c r="D583" s="27"/>
      <c r="E583" s="27"/>
      <c r="F583" s="27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2:20" ht="15.75" customHeight="1" x14ac:dyDescent="0.2">
      <c r="B584" s="2"/>
      <c r="C584" s="27"/>
      <c r="D584" s="27"/>
      <c r="E584" s="27"/>
      <c r="F584" s="27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2:20" ht="15.75" customHeight="1" x14ac:dyDescent="0.2">
      <c r="B585" s="2"/>
      <c r="C585" s="27"/>
      <c r="D585" s="27"/>
      <c r="E585" s="27"/>
      <c r="F585" s="27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2:20" ht="15.75" customHeight="1" x14ac:dyDescent="0.2">
      <c r="B586" s="2"/>
      <c r="C586" s="27"/>
      <c r="D586" s="27"/>
      <c r="E586" s="27"/>
      <c r="F586" s="27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2:20" ht="15.75" customHeight="1" x14ac:dyDescent="0.2">
      <c r="B587" s="2"/>
      <c r="C587" s="27"/>
      <c r="D587" s="27"/>
      <c r="E587" s="27"/>
      <c r="F587" s="27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2:20" ht="15.75" customHeight="1" x14ac:dyDescent="0.2">
      <c r="B588" s="2"/>
      <c r="C588" s="27"/>
      <c r="D588" s="27"/>
      <c r="E588" s="27"/>
      <c r="F588" s="27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2:20" ht="15.75" customHeight="1" x14ac:dyDescent="0.2">
      <c r="B589" s="2"/>
      <c r="C589" s="27"/>
      <c r="D589" s="27"/>
      <c r="E589" s="27"/>
      <c r="F589" s="27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2:20" ht="15.75" customHeight="1" x14ac:dyDescent="0.2">
      <c r="B590" s="2"/>
      <c r="C590" s="27"/>
      <c r="D590" s="27"/>
      <c r="E590" s="27"/>
      <c r="F590" s="27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2:20" ht="15.75" customHeight="1" x14ac:dyDescent="0.2">
      <c r="B591" s="2"/>
      <c r="C591" s="27"/>
      <c r="D591" s="27"/>
      <c r="E591" s="27"/>
      <c r="F591" s="27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2:20" ht="15.75" customHeight="1" x14ac:dyDescent="0.2">
      <c r="B592" s="2"/>
      <c r="C592" s="27"/>
      <c r="D592" s="27"/>
      <c r="E592" s="27"/>
      <c r="F592" s="27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2:20" ht="15.75" customHeight="1" x14ac:dyDescent="0.2">
      <c r="B593" s="2"/>
      <c r="C593" s="27"/>
      <c r="D593" s="27"/>
      <c r="E593" s="27"/>
      <c r="F593" s="27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2:20" ht="15.75" customHeight="1" x14ac:dyDescent="0.2">
      <c r="B594" s="2"/>
      <c r="C594" s="27"/>
      <c r="D594" s="27"/>
      <c r="E594" s="27"/>
      <c r="F594" s="27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2:20" ht="15.75" customHeight="1" x14ac:dyDescent="0.2">
      <c r="B595" s="2"/>
      <c r="C595" s="27"/>
      <c r="D595" s="27"/>
      <c r="E595" s="27"/>
      <c r="F595" s="27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2:20" ht="15.75" customHeight="1" x14ac:dyDescent="0.2">
      <c r="B596" s="2"/>
      <c r="C596" s="27"/>
      <c r="D596" s="27"/>
      <c r="E596" s="27"/>
      <c r="F596" s="27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2:20" ht="15.75" customHeight="1" x14ac:dyDescent="0.2">
      <c r="B597" s="2"/>
      <c r="C597" s="27"/>
      <c r="D597" s="27"/>
      <c r="E597" s="27"/>
      <c r="F597" s="27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2:20" ht="15.75" customHeight="1" x14ac:dyDescent="0.2">
      <c r="B598" s="2"/>
      <c r="C598" s="27"/>
      <c r="D598" s="27"/>
      <c r="E598" s="27"/>
      <c r="F598" s="27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2:20" ht="15.75" customHeight="1" x14ac:dyDescent="0.2">
      <c r="B599" s="2"/>
      <c r="C599" s="27"/>
      <c r="D599" s="27"/>
      <c r="E599" s="27"/>
      <c r="F599" s="27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2:20" ht="15.75" customHeight="1" x14ac:dyDescent="0.2">
      <c r="B600" s="2"/>
      <c r="C600" s="27"/>
      <c r="D600" s="27"/>
      <c r="E600" s="27"/>
      <c r="F600" s="27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2:20" ht="15.75" customHeight="1" x14ac:dyDescent="0.2">
      <c r="B601" s="2"/>
      <c r="C601" s="27"/>
      <c r="D601" s="27"/>
      <c r="E601" s="27"/>
      <c r="F601" s="27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2:20" ht="15.75" customHeight="1" x14ac:dyDescent="0.2">
      <c r="B602" s="2"/>
      <c r="C602" s="27"/>
      <c r="D602" s="27"/>
      <c r="E602" s="27"/>
      <c r="F602" s="27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2:20" ht="15.75" customHeight="1" x14ac:dyDescent="0.2">
      <c r="B603" s="2"/>
      <c r="C603" s="27"/>
      <c r="D603" s="27"/>
      <c r="E603" s="27"/>
      <c r="F603" s="27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2:20" ht="15.75" customHeight="1" x14ac:dyDescent="0.2">
      <c r="B604" s="2"/>
      <c r="C604" s="27"/>
      <c r="D604" s="27"/>
      <c r="E604" s="27"/>
      <c r="F604" s="27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2:20" ht="15.75" customHeight="1" x14ac:dyDescent="0.2">
      <c r="B605" s="2"/>
      <c r="C605" s="27"/>
      <c r="D605" s="27"/>
      <c r="E605" s="27"/>
      <c r="F605" s="27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2:20" ht="15.75" customHeight="1" x14ac:dyDescent="0.2">
      <c r="B606" s="2"/>
      <c r="C606" s="27"/>
      <c r="D606" s="27"/>
      <c r="E606" s="27"/>
      <c r="F606" s="27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2:20" ht="15.75" customHeight="1" x14ac:dyDescent="0.2">
      <c r="B607" s="2"/>
      <c r="C607" s="27"/>
      <c r="D607" s="27"/>
      <c r="E607" s="27"/>
      <c r="F607" s="27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2:20" ht="15.75" customHeight="1" x14ac:dyDescent="0.2">
      <c r="B608" s="2"/>
      <c r="C608" s="27"/>
      <c r="D608" s="27"/>
      <c r="E608" s="27"/>
      <c r="F608" s="27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2:20" ht="15.75" customHeight="1" x14ac:dyDescent="0.2">
      <c r="B609" s="2"/>
      <c r="C609" s="27"/>
      <c r="D609" s="27"/>
      <c r="E609" s="27"/>
      <c r="F609" s="27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2:20" ht="15.75" customHeight="1" x14ac:dyDescent="0.2">
      <c r="B610" s="2"/>
      <c r="C610" s="27"/>
      <c r="D610" s="27"/>
      <c r="E610" s="27"/>
      <c r="F610" s="27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2:20" ht="15.75" customHeight="1" x14ac:dyDescent="0.2">
      <c r="B611" s="2"/>
      <c r="C611" s="27"/>
      <c r="D611" s="27"/>
      <c r="E611" s="27"/>
      <c r="F611" s="27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2:20" ht="15.75" customHeight="1" x14ac:dyDescent="0.2">
      <c r="B612" s="2"/>
      <c r="C612" s="27"/>
      <c r="D612" s="27"/>
      <c r="E612" s="27"/>
      <c r="F612" s="27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2:20" ht="15.75" customHeight="1" x14ac:dyDescent="0.2">
      <c r="B613" s="2"/>
      <c r="C613" s="27"/>
      <c r="D613" s="27"/>
      <c r="E613" s="27"/>
      <c r="F613" s="27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2:20" ht="15.75" customHeight="1" x14ac:dyDescent="0.2">
      <c r="B614" s="2"/>
      <c r="C614" s="27"/>
      <c r="D614" s="27"/>
      <c r="E614" s="27"/>
      <c r="F614" s="27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2:20" ht="15.75" customHeight="1" x14ac:dyDescent="0.2">
      <c r="B615" s="2"/>
      <c r="C615" s="27"/>
      <c r="D615" s="27"/>
      <c r="E615" s="27"/>
      <c r="F615" s="27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2:20" ht="15.75" customHeight="1" x14ac:dyDescent="0.2">
      <c r="B616" s="2"/>
      <c r="C616" s="27"/>
      <c r="D616" s="27"/>
      <c r="E616" s="27"/>
      <c r="F616" s="27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2:20" ht="15.75" customHeight="1" x14ac:dyDescent="0.2">
      <c r="B617" s="2"/>
      <c r="C617" s="27"/>
      <c r="D617" s="27"/>
      <c r="E617" s="27"/>
      <c r="F617" s="27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2:20" ht="15.75" customHeight="1" x14ac:dyDescent="0.2">
      <c r="B618" s="2"/>
      <c r="C618" s="27"/>
      <c r="D618" s="27"/>
      <c r="E618" s="27"/>
      <c r="F618" s="27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2:20" ht="15.75" customHeight="1" x14ac:dyDescent="0.2">
      <c r="B619" s="2"/>
      <c r="C619" s="27"/>
      <c r="D619" s="27"/>
      <c r="E619" s="27"/>
      <c r="F619" s="27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2:20" ht="15.75" customHeight="1" x14ac:dyDescent="0.2">
      <c r="B620" s="2"/>
      <c r="C620" s="27"/>
      <c r="D620" s="27"/>
      <c r="E620" s="27"/>
      <c r="F620" s="27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2:20" ht="15.75" customHeight="1" x14ac:dyDescent="0.2">
      <c r="B621" s="2"/>
      <c r="C621" s="27"/>
      <c r="D621" s="27"/>
      <c r="E621" s="27"/>
      <c r="F621" s="27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2:20" ht="15.75" customHeight="1" x14ac:dyDescent="0.2">
      <c r="B622" s="2"/>
      <c r="C622" s="27"/>
      <c r="D622" s="27"/>
      <c r="E622" s="27"/>
      <c r="F622" s="27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2:20" ht="15.75" customHeight="1" x14ac:dyDescent="0.2">
      <c r="B623" s="2"/>
      <c r="C623" s="27"/>
      <c r="D623" s="27"/>
      <c r="E623" s="27"/>
      <c r="F623" s="27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2:20" ht="15.75" customHeight="1" x14ac:dyDescent="0.2">
      <c r="B624" s="2"/>
      <c r="C624" s="27"/>
      <c r="D624" s="27"/>
      <c r="E624" s="27"/>
      <c r="F624" s="27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2:20" ht="15.75" customHeight="1" x14ac:dyDescent="0.2">
      <c r="B625" s="2"/>
      <c r="C625" s="27"/>
      <c r="D625" s="27"/>
      <c r="E625" s="27"/>
      <c r="F625" s="27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2:20" ht="15.75" customHeight="1" x14ac:dyDescent="0.2">
      <c r="B626" s="2"/>
      <c r="C626" s="27"/>
      <c r="D626" s="27"/>
      <c r="E626" s="27"/>
      <c r="F626" s="27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2:20" ht="15.75" customHeight="1" x14ac:dyDescent="0.2">
      <c r="B627" s="2"/>
      <c r="C627" s="27"/>
      <c r="D627" s="27"/>
      <c r="E627" s="27"/>
      <c r="F627" s="27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2:20" ht="15.75" customHeight="1" x14ac:dyDescent="0.2">
      <c r="B628" s="2"/>
      <c r="C628" s="27"/>
      <c r="D628" s="27"/>
      <c r="E628" s="27"/>
      <c r="F628" s="27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2:20" ht="15.75" customHeight="1" x14ac:dyDescent="0.2">
      <c r="B629" s="2"/>
      <c r="C629" s="27"/>
      <c r="D629" s="27"/>
      <c r="E629" s="27"/>
      <c r="F629" s="27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2:20" ht="15.75" customHeight="1" x14ac:dyDescent="0.2">
      <c r="B630" s="2"/>
      <c r="C630" s="27"/>
      <c r="D630" s="27"/>
      <c r="E630" s="27"/>
      <c r="F630" s="27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2:20" ht="15.75" customHeight="1" x14ac:dyDescent="0.2">
      <c r="B631" s="2"/>
      <c r="C631" s="27"/>
      <c r="D631" s="27"/>
      <c r="E631" s="27"/>
      <c r="F631" s="27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2:20" ht="15.75" customHeight="1" x14ac:dyDescent="0.2">
      <c r="B632" s="2"/>
      <c r="C632" s="27"/>
      <c r="D632" s="27"/>
      <c r="E632" s="27"/>
      <c r="F632" s="27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2:20" ht="15.75" customHeight="1" x14ac:dyDescent="0.2">
      <c r="B633" s="2"/>
      <c r="C633" s="27"/>
      <c r="D633" s="27"/>
      <c r="E633" s="27"/>
      <c r="F633" s="27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2:20" ht="15.75" customHeight="1" x14ac:dyDescent="0.2">
      <c r="B634" s="2"/>
      <c r="C634" s="27"/>
      <c r="D634" s="27"/>
      <c r="E634" s="27"/>
      <c r="F634" s="27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2:20" ht="15.75" customHeight="1" x14ac:dyDescent="0.2">
      <c r="B635" s="2"/>
      <c r="C635" s="27"/>
      <c r="D635" s="27"/>
      <c r="E635" s="27"/>
      <c r="F635" s="27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2:20" ht="15.75" customHeight="1" x14ac:dyDescent="0.2">
      <c r="B636" s="2"/>
      <c r="C636" s="27"/>
      <c r="D636" s="27"/>
      <c r="E636" s="27"/>
      <c r="F636" s="27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2:20" ht="15.75" customHeight="1" x14ac:dyDescent="0.2">
      <c r="B637" s="2"/>
      <c r="C637" s="27"/>
      <c r="D637" s="27"/>
      <c r="E637" s="27"/>
      <c r="F637" s="27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2:20" ht="15.75" customHeight="1" x14ac:dyDescent="0.2">
      <c r="B638" s="2"/>
      <c r="C638" s="27"/>
      <c r="D638" s="27"/>
      <c r="E638" s="27"/>
      <c r="F638" s="27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2:20" ht="15.75" customHeight="1" x14ac:dyDescent="0.2">
      <c r="B639" s="2"/>
      <c r="C639" s="27"/>
      <c r="D639" s="27"/>
      <c r="E639" s="27"/>
      <c r="F639" s="27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2:2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</sheetData>
  <mergeCells count="2">
    <mergeCell ref="A4:F4"/>
    <mergeCell ref="A5:F5"/>
  </mergeCells>
  <phoneticPr fontId="14" type="noConversion"/>
  <pageMargins left="0.26" right="0.16" top="0.15748031496062992" bottom="0.15748031496062992" header="0.15748031496062992" footer="0.15748031496062992"/>
  <pageSetup paperSize="9" scale="7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65"/>
  <sheetViews>
    <sheetView zoomScale="90" zoomScaleNormal="90" workbookViewId="0">
      <selection activeCell="A10" sqref="A10:A12"/>
    </sheetView>
  </sheetViews>
  <sheetFormatPr defaultRowHeight="12.75" x14ac:dyDescent="0.2"/>
  <cols>
    <col min="1" max="1" width="21.85546875" customWidth="1"/>
    <col min="2" max="2" width="13.42578125" customWidth="1"/>
    <col min="3" max="3" width="10.5703125" customWidth="1"/>
    <col min="4" max="4" width="9.140625" customWidth="1"/>
    <col min="5" max="5" width="10.7109375" customWidth="1"/>
    <col min="6" max="6" width="7" customWidth="1"/>
    <col min="7" max="7" width="11.85546875" customWidth="1"/>
    <col min="8" max="8" width="10.140625" customWidth="1"/>
    <col min="9" max="9" width="9.140625" customWidth="1"/>
    <col min="10" max="10" width="10" style="93" customWidth="1"/>
    <col min="11" max="11" width="10.5703125" style="93" customWidth="1"/>
    <col min="12" max="12" width="10.85546875" style="93" customWidth="1"/>
    <col min="13" max="13" width="10.7109375" style="93" customWidth="1"/>
    <col min="14" max="14" width="12.28515625" style="93" customWidth="1"/>
    <col min="15" max="15" width="11" style="93" customWidth="1"/>
    <col min="16" max="16" width="12.7109375" customWidth="1"/>
    <col min="17" max="17" width="12.7109375" hidden="1" customWidth="1"/>
    <col min="18" max="18" width="12.7109375" customWidth="1"/>
    <col min="19" max="19" width="10.28515625" customWidth="1"/>
  </cols>
  <sheetData>
    <row r="1" spans="1:17" x14ac:dyDescent="0.2">
      <c r="A1" s="52"/>
      <c r="B1" s="52"/>
      <c r="C1" s="52"/>
      <c r="D1" s="52"/>
      <c r="E1" s="52"/>
      <c r="F1" s="52"/>
      <c r="G1" s="52"/>
      <c r="H1" s="52"/>
      <c r="I1" s="52"/>
      <c r="J1" s="135"/>
      <c r="K1" s="135"/>
      <c r="L1" s="135"/>
      <c r="M1" s="135"/>
      <c r="N1" s="135"/>
      <c r="O1" s="83" t="s">
        <v>871</v>
      </c>
    </row>
    <row r="2" spans="1:17" x14ac:dyDescent="0.2">
      <c r="A2" s="52"/>
      <c r="B2" s="52"/>
      <c r="C2" s="52"/>
      <c r="D2" s="52"/>
      <c r="E2" s="52"/>
      <c r="F2" s="52"/>
      <c r="G2" s="52"/>
      <c r="H2" s="52"/>
      <c r="I2" s="52"/>
      <c r="J2" s="135"/>
      <c r="K2" s="135"/>
      <c r="L2" s="135"/>
      <c r="M2" s="135"/>
      <c r="N2" s="135"/>
      <c r="O2" s="515" t="str">
        <f>'1.Bev-kiad.'!E2</f>
        <v>a 13/2024.(IX.30.) önkormányzati rendelethez</v>
      </c>
    </row>
    <row r="3" spans="1:17" x14ac:dyDescent="0.2">
      <c r="A3" s="52"/>
      <c r="B3" s="52"/>
      <c r="C3" s="52"/>
      <c r="D3" s="52"/>
      <c r="E3" s="52"/>
      <c r="F3" s="52"/>
      <c r="G3" s="52"/>
      <c r="H3" s="52"/>
      <c r="I3" s="52"/>
      <c r="J3" s="135"/>
      <c r="K3" s="135"/>
      <c r="L3" s="135"/>
      <c r="M3" s="135"/>
      <c r="N3" s="135"/>
      <c r="O3" s="176"/>
    </row>
    <row r="4" spans="1:17" ht="16.5" customHeight="1" x14ac:dyDescent="0.2">
      <c r="A4" s="725" t="s">
        <v>106</v>
      </c>
      <c r="B4" s="722"/>
      <c r="C4" s="722"/>
      <c r="D4" s="722"/>
      <c r="E4" s="722"/>
      <c r="F4" s="722"/>
      <c r="G4" s="722"/>
      <c r="H4" s="722"/>
      <c r="I4" s="722"/>
      <c r="J4" s="722"/>
      <c r="K4" s="722"/>
      <c r="L4" s="722"/>
      <c r="M4" s="722"/>
      <c r="N4" s="722"/>
      <c r="O4" s="722"/>
    </row>
    <row r="5" spans="1:17" ht="30.75" customHeight="1" x14ac:dyDescent="0.2">
      <c r="A5" s="759" t="s">
        <v>896</v>
      </c>
      <c r="B5" s="721"/>
      <c r="C5" s="721"/>
      <c r="D5" s="721"/>
      <c r="E5" s="721"/>
      <c r="F5" s="721"/>
      <c r="G5" s="721"/>
      <c r="H5" s="721"/>
      <c r="I5" s="721"/>
      <c r="J5" s="721"/>
      <c r="K5" s="721"/>
      <c r="L5" s="721"/>
      <c r="M5" s="721"/>
      <c r="N5" s="721"/>
      <c r="O5" s="721"/>
      <c r="P5" s="136"/>
    </row>
    <row r="6" spans="1:17" ht="12" customHeight="1" x14ac:dyDescent="0.2">
      <c r="A6" s="721"/>
      <c r="B6" s="721"/>
      <c r="C6" s="721"/>
      <c r="D6" s="721"/>
      <c r="E6" s="721"/>
      <c r="F6" s="721"/>
      <c r="G6" s="721"/>
      <c r="H6" s="721"/>
      <c r="I6" s="721"/>
      <c r="J6" s="721"/>
      <c r="K6" s="721"/>
      <c r="L6" s="721"/>
      <c r="M6" s="721"/>
      <c r="N6" s="721"/>
      <c r="O6" s="721"/>
    </row>
    <row r="7" spans="1:17" ht="12.95" customHeight="1" x14ac:dyDescent="0.2">
      <c r="A7" s="3"/>
      <c r="B7" s="3"/>
      <c r="C7" s="3"/>
      <c r="D7" s="3"/>
      <c r="E7" s="3"/>
      <c r="F7" s="3"/>
      <c r="G7" s="3"/>
      <c r="H7" s="3"/>
      <c r="I7" s="3"/>
      <c r="J7" s="85"/>
      <c r="K7" s="85"/>
      <c r="L7" s="85"/>
      <c r="M7" s="85"/>
      <c r="N7" s="85"/>
      <c r="O7" s="83" t="s">
        <v>0</v>
      </c>
    </row>
    <row r="8" spans="1:17" ht="13.5" hidden="1" customHeight="1" x14ac:dyDescent="0.2">
      <c r="B8" s="74"/>
      <c r="C8" s="74"/>
      <c r="D8" s="74"/>
      <c r="E8" s="74"/>
      <c r="F8" s="74"/>
      <c r="G8" s="74"/>
      <c r="H8" s="74"/>
      <c r="I8" s="74"/>
      <c r="J8" s="92"/>
      <c r="K8" s="92"/>
      <c r="L8" s="92"/>
      <c r="M8" s="92"/>
      <c r="N8" s="92"/>
      <c r="O8" s="92"/>
    </row>
    <row r="9" spans="1:17" ht="13.5" thickBot="1" x14ac:dyDescent="0.25">
      <c r="B9" s="74"/>
      <c r="C9" s="74"/>
      <c r="D9" s="74"/>
      <c r="E9" s="74"/>
      <c r="F9" s="74"/>
      <c r="G9" s="74"/>
      <c r="H9" s="74"/>
      <c r="I9" s="74"/>
      <c r="J9" s="92"/>
      <c r="K9" s="92"/>
      <c r="L9" s="92"/>
      <c r="M9" s="92"/>
      <c r="N9" s="92"/>
      <c r="O9" s="92"/>
    </row>
    <row r="10" spans="1:17" ht="43.5" customHeight="1" x14ac:dyDescent="0.2">
      <c r="A10" s="760" t="s">
        <v>96</v>
      </c>
      <c r="B10" s="763" t="s">
        <v>97</v>
      </c>
      <c r="C10" s="763" t="s">
        <v>98</v>
      </c>
      <c r="D10" s="764" t="s">
        <v>105</v>
      </c>
      <c r="E10" s="763" t="s">
        <v>99</v>
      </c>
      <c r="F10" s="307"/>
      <c r="G10" s="764" t="s">
        <v>724</v>
      </c>
      <c r="H10" s="767" t="s">
        <v>100</v>
      </c>
      <c r="I10" s="768"/>
      <c r="J10" s="768"/>
      <c r="K10" s="769"/>
      <c r="L10" s="764" t="s">
        <v>531</v>
      </c>
      <c r="M10" s="770" t="s">
        <v>974</v>
      </c>
      <c r="N10" s="770" t="s">
        <v>975</v>
      </c>
      <c r="O10" s="752" t="s">
        <v>351</v>
      </c>
    </row>
    <row r="11" spans="1:17" ht="51" customHeight="1" x14ac:dyDescent="0.2">
      <c r="A11" s="761"/>
      <c r="B11" s="757"/>
      <c r="C11" s="757"/>
      <c r="D11" s="765"/>
      <c r="E11" s="757"/>
      <c r="F11" s="173" t="s">
        <v>334</v>
      </c>
      <c r="G11" s="765"/>
      <c r="H11" s="755" t="s">
        <v>102</v>
      </c>
      <c r="I11" s="756"/>
      <c r="J11" s="757" t="s">
        <v>101</v>
      </c>
      <c r="K11" s="757" t="s">
        <v>335</v>
      </c>
      <c r="L11" s="765"/>
      <c r="M11" s="771"/>
      <c r="N11" s="771"/>
      <c r="O11" s="753"/>
    </row>
    <row r="12" spans="1:17" ht="41.25" customHeight="1" thickBot="1" x14ac:dyDescent="0.25">
      <c r="A12" s="762"/>
      <c r="B12" s="758"/>
      <c r="C12" s="758"/>
      <c r="D12" s="766"/>
      <c r="E12" s="758"/>
      <c r="F12" s="308"/>
      <c r="G12" s="766"/>
      <c r="H12" s="309" t="s">
        <v>103</v>
      </c>
      <c r="I12" s="309" t="s">
        <v>104</v>
      </c>
      <c r="J12" s="758"/>
      <c r="K12" s="758"/>
      <c r="L12" s="766"/>
      <c r="M12" s="772"/>
      <c r="N12" s="772"/>
      <c r="O12" s="754"/>
    </row>
    <row r="13" spans="1:17" ht="25.5" x14ac:dyDescent="0.2">
      <c r="A13" s="304" t="s">
        <v>439</v>
      </c>
      <c r="B13" s="310" t="s">
        <v>440</v>
      </c>
      <c r="C13" s="78">
        <v>950695</v>
      </c>
      <c r="D13" s="140" t="s">
        <v>441</v>
      </c>
      <c r="E13" s="78">
        <v>950695</v>
      </c>
      <c r="F13" s="78">
        <v>0</v>
      </c>
      <c r="G13" s="78">
        <v>935695</v>
      </c>
      <c r="H13" s="78">
        <v>935695</v>
      </c>
      <c r="I13" s="12">
        <v>0</v>
      </c>
      <c r="J13" s="78">
        <v>0</v>
      </c>
      <c r="K13" s="78">
        <v>935695</v>
      </c>
      <c r="L13" s="78">
        <v>0</v>
      </c>
      <c r="M13" s="78">
        <f>'8.Önk.'!R111</f>
        <v>1308</v>
      </c>
      <c r="N13" s="78">
        <f>M13</f>
        <v>1308</v>
      </c>
      <c r="O13" s="608">
        <v>0</v>
      </c>
      <c r="Q13" s="78">
        <f>364933+7632-1776</f>
        <v>370789</v>
      </c>
    </row>
    <row r="14" spans="1:17" ht="38.25" x14ac:dyDescent="0.2">
      <c r="A14" s="19" t="s">
        <v>790</v>
      </c>
      <c r="B14" s="310" t="s">
        <v>868</v>
      </c>
      <c r="C14" s="78">
        <v>238522</v>
      </c>
      <c r="D14" s="140" t="s">
        <v>441</v>
      </c>
      <c r="E14" s="78">
        <v>238522</v>
      </c>
      <c r="F14" s="78">
        <v>0</v>
      </c>
      <c r="G14" s="78">
        <v>227589</v>
      </c>
      <c r="H14" s="78">
        <v>227589</v>
      </c>
      <c r="I14" s="12">
        <v>0</v>
      </c>
      <c r="J14" s="78">
        <v>0</v>
      </c>
      <c r="K14" s="78">
        <v>227589</v>
      </c>
      <c r="L14" s="78">
        <v>0</v>
      </c>
      <c r="M14" s="78">
        <f>220907+'8.Önk.'!R117+'8.Önk.'!R118+'8.Önk.'!R119+'8.Önk.'!R120+1</f>
        <v>223130</v>
      </c>
      <c r="N14" s="30">
        <v>22925</v>
      </c>
      <c r="O14" s="609" t="s">
        <v>63</v>
      </c>
      <c r="Q14" s="74"/>
    </row>
    <row r="15" spans="1:17" ht="36.75" thickBot="1" x14ac:dyDescent="0.25">
      <c r="A15" s="19" t="s">
        <v>866</v>
      </c>
      <c r="B15" s="310" t="s">
        <v>867</v>
      </c>
      <c r="C15" s="78">
        <v>708662</v>
      </c>
      <c r="D15" s="140" t="s">
        <v>441</v>
      </c>
      <c r="E15" s="78">
        <v>708662</v>
      </c>
      <c r="F15" s="78">
        <v>0</v>
      </c>
      <c r="G15" s="78">
        <v>708662</v>
      </c>
      <c r="H15" s="78">
        <v>708662</v>
      </c>
      <c r="I15" s="78">
        <f>186525+33867</f>
        <v>220392</v>
      </c>
      <c r="J15" s="78">
        <v>1620</v>
      </c>
      <c r="K15" s="78">
        <f>186525+708662+1620+33867</f>
        <v>930674</v>
      </c>
      <c r="L15" s="78">
        <v>0</v>
      </c>
      <c r="M15" s="78">
        <f>'8.Önk.'!C25+590+'8.Önk.'!C122-11267+'8.Önk.'!C123+'8.Önk.'!C125+'8.Önk.'!C126+'8.Önk.'!C127+'8.Önk.'!C128+42097</f>
        <v>96510</v>
      </c>
      <c r="N15" s="78">
        <f>11267+9045+'8.Önk.'!R124+'8.Önk.'!M125+'8.Önk.'!M123+'8.Önk.'!M126+'8.Önk.'!M127+'8.Önk.'!M128</f>
        <v>34512</v>
      </c>
      <c r="O15" s="614">
        <v>0.23</v>
      </c>
      <c r="Q15" s="74">
        <f>M15-N15</f>
        <v>61998</v>
      </c>
    </row>
    <row r="16" spans="1:17" ht="19.5" customHeight="1" thickBot="1" x14ac:dyDescent="0.25">
      <c r="A16" s="137" t="s">
        <v>67</v>
      </c>
      <c r="B16" s="138"/>
      <c r="C16" s="139">
        <f>SUM(C13:C15)</f>
        <v>1897879</v>
      </c>
      <c r="D16" s="138"/>
      <c r="E16" s="139">
        <f>SUM(E13:E15)</f>
        <v>1897879</v>
      </c>
      <c r="F16" s="139">
        <f>SUM(F13:F15)</f>
        <v>0</v>
      </c>
      <c r="G16" s="178">
        <f>SUM(E16:F16)</f>
        <v>1897879</v>
      </c>
      <c r="H16" s="139">
        <f>SUM(H13:H15)</f>
        <v>1871946</v>
      </c>
      <c r="I16" s="139">
        <f>SUM(I13:I15)</f>
        <v>220392</v>
      </c>
      <c r="J16" s="139">
        <f>SUM(J13:J15)</f>
        <v>1620</v>
      </c>
      <c r="K16" s="139">
        <f>SUM(K13:K15)</f>
        <v>2093958</v>
      </c>
      <c r="L16" s="139"/>
      <c r="M16" s="178">
        <f>SUM(M13:M15)</f>
        <v>320948</v>
      </c>
      <c r="N16" s="178">
        <f>SUM(N13:N15)</f>
        <v>58745</v>
      </c>
      <c r="O16" s="610"/>
    </row>
    <row r="17" spans="2:15" ht="12.95" customHeight="1" x14ac:dyDescent="0.2">
      <c r="B17" s="74"/>
      <c r="C17" s="74"/>
      <c r="D17" s="74"/>
      <c r="E17" s="74"/>
      <c r="F17" s="74"/>
      <c r="G17" s="74"/>
      <c r="H17" s="74"/>
      <c r="I17" s="74"/>
      <c r="J17" s="92"/>
      <c r="K17" s="92"/>
      <c r="L17" s="92"/>
      <c r="M17" s="92"/>
      <c r="N17" s="92"/>
      <c r="O17" s="92"/>
    </row>
    <row r="18" spans="2:15" ht="12.95" hidden="1" customHeight="1" x14ac:dyDescent="0.2">
      <c r="B18" s="74"/>
      <c r="C18" s="74"/>
      <c r="D18" s="74"/>
      <c r="E18" s="74"/>
      <c r="F18" s="74"/>
      <c r="G18" s="74"/>
      <c r="H18" s="74"/>
      <c r="I18" s="74"/>
      <c r="J18" s="92"/>
      <c r="K18" s="92"/>
      <c r="L18" s="92"/>
      <c r="M18" s="92"/>
      <c r="N18" s="92"/>
      <c r="O18" s="92"/>
    </row>
    <row r="19" spans="2:15" ht="12.95" hidden="1" customHeight="1" x14ac:dyDescent="0.2">
      <c r="B19" s="74"/>
      <c r="C19" s="74"/>
      <c r="D19" s="74"/>
      <c r="E19" s="74"/>
      <c r="F19" s="74"/>
      <c r="G19" s="74"/>
      <c r="H19" s="74"/>
      <c r="I19" s="74"/>
      <c r="J19" s="92"/>
      <c r="K19" s="92">
        <v>929053</v>
      </c>
      <c r="L19" s="92"/>
      <c r="M19" s="92"/>
      <c r="N19" s="92"/>
      <c r="O19" s="92"/>
    </row>
    <row r="20" spans="2:15" ht="12.95" hidden="1" customHeight="1" x14ac:dyDescent="0.2">
      <c r="B20" s="74"/>
      <c r="C20" s="74"/>
      <c r="D20" s="74"/>
      <c r="E20" s="74"/>
      <c r="F20" s="74"/>
      <c r="G20" s="74"/>
      <c r="H20" s="74"/>
      <c r="I20" s="74"/>
      <c r="J20" s="92"/>
      <c r="K20" s="92">
        <f>K15-K19</f>
        <v>1621</v>
      </c>
      <c r="L20" s="92"/>
      <c r="M20" s="92"/>
      <c r="N20" s="92"/>
      <c r="O20" s="92"/>
    </row>
    <row r="21" spans="2:15" ht="12.95" hidden="1" customHeight="1" x14ac:dyDescent="0.2">
      <c r="B21" s="74"/>
      <c r="C21" s="74"/>
      <c r="D21" s="74"/>
      <c r="E21" s="74"/>
      <c r="F21" s="74"/>
      <c r="G21" s="74"/>
      <c r="H21" s="74"/>
      <c r="I21" s="74"/>
      <c r="J21" s="92"/>
      <c r="K21" s="92">
        <f>K20+12573</f>
        <v>14194</v>
      </c>
      <c r="L21" s="92"/>
      <c r="M21" s="92"/>
      <c r="N21" s="92"/>
      <c r="O21" s="92"/>
    </row>
    <row r="22" spans="2:15" ht="12.95" hidden="1" customHeight="1" x14ac:dyDescent="0.2">
      <c r="B22" s="74"/>
      <c r="C22" s="74"/>
      <c r="D22" s="74"/>
      <c r="E22" s="74"/>
      <c r="F22" s="74"/>
      <c r="G22" s="74"/>
      <c r="H22" s="74"/>
      <c r="I22" s="74"/>
      <c r="J22" s="92"/>
      <c r="K22" s="92">
        <f>K21+3564</f>
        <v>17758</v>
      </c>
      <c r="L22" s="92"/>
      <c r="M22" s="92"/>
      <c r="N22" s="92"/>
      <c r="O22" s="92"/>
    </row>
    <row r="23" spans="2:15" ht="12.95" hidden="1" customHeight="1" x14ac:dyDescent="0.2">
      <c r="B23" s="74"/>
      <c r="C23" s="74"/>
      <c r="D23" s="74"/>
      <c r="E23" s="74"/>
      <c r="F23" s="74"/>
      <c r="G23" s="74"/>
      <c r="H23" s="74"/>
      <c r="I23" s="74"/>
      <c r="J23" s="92"/>
      <c r="K23" s="92">
        <f>K22+6985</f>
        <v>24743</v>
      </c>
      <c r="L23" s="92"/>
      <c r="M23" s="92"/>
      <c r="N23" s="92"/>
      <c r="O23" s="92"/>
    </row>
    <row r="24" spans="2:15" ht="12.95" customHeight="1" x14ac:dyDescent="0.2">
      <c r="B24" s="74"/>
      <c r="C24" s="74"/>
      <c r="D24" s="74"/>
      <c r="E24" s="74"/>
      <c r="F24" s="74"/>
      <c r="G24" s="74"/>
      <c r="H24" s="74"/>
      <c r="I24" s="74"/>
      <c r="J24" s="92"/>
      <c r="K24" s="92"/>
      <c r="L24" s="92"/>
      <c r="M24" s="92"/>
      <c r="N24" s="92"/>
      <c r="O24" s="92"/>
    </row>
    <row r="25" spans="2:15" ht="12.95" customHeight="1" x14ac:dyDescent="0.2">
      <c r="B25" s="74"/>
      <c r="C25" s="74"/>
      <c r="D25" s="74"/>
      <c r="E25" s="74"/>
      <c r="F25" s="74"/>
      <c r="G25" s="74"/>
      <c r="H25" s="74"/>
      <c r="I25" s="74"/>
      <c r="J25" s="92"/>
      <c r="K25" s="92"/>
      <c r="L25" s="92"/>
      <c r="M25" s="92"/>
      <c r="N25" s="92"/>
      <c r="O25" s="92"/>
    </row>
    <row r="26" spans="2:15" ht="12.95" customHeight="1" x14ac:dyDescent="0.2">
      <c r="B26" s="74"/>
      <c r="C26" s="74"/>
      <c r="D26" s="74"/>
      <c r="E26" s="74"/>
      <c r="F26" s="74"/>
      <c r="G26" s="74"/>
      <c r="H26" s="74"/>
      <c r="I26" s="74"/>
      <c r="J26" s="92"/>
      <c r="K26" s="92"/>
      <c r="L26" s="92"/>
      <c r="M26" s="92"/>
      <c r="N26" s="92"/>
      <c r="O26" s="92"/>
    </row>
    <row r="27" spans="2:15" ht="12.95" customHeight="1" x14ac:dyDescent="0.2">
      <c r="B27" s="74"/>
      <c r="C27" s="74"/>
      <c r="D27" s="74"/>
      <c r="E27" s="74"/>
      <c r="F27" s="74"/>
      <c r="G27" s="74"/>
      <c r="H27" s="74"/>
      <c r="I27" s="74"/>
      <c r="J27" s="92"/>
      <c r="K27" s="92"/>
      <c r="L27" s="92"/>
      <c r="M27" s="92"/>
      <c r="N27" s="92"/>
      <c r="O27" s="92"/>
    </row>
    <row r="28" spans="2:15" ht="12.95" customHeight="1" x14ac:dyDescent="0.2">
      <c r="B28" s="74"/>
      <c r="C28" s="74"/>
      <c r="D28" s="74"/>
      <c r="E28" s="74"/>
      <c r="F28" s="74"/>
      <c r="G28" s="74"/>
      <c r="H28" s="74"/>
      <c r="I28" s="74"/>
      <c r="J28" s="92"/>
      <c r="K28" s="92"/>
      <c r="L28" s="92"/>
      <c r="M28" s="92"/>
      <c r="N28" s="92"/>
      <c r="O28" s="92"/>
    </row>
    <row r="29" spans="2:15" ht="12.95" customHeight="1" x14ac:dyDescent="0.2">
      <c r="B29" s="74"/>
      <c r="C29" s="74"/>
      <c r="D29" s="74"/>
      <c r="E29" s="74"/>
      <c r="F29" s="74"/>
      <c r="G29" s="74"/>
      <c r="H29" s="74"/>
      <c r="I29" s="74"/>
      <c r="J29" s="92"/>
      <c r="K29" s="92"/>
      <c r="L29" s="92"/>
      <c r="M29" s="92"/>
      <c r="N29" s="92"/>
      <c r="O29" s="92"/>
    </row>
    <row r="30" spans="2:15" ht="12.95" customHeight="1" x14ac:dyDescent="0.2">
      <c r="B30" s="74"/>
      <c r="C30" s="74"/>
      <c r="D30" s="74"/>
      <c r="E30" s="74"/>
      <c r="F30" s="74"/>
      <c r="G30" s="74"/>
      <c r="H30" s="74"/>
      <c r="I30" s="74"/>
      <c r="J30" s="92"/>
      <c r="K30" s="92"/>
      <c r="L30" s="92"/>
      <c r="M30" s="92"/>
      <c r="N30" s="92"/>
      <c r="O30" s="92"/>
    </row>
    <row r="31" spans="2:15" ht="12.95" customHeight="1" x14ac:dyDescent="0.2">
      <c r="B31" s="74"/>
      <c r="C31" s="74"/>
      <c r="D31" s="74"/>
      <c r="E31" s="74"/>
      <c r="F31" s="74"/>
      <c r="G31" s="74"/>
      <c r="H31" s="74"/>
      <c r="I31" s="74"/>
      <c r="J31" s="92"/>
      <c r="K31" s="92"/>
      <c r="L31" s="92"/>
      <c r="M31" s="92"/>
      <c r="N31" s="92"/>
      <c r="O31" s="92"/>
    </row>
    <row r="32" spans="2:15" ht="12.95" customHeight="1" x14ac:dyDescent="0.2">
      <c r="B32" s="74"/>
      <c r="C32" s="74"/>
      <c r="D32" s="74"/>
      <c r="E32" s="74"/>
      <c r="F32" s="74"/>
      <c r="G32" s="74"/>
      <c r="H32" s="74"/>
      <c r="I32" s="74"/>
      <c r="J32" s="92"/>
      <c r="K32" s="92"/>
      <c r="L32" s="92"/>
      <c r="M32" s="92"/>
      <c r="N32" s="92"/>
      <c r="O32" s="92"/>
    </row>
    <row r="33" spans="2:15" ht="12.95" customHeight="1" x14ac:dyDescent="0.2">
      <c r="B33" s="74"/>
      <c r="C33" s="74"/>
      <c r="D33" s="74"/>
      <c r="E33" s="74"/>
      <c r="F33" s="74"/>
      <c r="G33" s="74"/>
      <c r="H33" s="74"/>
      <c r="I33" s="74"/>
      <c r="J33" s="92"/>
      <c r="K33" s="92"/>
      <c r="L33" s="92"/>
      <c r="M33" s="92"/>
      <c r="N33" s="92"/>
      <c r="O33" s="92"/>
    </row>
    <row r="34" spans="2:15" ht="12.95" customHeight="1" x14ac:dyDescent="0.2">
      <c r="B34" s="74"/>
      <c r="C34" s="74"/>
      <c r="D34" s="74"/>
      <c r="E34" s="74"/>
      <c r="F34" s="74"/>
      <c r="G34" s="74"/>
      <c r="H34" s="74"/>
      <c r="I34" s="74"/>
      <c r="J34" s="92"/>
      <c r="K34" s="92"/>
      <c r="L34" s="92"/>
      <c r="M34" s="92"/>
      <c r="N34" s="92"/>
      <c r="O34" s="92"/>
    </row>
    <row r="35" spans="2:15" ht="12.95" customHeight="1" x14ac:dyDescent="0.2">
      <c r="B35" s="74"/>
      <c r="C35" s="74"/>
      <c r="D35" s="74"/>
      <c r="E35" s="74"/>
      <c r="F35" s="74"/>
      <c r="G35" s="74"/>
      <c r="H35" s="74"/>
      <c r="I35" s="74"/>
      <c r="J35" s="92"/>
      <c r="K35" s="92"/>
      <c r="L35" s="92"/>
      <c r="M35" s="92"/>
      <c r="N35" s="92"/>
      <c r="O35" s="92"/>
    </row>
    <row r="36" spans="2:15" ht="12.95" customHeight="1" x14ac:dyDescent="0.2">
      <c r="B36" s="74"/>
      <c r="C36" s="74"/>
      <c r="D36" s="74"/>
      <c r="E36" s="74"/>
      <c r="F36" s="74"/>
      <c r="G36" s="74"/>
      <c r="H36" s="74"/>
      <c r="I36" s="74"/>
      <c r="J36" s="92"/>
      <c r="K36" s="92"/>
      <c r="L36" s="92"/>
      <c r="M36" s="92"/>
      <c r="N36" s="92"/>
      <c r="O36" s="92"/>
    </row>
    <row r="37" spans="2:15" ht="12.95" customHeight="1" x14ac:dyDescent="0.2">
      <c r="B37" s="74"/>
      <c r="C37" s="74"/>
      <c r="D37" s="74"/>
      <c r="E37" s="74"/>
      <c r="F37" s="74"/>
      <c r="G37" s="74"/>
      <c r="H37" s="74"/>
      <c r="I37" s="74"/>
      <c r="J37" s="92"/>
      <c r="K37" s="92"/>
      <c r="L37" s="92"/>
      <c r="M37" s="92"/>
      <c r="N37" s="92"/>
      <c r="O37" s="92"/>
    </row>
    <row r="38" spans="2:15" ht="12.95" customHeight="1" x14ac:dyDescent="0.2">
      <c r="B38" s="74"/>
      <c r="C38" s="74"/>
      <c r="D38" s="74"/>
      <c r="E38" s="74"/>
      <c r="F38" s="74"/>
      <c r="G38" s="74"/>
      <c r="H38" s="74"/>
      <c r="I38" s="74"/>
      <c r="J38" s="92"/>
      <c r="K38" s="92"/>
      <c r="L38" s="92"/>
      <c r="M38" s="92"/>
      <c r="N38" s="92"/>
      <c r="O38" s="92"/>
    </row>
    <row r="39" spans="2:15" ht="12.95" customHeight="1" x14ac:dyDescent="0.2">
      <c r="B39" s="74"/>
      <c r="C39" s="74"/>
      <c r="D39" s="74"/>
      <c r="E39" s="74"/>
      <c r="F39" s="74"/>
      <c r="G39" s="74"/>
      <c r="H39" s="74"/>
      <c r="I39" s="74"/>
      <c r="J39" s="92"/>
      <c r="K39" s="92"/>
      <c r="L39" s="92"/>
      <c r="M39" s="92"/>
      <c r="N39" s="92"/>
      <c r="O39" s="92"/>
    </row>
    <row r="40" spans="2:15" ht="12.95" customHeight="1" x14ac:dyDescent="0.2">
      <c r="B40" s="74"/>
      <c r="C40" s="74"/>
      <c r="D40" s="74"/>
      <c r="E40" s="74"/>
      <c r="F40" s="74"/>
      <c r="G40" s="74"/>
      <c r="H40" s="74"/>
      <c r="I40" s="74"/>
      <c r="J40" s="92"/>
      <c r="K40" s="92"/>
      <c r="L40" s="92"/>
      <c r="M40" s="92"/>
      <c r="N40" s="92"/>
      <c r="O40" s="92"/>
    </row>
    <row r="41" spans="2:15" ht="12.95" customHeight="1" x14ac:dyDescent="0.2">
      <c r="B41" s="74"/>
      <c r="C41" s="74"/>
      <c r="D41" s="74"/>
      <c r="E41" s="74"/>
      <c r="F41" s="74"/>
      <c r="G41" s="74"/>
      <c r="H41" s="74"/>
      <c r="I41" s="74"/>
      <c r="J41" s="92"/>
      <c r="K41" s="92"/>
      <c r="L41" s="92"/>
      <c r="M41" s="92"/>
      <c r="N41" s="92"/>
      <c r="O41" s="92"/>
    </row>
    <row r="42" spans="2:15" ht="12.95" customHeight="1" x14ac:dyDescent="0.2">
      <c r="B42" s="74"/>
      <c r="C42" s="74"/>
      <c r="D42" s="74"/>
      <c r="E42" s="74"/>
      <c r="F42" s="74"/>
      <c r="G42" s="74"/>
      <c r="H42" s="74"/>
      <c r="I42" s="74"/>
      <c r="J42" s="92"/>
      <c r="K42" s="92"/>
      <c r="L42" s="92"/>
      <c r="M42" s="92"/>
      <c r="N42" s="92"/>
      <c r="O42" s="92"/>
    </row>
    <row r="43" spans="2:15" ht="12.95" customHeight="1" x14ac:dyDescent="0.2">
      <c r="B43" s="74"/>
      <c r="C43" s="74"/>
      <c r="D43" s="74"/>
      <c r="E43" s="74"/>
      <c r="F43" s="74"/>
      <c r="G43" s="74"/>
      <c r="H43" s="74"/>
      <c r="I43" s="74"/>
      <c r="J43" s="92"/>
      <c r="K43" s="92"/>
      <c r="L43" s="92"/>
      <c r="M43" s="92"/>
      <c r="N43" s="92"/>
      <c r="O43" s="92"/>
    </row>
    <row r="44" spans="2:15" ht="12.95" customHeight="1" x14ac:dyDescent="0.2">
      <c r="B44" s="74"/>
      <c r="C44" s="74"/>
      <c r="D44" s="74"/>
      <c r="E44" s="74"/>
      <c r="F44" s="74"/>
      <c r="G44" s="74"/>
      <c r="H44" s="74"/>
      <c r="I44" s="74"/>
      <c r="J44" s="92"/>
      <c r="K44" s="92"/>
      <c r="L44" s="92"/>
      <c r="M44" s="92"/>
      <c r="N44" s="92"/>
      <c r="O44" s="92"/>
    </row>
    <row r="45" spans="2:15" ht="12.95" customHeight="1" x14ac:dyDescent="0.2">
      <c r="B45" s="74"/>
      <c r="C45" s="74"/>
      <c r="D45" s="74"/>
      <c r="E45" s="74"/>
      <c r="F45" s="74"/>
      <c r="G45" s="74"/>
      <c r="H45" s="74"/>
      <c r="I45" s="74"/>
      <c r="J45" s="92"/>
      <c r="K45" s="92"/>
      <c r="L45" s="92"/>
      <c r="M45" s="92"/>
      <c r="N45" s="92"/>
      <c r="O45" s="92"/>
    </row>
    <row r="46" spans="2:15" ht="12.95" customHeight="1" x14ac:dyDescent="0.2">
      <c r="B46" s="74"/>
      <c r="C46" s="74"/>
      <c r="D46" s="74"/>
      <c r="E46" s="74"/>
      <c r="F46" s="74"/>
      <c r="G46" s="74"/>
      <c r="H46" s="74"/>
      <c r="I46" s="74"/>
      <c r="J46" s="92"/>
      <c r="K46" s="92"/>
      <c r="L46" s="92"/>
      <c r="M46" s="92"/>
      <c r="N46" s="92"/>
      <c r="O46" s="92"/>
    </row>
    <row r="47" spans="2:15" x14ac:dyDescent="0.2">
      <c r="B47" s="74"/>
      <c r="C47" s="74"/>
      <c r="D47" s="74"/>
      <c r="E47" s="74"/>
      <c r="F47" s="74"/>
      <c r="G47" s="74"/>
      <c r="H47" s="74"/>
      <c r="I47" s="74"/>
      <c r="J47" s="92"/>
      <c r="K47" s="92"/>
      <c r="L47" s="92"/>
      <c r="M47" s="92"/>
      <c r="N47" s="92"/>
      <c r="O47" s="92"/>
    </row>
    <row r="48" spans="2:15" x14ac:dyDescent="0.2">
      <c r="B48" s="74"/>
      <c r="C48" s="74"/>
      <c r="D48" s="74"/>
      <c r="E48" s="74"/>
      <c r="F48" s="74"/>
      <c r="G48" s="74"/>
      <c r="H48" s="74"/>
      <c r="I48" s="74"/>
      <c r="J48" s="92"/>
      <c r="K48" s="92"/>
      <c r="L48" s="92"/>
      <c r="M48" s="92"/>
      <c r="N48" s="92"/>
      <c r="O48" s="92"/>
    </row>
    <row r="49" spans="2:15" x14ac:dyDescent="0.2">
      <c r="B49" s="74"/>
      <c r="C49" s="74"/>
      <c r="D49" s="74"/>
      <c r="E49" s="74"/>
      <c r="F49" s="74"/>
      <c r="G49" s="74"/>
      <c r="H49" s="74"/>
      <c r="I49" s="74"/>
      <c r="J49" s="92"/>
      <c r="K49" s="92"/>
      <c r="L49" s="92"/>
      <c r="M49" s="92"/>
      <c r="N49" s="92"/>
      <c r="O49" s="92"/>
    </row>
    <row r="50" spans="2:15" x14ac:dyDescent="0.2">
      <c r="B50" s="74"/>
      <c r="C50" s="74"/>
      <c r="D50" s="74"/>
      <c r="E50" s="74"/>
      <c r="F50" s="74"/>
      <c r="G50" s="74"/>
      <c r="H50" s="74"/>
      <c r="I50" s="74"/>
      <c r="J50" s="92"/>
      <c r="K50" s="92"/>
      <c r="L50" s="92"/>
      <c r="M50" s="92"/>
      <c r="N50" s="92"/>
      <c r="O50" s="92"/>
    </row>
    <row r="51" spans="2:15" x14ac:dyDescent="0.2">
      <c r="B51" s="74"/>
      <c r="C51" s="74"/>
      <c r="D51" s="74"/>
      <c r="E51" s="74"/>
      <c r="F51" s="74"/>
      <c r="G51" s="74"/>
      <c r="H51" s="74"/>
      <c r="I51" s="74"/>
      <c r="J51" s="92"/>
      <c r="K51" s="92"/>
      <c r="L51" s="92"/>
      <c r="M51" s="92"/>
      <c r="N51" s="92"/>
      <c r="O51" s="92"/>
    </row>
    <row r="52" spans="2:15" x14ac:dyDescent="0.2">
      <c r="B52" s="74"/>
      <c r="C52" s="74"/>
      <c r="D52" s="74"/>
      <c r="E52" s="74"/>
      <c r="F52" s="74"/>
      <c r="G52" s="74"/>
      <c r="H52" s="74"/>
      <c r="I52" s="74"/>
      <c r="J52" s="92"/>
      <c r="K52" s="92"/>
      <c r="L52" s="92"/>
      <c r="M52" s="92"/>
      <c r="N52" s="92"/>
      <c r="O52" s="92"/>
    </row>
    <row r="53" spans="2:15" x14ac:dyDescent="0.2">
      <c r="B53" s="74"/>
      <c r="C53" s="74"/>
      <c r="D53" s="74"/>
      <c r="E53" s="74"/>
      <c r="F53" s="74"/>
      <c r="G53" s="74"/>
      <c r="H53" s="74"/>
      <c r="I53" s="74"/>
      <c r="J53" s="92"/>
      <c r="K53" s="92"/>
      <c r="L53" s="92"/>
      <c r="M53" s="92"/>
      <c r="N53" s="92"/>
      <c r="O53" s="92"/>
    </row>
    <row r="54" spans="2:15" x14ac:dyDescent="0.2">
      <c r="B54" s="74"/>
      <c r="C54" s="74"/>
      <c r="D54" s="74"/>
      <c r="E54" s="74"/>
      <c r="F54" s="74"/>
      <c r="G54" s="74"/>
      <c r="H54" s="74"/>
      <c r="I54" s="74"/>
      <c r="J54" s="92"/>
      <c r="K54" s="92"/>
      <c r="L54" s="92"/>
      <c r="M54" s="92"/>
      <c r="N54" s="92"/>
      <c r="O54" s="92"/>
    </row>
    <row r="55" spans="2:15" x14ac:dyDescent="0.2">
      <c r="B55" s="74"/>
      <c r="C55" s="74"/>
      <c r="D55" s="74"/>
      <c r="E55" s="74"/>
      <c r="F55" s="74"/>
      <c r="G55" s="74"/>
      <c r="H55" s="74"/>
      <c r="I55" s="74"/>
      <c r="J55" s="92"/>
      <c r="K55" s="92"/>
      <c r="L55" s="92"/>
      <c r="M55" s="92"/>
      <c r="N55" s="92"/>
      <c r="O55" s="92"/>
    </row>
    <row r="56" spans="2:15" x14ac:dyDescent="0.2">
      <c r="B56" s="74"/>
      <c r="C56" s="74"/>
      <c r="D56" s="74"/>
      <c r="E56" s="74"/>
      <c r="F56" s="74"/>
      <c r="G56" s="74"/>
      <c r="H56" s="74"/>
      <c r="I56" s="74"/>
      <c r="J56" s="92"/>
      <c r="K56" s="92"/>
      <c r="L56" s="92"/>
      <c r="M56" s="92"/>
      <c r="N56" s="92"/>
      <c r="O56" s="92"/>
    </row>
    <row r="57" spans="2:15" x14ac:dyDescent="0.2">
      <c r="B57" s="74"/>
      <c r="C57" s="74"/>
      <c r="D57" s="74"/>
      <c r="E57" s="74"/>
      <c r="F57" s="74"/>
      <c r="G57" s="74"/>
      <c r="H57" s="74"/>
      <c r="I57" s="74"/>
      <c r="J57" s="92"/>
      <c r="K57" s="92"/>
      <c r="L57" s="92"/>
      <c r="M57" s="92"/>
      <c r="N57" s="92"/>
      <c r="O57" s="92"/>
    </row>
    <row r="58" spans="2:15" x14ac:dyDescent="0.2">
      <c r="B58" s="74"/>
      <c r="C58" s="74"/>
      <c r="D58" s="74"/>
      <c r="E58" s="74"/>
      <c r="F58" s="74"/>
      <c r="G58" s="74"/>
      <c r="H58" s="74"/>
      <c r="I58" s="74"/>
      <c r="J58" s="92"/>
      <c r="K58" s="92"/>
      <c r="L58" s="92"/>
      <c r="M58" s="92"/>
      <c r="N58" s="92"/>
      <c r="O58" s="92"/>
    </row>
    <row r="59" spans="2:15" x14ac:dyDescent="0.2">
      <c r="B59" s="74"/>
      <c r="C59" s="74"/>
      <c r="D59" s="74"/>
      <c r="E59" s="74"/>
      <c r="F59" s="74"/>
      <c r="G59" s="74"/>
      <c r="H59" s="74"/>
      <c r="I59" s="74"/>
      <c r="J59" s="92"/>
      <c r="K59" s="92"/>
      <c r="L59" s="92"/>
      <c r="M59" s="92"/>
      <c r="N59" s="92"/>
      <c r="O59" s="92"/>
    </row>
    <row r="60" spans="2:15" x14ac:dyDescent="0.2">
      <c r="B60" s="74"/>
      <c r="C60" s="74"/>
      <c r="D60" s="74"/>
      <c r="E60" s="74"/>
      <c r="F60" s="74"/>
      <c r="G60" s="74"/>
      <c r="H60" s="74"/>
      <c r="I60" s="74"/>
      <c r="J60" s="92"/>
      <c r="K60" s="92"/>
      <c r="L60" s="92"/>
      <c r="M60" s="92"/>
      <c r="N60" s="92"/>
      <c r="O60" s="92"/>
    </row>
    <row r="61" spans="2:15" x14ac:dyDescent="0.2">
      <c r="B61" s="74"/>
      <c r="C61" s="74"/>
      <c r="D61" s="74"/>
      <c r="E61" s="74"/>
      <c r="F61" s="74"/>
      <c r="G61" s="74"/>
      <c r="H61" s="74"/>
      <c r="I61" s="74"/>
      <c r="J61" s="92"/>
      <c r="K61" s="92"/>
      <c r="L61" s="92"/>
      <c r="M61" s="92"/>
      <c r="N61" s="92"/>
      <c r="O61" s="92"/>
    </row>
    <row r="62" spans="2:15" x14ac:dyDescent="0.2">
      <c r="B62" s="74"/>
      <c r="C62" s="74"/>
      <c r="D62" s="74"/>
      <c r="E62" s="74"/>
      <c r="F62" s="74"/>
      <c r="G62" s="74"/>
      <c r="H62" s="74"/>
      <c r="I62" s="74"/>
      <c r="J62" s="92"/>
      <c r="K62" s="92"/>
      <c r="L62" s="92"/>
      <c r="M62" s="92"/>
      <c r="N62" s="92"/>
      <c r="O62" s="92"/>
    </row>
    <row r="63" spans="2:15" x14ac:dyDescent="0.2">
      <c r="B63" s="74"/>
      <c r="C63" s="74"/>
      <c r="D63" s="74"/>
      <c r="E63" s="74"/>
      <c r="F63" s="74"/>
      <c r="G63" s="74"/>
      <c r="H63" s="74"/>
      <c r="I63" s="74"/>
      <c r="J63" s="92"/>
      <c r="K63" s="92"/>
      <c r="L63" s="92"/>
      <c r="M63" s="92"/>
      <c r="N63" s="92"/>
      <c r="O63" s="92"/>
    </row>
    <row r="64" spans="2:15" x14ac:dyDescent="0.2">
      <c r="B64" s="74"/>
      <c r="C64" s="74"/>
      <c r="D64" s="74"/>
      <c r="E64" s="74"/>
      <c r="F64" s="74"/>
      <c r="G64" s="74"/>
      <c r="H64" s="74"/>
      <c r="I64" s="74"/>
      <c r="J64" s="92"/>
      <c r="K64" s="92"/>
      <c r="L64" s="92"/>
      <c r="M64" s="92"/>
      <c r="N64" s="92"/>
      <c r="O64" s="92"/>
    </row>
    <row r="65" spans="9:9" x14ac:dyDescent="0.2">
      <c r="I65" s="74"/>
    </row>
  </sheetData>
  <mergeCells count="17">
    <mergeCell ref="N10:N12"/>
    <mergeCell ref="O10:O12"/>
    <mergeCell ref="H11:I11"/>
    <mergeCell ref="J11:J12"/>
    <mergeCell ref="K11:K12"/>
    <mergeCell ref="A4:O4"/>
    <mergeCell ref="A6:O6"/>
    <mergeCell ref="A5:O5"/>
    <mergeCell ref="A10:A12"/>
    <mergeCell ref="B10:B12"/>
    <mergeCell ref="C10:C12"/>
    <mergeCell ref="D10:D12"/>
    <mergeCell ref="E10:E12"/>
    <mergeCell ref="G10:G12"/>
    <mergeCell ref="H10:K10"/>
    <mergeCell ref="L10:L12"/>
    <mergeCell ref="M10:M12"/>
  </mergeCells>
  <pageMargins left="0.41" right="0.17" top="0.31" bottom="1" header="0.19" footer="0.5"/>
  <pageSetup paperSize="9" scale="8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7"/>
  <sheetViews>
    <sheetView zoomScale="90" zoomScaleNormal="90" workbookViewId="0">
      <selection activeCell="H13" sqref="H13"/>
    </sheetView>
  </sheetViews>
  <sheetFormatPr defaultRowHeight="15" x14ac:dyDescent="0.25"/>
  <cols>
    <col min="1" max="1" width="6.140625" style="596" customWidth="1"/>
    <col min="2" max="2" width="61.7109375" style="492" customWidth="1"/>
    <col min="3" max="3" width="12.7109375" style="492" customWidth="1"/>
    <col min="4" max="4" width="13.28515625" style="492" customWidth="1"/>
    <col min="5" max="5" width="12.5703125" style="492" customWidth="1"/>
    <col min="6" max="6" width="6.28515625" style="596" customWidth="1"/>
    <col min="7" max="7" width="49.140625" style="492" customWidth="1"/>
    <col min="8" max="8" width="13.42578125" style="492" customWidth="1"/>
    <col min="9" max="9" width="13.140625" style="492" customWidth="1"/>
    <col min="10" max="10" width="13" style="492" customWidth="1"/>
    <col min="11" max="16384" width="9.140625" style="492"/>
  </cols>
  <sheetData>
    <row r="1" spans="1:10" x14ac:dyDescent="0.25">
      <c r="A1" s="591"/>
      <c r="B1" s="491"/>
      <c r="C1" s="491"/>
      <c r="D1" s="491"/>
      <c r="E1" s="491"/>
      <c r="F1" s="591"/>
      <c r="G1" s="491"/>
      <c r="H1" s="491"/>
      <c r="I1" s="491"/>
      <c r="J1" s="83" t="s">
        <v>727</v>
      </c>
    </row>
    <row r="2" spans="1:10" x14ac:dyDescent="0.25">
      <c r="A2" s="591"/>
      <c r="B2" s="491"/>
      <c r="C2" s="491"/>
      <c r="D2" s="491"/>
      <c r="E2" s="491"/>
      <c r="F2" s="591"/>
      <c r="G2" s="491"/>
      <c r="H2" s="491"/>
      <c r="I2" s="491"/>
      <c r="J2" s="493" t="str">
        <f>'1.Bev-kiad.'!E2</f>
        <v>a 13/2024.(IX.30.) önkormányzati rendelethez</v>
      </c>
    </row>
    <row r="3" spans="1:10" x14ac:dyDescent="0.25">
      <c r="A3" s="591"/>
      <c r="B3" s="491"/>
      <c r="C3" s="491"/>
      <c r="D3" s="491"/>
      <c r="E3" s="491"/>
      <c r="F3" s="591"/>
      <c r="G3" s="491"/>
      <c r="H3" s="491"/>
      <c r="I3" s="491"/>
    </row>
    <row r="4" spans="1:10" ht="39" customHeight="1" x14ac:dyDescent="0.25">
      <c r="A4" s="591"/>
      <c r="B4" s="773" t="s">
        <v>897</v>
      </c>
      <c r="C4" s="774"/>
      <c r="D4" s="774"/>
      <c r="E4" s="774"/>
      <c r="F4" s="774"/>
      <c r="G4" s="774"/>
      <c r="H4" s="774"/>
      <c r="I4" s="774"/>
      <c r="J4" s="493"/>
    </row>
    <row r="5" spans="1:10" x14ac:dyDescent="0.25">
      <c r="A5" s="591"/>
      <c r="B5" s="494"/>
      <c r="C5" s="494"/>
      <c r="D5" s="493"/>
      <c r="E5" s="493"/>
      <c r="F5" s="592"/>
      <c r="G5" s="495"/>
      <c r="H5" s="495"/>
      <c r="I5" s="495"/>
      <c r="J5" s="493" t="s">
        <v>0</v>
      </c>
    </row>
    <row r="6" spans="1:10" ht="41.25" customHeight="1" x14ac:dyDescent="0.25">
      <c r="A6" s="593"/>
      <c r="B6" s="590" t="s">
        <v>728</v>
      </c>
      <c r="C6" s="590" t="s">
        <v>678</v>
      </c>
      <c r="D6" s="590" t="s">
        <v>899</v>
      </c>
      <c r="E6" s="590" t="s">
        <v>898</v>
      </c>
      <c r="F6" s="593"/>
      <c r="G6" s="590" t="s">
        <v>729</v>
      </c>
      <c r="H6" s="590" t="str">
        <f>C6</f>
        <v>2024. évi eredeti előirányzat</v>
      </c>
      <c r="I6" s="590" t="str">
        <f>D6</f>
        <v>2023. évi várható teljesítés</v>
      </c>
      <c r="J6" s="590" t="str">
        <f>E6</f>
        <v>2022. évi
 teljesítés</v>
      </c>
    </row>
    <row r="7" spans="1:10" x14ac:dyDescent="0.25">
      <c r="A7" s="594"/>
      <c r="B7" s="496" t="s">
        <v>730</v>
      </c>
      <c r="C7" s="497">
        <f>SUM(C8+C14)</f>
        <v>1519804</v>
      </c>
      <c r="D7" s="497">
        <f t="shared" ref="D7:E7" si="0">SUM(D8+D14)</f>
        <v>2637805</v>
      </c>
      <c r="E7" s="497">
        <f t="shared" si="0"/>
        <v>1062363</v>
      </c>
      <c r="F7" s="594"/>
      <c r="G7" s="496" t="s">
        <v>731</v>
      </c>
      <c r="H7" s="497">
        <f>SUM(H8+H14)</f>
        <v>3393644</v>
      </c>
      <c r="I7" s="497">
        <f>SUM(I8+I14)</f>
        <v>1671537</v>
      </c>
      <c r="J7" s="497">
        <f>SUM(J8+J14)</f>
        <v>1247451</v>
      </c>
    </row>
    <row r="8" spans="1:10" x14ac:dyDescent="0.25">
      <c r="A8" s="594"/>
      <c r="B8" s="498" t="s">
        <v>732</v>
      </c>
      <c r="C8" s="499">
        <f>SUM(C9:C12)</f>
        <v>1369469</v>
      </c>
      <c r="D8" s="499">
        <f t="shared" ref="D8:E8" si="1">SUM(D9:D12)</f>
        <v>1468400</v>
      </c>
      <c r="E8" s="499">
        <f t="shared" si="1"/>
        <v>967067</v>
      </c>
      <c r="F8" s="594"/>
      <c r="G8" s="498" t="s">
        <v>733</v>
      </c>
      <c r="H8" s="499">
        <f>SUM(H9:H13)</f>
        <v>1736677</v>
      </c>
      <c r="I8" s="499">
        <f>SUM(I9:I13)</f>
        <v>1193609</v>
      </c>
      <c r="J8" s="499">
        <f>SUM(J9:J13)</f>
        <v>856712</v>
      </c>
    </row>
    <row r="9" spans="1:10" x14ac:dyDescent="0.25">
      <c r="A9" s="594" t="s">
        <v>111</v>
      </c>
      <c r="B9" s="501" t="s">
        <v>734</v>
      </c>
      <c r="C9" s="502">
        <f>'1.Bev-kiad.'!C9</f>
        <v>667449</v>
      </c>
      <c r="D9" s="502">
        <v>667025</v>
      </c>
      <c r="E9" s="502">
        <v>507122</v>
      </c>
      <c r="F9" s="595" t="s">
        <v>206</v>
      </c>
      <c r="G9" s="501" t="s">
        <v>735</v>
      </c>
      <c r="H9" s="502">
        <f>'2.működés'!C115</f>
        <v>277035</v>
      </c>
      <c r="I9" s="502">
        <v>253351</v>
      </c>
      <c r="J9" s="502">
        <v>218807</v>
      </c>
    </row>
    <row r="10" spans="1:10" ht="25.5" x14ac:dyDescent="0.25">
      <c r="A10" s="594" t="s">
        <v>131</v>
      </c>
      <c r="B10" s="501" t="s">
        <v>736</v>
      </c>
      <c r="C10" s="502">
        <f>'1.Bev-kiad.'!C22</f>
        <v>538820</v>
      </c>
      <c r="D10" s="502">
        <v>535693</v>
      </c>
      <c r="E10" s="502">
        <v>348204</v>
      </c>
      <c r="F10" s="595" t="s">
        <v>207</v>
      </c>
      <c r="G10" s="503" t="s">
        <v>737</v>
      </c>
      <c r="H10" s="504">
        <f>'2.működés'!C118</f>
        <v>35306</v>
      </c>
      <c r="I10" s="504">
        <v>32607</v>
      </c>
      <c r="J10" s="504">
        <v>33368</v>
      </c>
    </row>
    <row r="11" spans="1:10" x14ac:dyDescent="0.25">
      <c r="A11" s="594" t="s">
        <v>142</v>
      </c>
      <c r="B11" s="501" t="s">
        <v>738</v>
      </c>
      <c r="C11" s="502">
        <f>'1.Bev-kiad.'!C29</f>
        <v>125200</v>
      </c>
      <c r="D11" s="502">
        <v>228186</v>
      </c>
      <c r="E11" s="502">
        <v>71384</v>
      </c>
      <c r="F11" s="595" t="s">
        <v>208</v>
      </c>
      <c r="G11" s="503" t="s">
        <v>739</v>
      </c>
      <c r="H11" s="504">
        <f>'2.működés'!C121</f>
        <v>686565</v>
      </c>
      <c r="I11" s="504">
        <v>377376</v>
      </c>
      <c r="J11" s="504">
        <v>214039</v>
      </c>
    </row>
    <row r="12" spans="1:10" x14ac:dyDescent="0.25">
      <c r="A12" s="594" t="s">
        <v>180</v>
      </c>
      <c r="B12" s="501" t="s">
        <v>740</v>
      </c>
      <c r="C12" s="502">
        <f>'1.Bev-kiad.'!C46</f>
        <v>38000</v>
      </c>
      <c r="D12" s="502">
        <v>37496</v>
      </c>
      <c r="E12" s="502">
        <v>40357</v>
      </c>
      <c r="F12" s="595" t="s">
        <v>209</v>
      </c>
      <c r="G12" s="503" t="s">
        <v>741</v>
      </c>
      <c r="H12" s="504">
        <f>'2.működés'!C124</f>
        <v>11500</v>
      </c>
      <c r="I12" s="504">
        <v>21166</v>
      </c>
      <c r="J12" s="504">
        <v>10004</v>
      </c>
    </row>
    <row r="13" spans="1:10" x14ac:dyDescent="0.25">
      <c r="A13" s="594"/>
      <c r="B13" s="501"/>
      <c r="C13" s="505"/>
      <c r="D13" s="505"/>
      <c r="E13" s="505"/>
      <c r="F13" s="595" t="s">
        <v>210</v>
      </c>
      <c r="G13" s="503" t="s">
        <v>742</v>
      </c>
      <c r="H13" s="504">
        <f>'2.működés'!C125</f>
        <v>726271</v>
      </c>
      <c r="I13" s="504">
        <v>509109</v>
      </c>
      <c r="J13" s="504">
        <v>380494</v>
      </c>
    </row>
    <row r="14" spans="1:10" x14ac:dyDescent="0.25">
      <c r="A14" s="594"/>
      <c r="B14" s="498" t="s">
        <v>743</v>
      </c>
      <c r="C14" s="499">
        <f>SUM(C15:C17)</f>
        <v>150335</v>
      </c>
      <c r="D14" s="499">
        <f t="shared" ref="D14:E14" si="2">SUM(D15:D17)</f>
        <v>1169405</v>
      </c>
      <c r="E14" s="499">
        <f t="shared" si="2"/>
        <v>95296</v>
      </c>
      <c r="F14" s="595"/>
      <c r="G14" s="498" t="s">
        <v>744</v>
      </c>
      <c r="H14" s="499">
        <f>SUM(H15:H17)</f>
        <v>1656967</v>
      </c>
      <c r="I14" s="499">
        <f>SUM(I15:I17)</f>
        <v>477928</v>
      </c>
      <c r="J14" s="499">
        <f>SUM(J15:J17)</f>
        <v>390739</v>
      </c>
    </row>
    <row r="15" spans="1:10" x14ac:dyDescent="0.25">
      <c r="A15" s="594" t="s">
        <v>122</v>
      </c>
      <c r="B15" s="501" t="s">
        <v>745</v>
      </c>
      <c r="C15" s="502">
        <f>'1.Bev-kiad.'!C16</f>
        <v>67335</v>
      </c>
      <c r="D15" s="502">
        <v>708661</v>
      </c>
      <c r="E15" s="502">
        <v>38365</v>
      </c>
      <c r="F15" s="595" t="s">
        <v>241</v>
      </c>
      <c r="G15" s="501" t="s">
        <v>61</v>
      </c>
      <c r="H15" s="502">
        <f>'3.felh'!C44</f>
        <v>225350</v>
      </c>
      <c r="I15" s="502">
        <v>28051</v>
      </c>
      <c r="J15" s="502">
        <v>133864</v>
      </c>
    </row>
    <row r="16" spans="1:10" x14ac:dyDescent="0.25">
      <c r="A16" s="594" t="s">
        <v>169</v>
      </c>
      <c r="B16" s="501" t="s">
        <v>746</v>
      </c>
      <c r="C16" s="502">
        <f>'1.Bev-kiad.'!C40</f>
        <v>72700</v>
      </c>
      <c r="D16" s="502">
        <v>450450</v>
      </c>
      <c r="E16" s="502">
        <v>46637</v>
      </c>
      <c r="F16" s="595" t="s">
        <v>324</v>
      </c>
      <c r="G16" s="501" t="s">
        <v>62</v>
      </c>
      <c r="H16" s="502">
        <f>'3.felh'!C66</f>
        <v>821982</v>
      </c>
      <c r="I16" s="502">
        <v>448092</v>
      </c>
      <c r="J16" s="502">
        <v>251855</v>
      </c>
    </row>
    <row r="17" spans="1:10" x14ac:dyDescent="0.25">
      <c r="A17" s="594" t="s">
        <v>181</v>
      </c>
      <c r="B17" s="501" t="s">
        <v>747</v>
      </c>
      <c r="C17" s="502">
        <f>'1.Bev-kiad.'!C50</f>
        <v>10300</v>
      </c>
      <c r="D17" s="502">
        <v>10294</v>
      </c>
      <c r="E17" s="502">
        <v>10294</v>
      </c>
      <c r="F17" s="595" t="s">
        <v>323</v>
      </c>
      <c r="G17" s="501" t="s">
        <v>748</v>
      </c>
      <c r="H17" s="502">
        <f>'3.felh'!C87</f>
        <v>609635</v>
      </c>
      <c r="I17" s="502">
        <v>1785</v>
      </c>
      <c r="J17" s="502">
        <v>5020</v>
      </c>
    </row>
    <row r="18" spans="1:10" x14ac:dyDescent="0.25">
      <c r="A18" s="594" t="s">
        <v>485</v>
      </c>
      <c r="B18" s="506" t="s">
        <v>749</v>
      </c>
      <c r="C18" s="499">
        <f>SUM(C24+C19)</f>
        <v>1979225</v>
      </c>
      <c r="D18" s="499">
        <f t="shared" ref="D18:E18" si="3">SUM(D24+D19)</f>
        <v>743861</v>
      </c>
      <c r="E18" s="499">
        <f t="shared" si="3"/>
        <v>1015816</v>
      </c>
      <c r="F18" s="595" t="s">
        <v>197</v>
      </c>
      <c r="G18" s="506" t="s">
        <v>750</v>
      </c>
      <c r="H18" s="499">
        <f>SUM(H19)</f>
        <v>105385</v>
      </c>
      <c r="I18" s="499">
        <f>SUM(I19)</f>
        <v>77996</v>
      </c>
      <c r="J18" s="499">
        <f>SUM(J19)</f>
        <v>35152</v>
      </c>
    </row>
    <row r="19" spans="1:10" x14ac:dyDescent="0.25">
      <c r="A19" s="594"/>
      <c r="B19" s="498" t="s">
        <v>751</v>
      </c>
      <c r="C19" s="499">
        <f>SUM(C20)</f>
        <v>1629225</v>
      </c>
      <c r="D19" s="499">
        <f>SUM(D20+D23)</f>
        <v>743861</v>
      </c>
      <c r="E19" s="499">
        <f>SUM(E20)+E23</f>
        <v>1015816</v>
      </c>
      <c r="F19" s="595"/>
      <c r="G19" s="498" t="s">
        <v>752</v>
      </c>
      <c r="H19" s="499">
        <f>SUM(H20:H21)</f>
        <v>105385</v>
      </c>
      <c r="I19" s="499">
        <f>SUM(I20:I21)</f>
        <v>77996</v>
      </c>
      <c r="J19" s="499">
        <f>SUM(J20:J21)</f>
        <v>35152</v>
      </c>
    </row>
    <row r="20" spans="1:10" x14ac:dyDescent="0.25">
      <c r="A20" s="594"/>
      <c r="B20" s="501" t="s">
        <v>753</v>
      </c>
      <c r="C20" s="502">
        <f>SUM(C21:C22)</f>
        <v>1629225</v>
      </c>
      <c r="D20" s="502">
        <f t="shared" ref="D20" si="4">SUM(D21:D22)</f>
        <v>724264</v>
      </c>
      <c r="E20" s="502">
        <f>SUM(E21:E22)</f>
        <v>999900</v>
      </c>
      <c r="F20" s="595" t="s">
        <v>354</v>
      </c>
      <c r="G20" s="507" t="s">
        <v>358</v>
      </c>
      <c r="H20" s="508">
        <f>'2.működés'!C133</f>
        <v>19597</v>
      </c>
      <c r="I20" s="508">
        <v>19840</v>
      </c>
      <c r="J20" s="508">
        <v>14996</v>
      </c>
    </row>
    <row r="21" spans="1:10" x14ac:dyDescent="0.25">
      <c r="A21" s="594"/>
      <c r="B21" s="509" t="s">
        <v>390</v>
      </c>
      <c r="C21" s="502">
        <f>'1.Bev-kiad.'!C57</f>
        <v>708152</v>
      </c>
      <c r="D21" s="502">
        <v>205553</v>
      </c>
      <c r="E21" s="502">
        <v>270035</v>
      </c>
      <c r="F21" s="595" t="s">
        <v>1006</v>
      </c>
      <c r="G21" s="510" t="s">
        <v>754</v>
      </c>
      <c r="H21" s="502">
        <f>'3.felh'!C97+'2.működés'!C132</f>
        <v>85788</v>
      </c>
      <c r="I21" s="502">
        <v>58156</v>
      </c>
      <c r="J21" s="502">
        <v>20156</v>
      </c>
    </row>
    <row r="22" spans="1:10" x14ac:dyDescent="0.25">
      <c r="A22" s="594"/>
      <c r="B22" s="509" t="s">
        <v>755</v>
      </c>
      <c r="C22" s="502">
        <f>'1.Bev-kiad.'!C58</f>
        <v>921073</v>
      </c>
      <c r="D22" s="502">
        <v>518711</v>
      </c>
      <c r="E22" s="502">
        <v>729865</v>
      </c>
      <c r="F22" s="595"/>
      <c r="G22" s="498" t="s">
        <v>756</v>
      </c>
      <c r="H22" s="500">
        <v>0</v>
      </c>
      <c r="I22" s="499">
        <v>0</v>
      </c>
      <c r="J22" s="499">
        <v>0</v>
      </c>
    </row>
    <row r="23" spans="1:10" x14ac:dyDescent="0.25">
      <c r="A23" s="594"/>
      <c r="B23" s="505" t="s">
        <v>757</v>
      </c>
      <c r="C23" s="502">
        <v>0</v>
      </c>
      <c r="D23" s="511">
        <v>19597</v>
      </c>
      <c r="E23" s="502">
        <v>15916</v>
      </c>
      <c r="F23" s="595"/>
      <c r="G23" s="498"/>
      <c r="H23" s="500"/>
      <c r="I23" s="499"/>
      <c r="J23" s="499"/>
    </row>
    <row r="24" spans="1:10" x14ac:dyDescent="0.25">
      <c r="A24" s="594"/>
      <c r="B24" s="498" t="s">
        <v>758</v>
      </c>
      <c r="C24" s="499">
        <f>'1.Bev-kiad.'!C60</f>
        <v>350000</v>
      </c>
      <c r="D24" s="499">
        <v>0</v>
      </c>
      <c r="E24" s="499">
        <v>0</v>
      </c>
      <c r="F24" s="595"/>
      <c r="G24" s="498"/>
      <c r="H24" s="500"/>
      <c r="I24" s="499"/>
      <c r="J24" s="499"/>
    </row>
    <row r="25" spans="1:10" x14ac:dyDescent="0.25">
      <c r="A25" s="594"/>
      <c r="B25" s="496" t="s">
        <v>342</v>
      </c>
      <c r="C25" s="497">
        <f>SUM(C7+C18)</f>
        <v>3499029</v>
      </c>
      <c r="D25" s="497">
        <f t="shared" ref="D25:E25" si="5">SUM(D7+D18)</f>
        <v>3381666</v>
      </c>
      <c r="E25" s="497">
        <f t="shared" si="5"/>
        <v>2078179</v>
      </c>
      <c r="F25" s="594"/>
      <c r="G25" s="496" t="s">
        <v>52</v>
      </c>
      <c r="H25" s="497">
        <f>SUM(H7+H18)</f>
        <v>3499029</v>
      </c>
      <c r="I25" s="497">
        <f>SUM(I7+I18)</f>
        <v>1749533</v>
      </c>
      <c r="J25" s="497">
        <f>SUM(J7+J18)</f>
        <v>1282603</v>
      </c>
    </row>
    <row r="27" spans="1:10" x14ac:dyDescent="0.25">
      <c r="D27" s="615"/>
    </row>
  </sheetData>
  <mergeCells count="1">
    <mergeCell ref="B4:I4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1"/>
  <sheetViews>
    <sheetView zoomScaleNormal="100" workbookViewId="0">
      <selection activeCell="E9" sqref="E9"/>
    </sheetView>
  </sheetViews>
  <sheetFormatPr defaultRowHeight="15" x14ac:dyDescent="0.25"/>
  <cols>
    <col min="1" max="1" width="6.140625" style="596" customWidth="1"/>
    <col min="2" max="2" width="64.28515625" style="492" customWidth="1"/>
    <col min="3" max="3" width="12.7109375" style="492" customWidth="1"/>
    <col min="4" max="4" width="13.28515625" style="492" customWidth="1"/>
    <col min="5" max="5" width="12.5703125" style="492" customWidth="1"/>
    <col min="6" max="16384" width="9.140625" style="492"/>
  </cols>
  <sheetData>
    <row r="1" spans="1:5" x14ac:dyDescent="0.25">
      <c r="A1" s="591"/>
      <c r="B1" s="491"/>
      <c r="E1" s="83" t="s">
        <v>1116</v>
      </c>
    </row>
    <row r="2" spans="1:5" x14ac:dyDescent="0.25">
      <c r="A2" s="591"/>
      <c r="B2" s="491"/>
      <c r="E2" s="493" t="str">
        <f>'1.Bev-kiad.'!E2</f>
        <v>a 13/2024.(IX.30.) önkormányzati rendelethez</v>
      </c>
    </row>
    <row r="3" spans="1:5" x14ac:dyDescent="0.25">
      <c r="A3" s="591"/>
      <c r="B3" s="491"/>
      <c r="C3" s="491"/>
      <c r="E3" s="493" t="s">
        <v>1062</v>
      </c>
    </row>
    <row r="4" spans="1:5" ht="39" customHeight="1" x14ac:dyDescent="0.25">
      <c r="A4" s="773" t="s">
        <v>1045</v>
      </c>
      <c r="B4" s="773"/>
      <c r="C4" s="773"/>
      <c r="D4" s="773"/>
      <c r="E4" s="773"/>
    </row>
    <row r="5" spans="1:5" ht="14.25" customHeight="1" x14ac:dyDescent="0.25">
      <c r="A5" s="591"/>
      <c r="B5" s="632"/>
      <c r="C5" s="633"/>
      <c r="D5" s="633"/>
      <c r="E5" s="633"/>
    </row>
    <row r="6" spans="1:5" x14ac:dyDescent="0.25">
      <c r="A6" s="591"/>
      <c r="B6" s="494"/>
      <c r="E6" s="493" t="s">
        <v>0</v>
      </c>
    </row>
    <row r="7" spans="1:5" ht="41.25" customHeight="1" x14ac:dyDescent="0.25">
      <c r="A7" s="593"/>
      <c r="B7" s="590" t="s">
        <v>1040</v>
      </c>
      <c r="C7" s="590" t="str">
        <f>'1.Bev-kiad.'!C7</f>
        <v>2024. évi eredeti előirányzat</v>
      </c>
      <c r="D7" s="590" t="str">
        <f>'1.Bev-kiad.'!D7</f>
        <v>Módosított előirányzat 2024.06.havi</v>
      </c>
      <c r="E7" s="590" t="str">
        <f>'1.Bev-kiad.'!E7</f>
        <v>Módosított előirányzat 2024.09.havi</v>
      </c>
    </row>
    <row r="8" spans="1:5" x14ac:dyDescent="0.25">
      <c r="A8" s="594"/>
      <c r="B8" s="496" t="s">
        <v>1041</v>
      </c>
      <c r="C8" s="497">
        <f>SUM(C9+C15)</f>
        <v>729635</v>
      </c>
      <c r="D8" s="497">
        <f t="shared" ref="D8:E8" si="0">SUM(D9+D15)</f>
        <v>730500</v>
      </c>
      <c r="E8" s="497">
        <f t="shared" si="0"/>
        <v>41597</v>
      </c>
    </row>
    <row r="9" spans="1:5" x14ac:dyDescent="0.25">
      <c r="A9" s="637">
        <v>1</v>
      </c>
      <c r="B9" s="498" t="s">
        <v>1042</v>
      </c>
      <c r="C9" s="499">
        <f>'2.működés'!C127</f>
        <v>120000</v>
      </c>
      <c r="D9" s="499">
        <f>'2.működés'!D127</f>
        <v>120865</v>
      </c>
      <c r="E9" s="499">
        <f>'2.működés'!E127-E20-E21</f>
        <v>26277</v>
      </c>
    </row>
    <row r="10" spans="1:5" x14ac:dyDescent="0.25">
      <c r="A10" s="637"/>
      <c r="B10" s="501"/>
      <c r="C10" s="502"/>
      <c r="D10" s="502"/>
      <c r="E10" s="502"/>
    </row>
    <row r="11" spans="1:5" hidden="1" x14ac:dyDescent="0.25">
      <c r="A11" s="637"/>
      <c r="B11" s="501"/>
      <c r="C11" s="502"/>
      <c r="D11" s="502"/>
      <c r="E11" s="502"/>
    </row>
    <row r="12" spans="1:5" hidden="1" x14ac:dyDescent="0.25">
      <c r="A12" s="637"/>
      <c r="B12" s="501"/>
      <c r="C12" s="502"/>
      <c r="D12" s="502"/>
      <c r="E12" s="502"/>
    </row>
    <row r="13" spans="1:5" hidden="1" x14ac:dyDescent="0.25">
      <c r="A13" s="637"/>
      <c r="B13" s="501"/>
      <c r="C13" s="502"/>
      <c r="D13" s="502"/>
      <c r="E13" s="502"/>
    </row>
    <row r="14" spans="1:5" hidden="1" x14ac:dyDescent="0.25">
      <c r="A14" s="637"/>
      <c r="B14" s="501"/>
      <c r="C14" s="505"/>
      <c r="D14" s="505"/>
      <c r="E14" s="505"/>
    </row>
    <row r="15" spans="1:5" x14ac:dyDescent="0.25">
      <c r="A15" s="637">
        <v>2</v>
      </c>
      <c r="B15" s="498" t="s">
        <v>1043</v>
      </c>
      <c r="C15" s="499">
        <f>SUM(C16)+C19</f>
        <v>609635</v>
      </c>
      <c r="D15" s="499">
        <f t="shared" ref="D15:E15" si="1">SUM(D16)+D19</f>
        <v>609635</v>
      </c>
      <c r="E15" s="499">
        <f t="shared" si="1"/>
        <v>15320</v>
      </c>
    </row>
    <row r="16" spans="1:5" x14ac:dyDescent="0.25">
      <c r="A16" s="594"/>
      <c r="B16" s="638" t="s">
        <v>1044</v>
      </c>
      <c r="C16" s="639">
        <f>C17</f>
        <v>609635</v>
      </c>
      <c r="D16" s="639">
        <f t="shared" ref="D16:E16" si="2">D17</f>
        <v>609635</v>
      </c>
      <c r="E16" s="639">
        <f t="shared" si="2"/>
        <v>0</v>
      </c>
    </row>
    <row r="17" spans="1:5" x14ac:dyDescent="0.25">
      <c r="A17" s="594"/>
      <c r="B17" s="501" t="s">
        <v>1046</v>
      </c>
      <c r="C17" s="502">
        <f>'3.felh'!C92</f>
        <v>609635</v>
      </c>
      <c r="D17" s="502">
        <f>'3.felh'!D92</f>
        <v>609635</v>
      </c>
      <c r="E17" s="502">
        <f>'3.felh'!E92</f>
        <v>0</v>
      </c>
    </row>
    <row r="18" spans="1:5" x14ac:dyDescent="0.25">
      <c r="A18" s="594"/>
      <c r="B18" s="501"/>
      <c r="C18" s="502"/>
      <c r="D18" s="502"/>
      <c r="E18" s="502"/>
    </row>
    <row r="19" spans="1:5" x14ac:dyDescent="0.25">
      <c r="A19" s="594"/>
      <c r="B19" s="638" t="s">
        <v>1163</v>
      </c>
      <c r="C19" s="639">
        <f>C20+C21</f>
        <v>0</v>
      </c>
      <c r="D19" s="639">
        <f t="shared" ref="D19:E19" si="3">D20+D21</f>
        <v>0</v>
      </c>
      <c r="E19" s="639">
        <f t="shared" si="3"/>
        <v>15320</v>
      </c>
    </row>
    <row r="20" spans="1:5" x14ac:dyDescent="0.25">
      <c r="A20" s="594"/>
      <c r="B20" s="8" t="s">
        <v>1164</v>
      </c>
      <c r="C20" s="502">
        <v>0</v>
      </c>
      <c r="D20" s="502">
        <v>0</v>
      </c>
      <c r="E20" s="502">
        <v>4459</v>
      </c>
    </row>
    <row r="21" spans="1:5" x14ac:dyDescent="0.25">
      <c r="A21" s="594"/>
      <c r="B21" s="501" t="s">
        <v>1046</v>
      </c>
      <c r="C21" s="502">
        <v>0</v>
      </c>
      <c r="D21" s="502">
        <v>0</v>
      </c>
      <c r="E21" s="502">
        <v>10861</v>
      </c>
    </row>
  </sheetData>
  <mergeCells count="1">
    <mergeCell ref="A4:E4"/>
  </mergeCells>
  <pageMargins left="0.7" right="0.7" top="0.75" bottom="0.75" header="0.3" footer="0.3"/>
  <pageSetup paperSize="9" scale="8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W59"/>
  <sheetViews>
    <sheetView zoomScale="80" zoomScaleNormal="80" zoomScaleSheetLayoutView="84" workbookViewId="0">
      <selection activeCell="A4" sqref="A4:A5"/>
    </sheetView>
  </sheetViews>
  <sheetFormatPr defaultRowHeight="12.75" x14ac:dyDescent="0.2"/>
  <cols>
    <col min="1" max="1" width="14.42578125" customWidth="1"/>
    <col min="2" max="2" width="12.140625" customWidth="1"/>
    <col min="3" max="3" width="12.140625" hidden="1" customWidth="1"/>
    <col min="4" max="4" width="9.42578125" customWidth="1"/>
    <col min="5" max="5" width="9.28515625" customWidth="1"/>
    <col min="6" max="6" width="9.28515625" hidden="1" customWidth="1"/>
    <col min="7" max="7" width="8.5703125" hidden="1" customWidth="1"/>
    <col min="8" max="8" width="8.140625" customWidth="1"/>
    <col min="9" max="9" width="9.5703125" customWidth="1"/>
    <col min="10" max="10" width="14.140625" customWidth="1"/>
    <col min="11" max="11" width="8" customWidth="1"/>
    <col min="12" max="12" width="9.140625" hidden="1" customWidth="1"/>
    <col min="13" max="13" width="12.5703125" customWidth="1"/>
    <col min="14" max="14" width="9.28515625" bestFit="1" customWidth="1"/>
    <col min="15" max="15" width="10" customWidth="1"/>
    <col min="16" max="16" width="12.28515625" style="580" customWidth="1"/>
    <col min="17" max="17" width="11" customWidth="1"/>
    <col min="18" max="18" width="11.85546875" customWidth="1"/>
    <col min="19" max="19" width="8" style="74" customWidth="1"/>
    <col min="20" max="20" width="8.42578125" hidden="1" customWidth="1"/>
    <col min="21" max="21" width="10.140625" customWidth="1"/>
    <col min="257" max="257" width="14.42578125" customWidth="1"/>
    <col min="258" max="258" width="12.140625" customWidth="1"/>
    <col min="259" max="259" width="0" hidden="1" customWidth="1"/>
    <col min="260" max="260" width="9.42578125" customWidth="1"/>
    <col min="261" max="261" width="9.28515625" customWidth="1"/>
    <col min="262" max="263" width="0" hidden="1" customWidth="1"/>
    <col min="264" max="264" width="8.140625" customWidth="1"/>
    <col min="265" max="265" width="9.5703125" customWidth="1"/>
    <col min="266" max="266" width="14.140625" customWidth="1"/>
    <col min="267" max="267" width="8" customWidth="1"/>
    <col min="268" max="268" width="0" hidden="1" customWidth="1"/>
    <col min="269" max="269" width="12.5703125" customWidth="1"/>
    <col min="270" max="270" width="9.28515625" bestFit="1" customWidth="1"/>
    <col min="271" max="271" width="10" customWidth="1"/>
    <col min="272" max="272" width="12.28515625" customWidth="1"/>
    <col min="273" max="273" width="11" customWidth="1"/>
    <col min="274" max="274" width="11.85546875" customWidth="1"/>
    <col min="275" max="275" width="8" customWidth="1"/>
    <col min="276" max="276" width="0" hidden="1" customWidth="1"/>
    <col min="277" max="277" width="10.140625" customWidth="1"/>
    <col min="513" max="513" width="14.42578125" customWidth="1"/>
    <col min="514" max="514" width="12.140625" customWidth="1"/>
    <col min="515" max="515" width="0" hidden="1" customWidth="1"/>
    <col min="516" max="516" width="9.42578125" customWidth="1"/>
    <col min="517" max="517" width="9.28515625" customWidth="1"/>
    <col min="518" max="519" width="0" hidden="1" customWidth="1"/>
    <col min="520" max="520" width="8.140625" customWidth="1"/>
    <col min="521" max="521" width="9.5703125" customWidth="1"/>
    <col min="522" max="522" width="14.140625" customWidth="1"/>
    <col min="523" max="523" width="8" customWidth="1"/>
    <col min="524" max="524" width="0" hidden="1" customWidth="1"/>
    <col min="525" max="525" width="12.5703125" customWidth="1"/>
    <col min="526" max="526" width="9.28515625" bestFit="1" customWidth="1"/>
    <col min="527" max="527" width="10" customWidth="1"/>
    <col min="528" max="528" width="12.28515625" customWidth="1"/>
    <col min="529" max="529" width="11" customWidth="1"/>
    <col min="530" max="530" width="11.85546875" customWidth="1"/>
    <col min="531" max="531" width="8" customWidth="1"/>
    <col min="532" max="532" width="0" hidden="1" customWidth="1"/>
    <col min="533" max="533" width="10.140625" customWidth="1"/>
    <col min="769" max="769" width="14.42578125" customWidth="1"/>
    <col min="770" max="770" width="12.140625" customWidth="1"/>
    <col min="771" max="771" width="0" hidden="1" customWidth="1"/>
    <col min="772" max="772" width="9.42578125" customWidth="1"/>
    <col min="773" max="773" width="9.28515625" customWidth="1"/>
    <col min="774" max="775" width="0" hidden="1" customWidth="1"/>
    <col min="776" max="776" width="8.140625" customWidth="1"/>
    <col min="777" max="777" width="9.5703125" customWidth="1"/>
    <col min="778" max="778" width="14.140625" customWidth="1"/>
    <col min="779" max="779" width="8" customWidth="1"/>
    <col min="780" max="780" width="0" hidden="1" customWidth="1"/>
    <col min="781" max="781" width="12.5703125" customWidth="1"/>
    <col min="782" max="782" width="9.28515625" bestFit="1" customWidth="1"/>
    <col min="783" max="783" width="10" customWidth="1"/>
    <col min="784" max="784" width="12.28515625" customWidth="1"/>
    <col min="785" max="785" width="11" customWidth="1"/>
    <col min="786" max="786" width="11.85546875" customWidth="1"/>
    <col min="787" max="787" width="8" customWidth="1"/>
    <col min="788" max="788" width="0" hidden="1" customWidth="1"/>
    <col min="789" max="789" width="10.140625" customWidth="1"/>
    <col min="1025" max="1025" width="14.42578125" customWidth="1"/>
    <col min="1026" max="1026" width="12.140625" customWidth="1"/>
    <col min="1027" max="1027" width="0" hidden="1" customWidth="1"/>
    <col min="1028" max="1028" width="9.42578125" customWidth="1"/>
    <col min="1029" max="1029" width="9.28515625" customWidth="1"/>
    <col min="1030" max="1031" width="0" hidden="1" customWidth="1"/>
    <col min="1032" max="1032" width="8.140625" customWidth="1"/>
    <col min="1033" max="1033" width="9.5703125" customWidth="1"/>
    <col min="1034" max="1034" width="14.140625" customWidth="1"/>
    <col min="1035" max="1035" width="8" customWidth="1"/>
    <col min="1036" max="1036" width="0" hidden="1" customWidth="1"/>
    <col min="1037" max="1037" width="12.5703125" customWidth="1"/>
    <col min="1038" max="1038" width="9.28515625" bestFit="1" customWidth="1"/>
    <col min="1039" max="1039" width="10" customWidth="1"/>
    <col min="1040" max="1040" width="12.28515625" customWidth="1"/>
    <col min="1041" max="1041" width="11" customWidth="1"/>
    <col min="1042" max="1042" width="11.85546875" customWidth="1"/>
    <col min="1043" max="1043" width="8" customWidth="1"/>
    <col min="1044" max="1044" width="0" hidden="1" customWidth="1"/>
    <col min="1045" max="1045" width="10.140625" customWidth="1"/>
    <col min="1281" max="1281" width="14.42578125" customWidth="1"/>
    <col min="1282" max="1282" width="12.140625" customWidth="1"/>
    <col min="1283" max="1283" width="0" hidden="1" customWidth="1"/>
    <col min="1284" max="1284" width="9.42578125" customWidth="1"/>
    <col min="1285" max="1285" width="9.28515625" customWidth="1"/>
    <col min="1286" max="1287" width="0" hidden="1" customWidth="1"/>
    <col min="1288" max="1288" width="8.140625" customWidth="1"/>
    <col min="1289" max="1289" width="9.5703125" customWidth="1"/>
    <col min="1290" max="1290" width="14.140625" customWidth="1"/>
    <col min="1291" max="1291" width="8" customWidth="1"/>
    <col min="1292" max="1292" width="0" hidden="1" customWidth="1"/>
    <col min="1293" max="1293" width="12.5703125" customWidth="1"/>
    <col min="1294" max="1294" width="9.28515625" bestFit="1" customWidth="1"/>
    <col min="1295" max="1295" width="10" customWidth="1"/>
    <col min="1296" max="1296" width="12.28515625" customWidth="1"/>
    <col min="1297" max="1297" width="11" customWidth="1"/>
    <col min="1298" max="1298" width="11.85546875" customWidth="1"/>
    <col min="1299" max="1299" width="8" customWidth="1"/>
    <col min="1300" max="1300" width="0" hidden="1" customWidth="1"/>
    <col min="1301" max="1301" width="10.140625" customWidth="1"/>
    <col min="1537" max="1537" width="14.42578125" customWidth="1"/>
    <col min="1538" max="1538" width="12.140625" customWidth="1"/>
    <col min="1539" max="1539" width="0" hidden="1" customWidth="1"/>
    <col min="1540" max="1540" width="9.42578125" customWidth="1"/>
    <col min="1541" max="1541" width="9.28515625" customWidth="1"/>
    <col min="1542" max="1543" width="0" hidden="1" customWidth="1"/>
    <col min="1544" max="1544" width="8.140625" customWidth="1"/>
    <col min="1545" max="1545" width="9.5703125" customWidth="1"/>
    <col min="1546" max="1546" width="14.140625" customWidth="1"/>
    <col min="1547" max="1547" width="8" customWidth="1"/>
    <col min="1548" max="1548" width="0" hidden="1" customWidth="1"/>
    <col min="1549" max="1549" width="12.5703125" customWidth="1"/>
    <col min="1550" max="1550" width="9.28515625" bestFit="1" customWidth="1"/>
    <col min="1551" max="1551" width="10" customWidth="1"/>
    <col min="1552" max="1552" width="12.28515625" customWidth="1"/>
    <col min="1553" max="1553" width="11" customWidth="1"/>
    <col min="1554" max="1554" width="11.85546875" customWidth="1"/>
    <col min="1555" max="1555" width="8" customWidth="1"/>
    <col min="1556" max="1556" width="0" hidden="1" customWidth="1"/>
    <col min="1557" max="1557" width="10.140625" customWidth="1"/>
    <col min="1793" max="1793" width="14.42578125" customWidth="1"/>
    <col min="1794" max="1794" width="12.140625" customWidth="1"/>
    <col min="1795" max="1795" width="0" hidden="1" customWidth="1"/>
    <col min="1796" max="1796" width="9.42578125" customWidth="1"/>
    <col min="1797" max="1797" width="9.28515625" customWidth="1"/>
    <col min="1798" max="1799" width="0" hidden="1" customWidth="1"/>
    <col min="1800" max="1800" width="8.140625" customWidth="1"/>
    <col min="1801" max="1801" width="9.5703125" customWidth="1"/>
    <col min="1802" max="1802" width="14.140625" customWidth="1"/>
    <col min="1803" max="1803" width="8" customWidth="1"/>
    <col min="1804" max="1804" width="0" hidden="1" customWidth="1"/>
    <col min="1805" max="1805" width="12.5703125" customWidth="1"/>
    <col min="1806" max="1806" width="9.28515625" bestFit="1" customWidth="1"/>
    <col min="1807" max="1807" width="10" customWidth="1"/>
    <col min="1808" max="1808" width="12.28515625" customWidth="1"/>
    <col min="1809" max="1809" width="11" customWidth="1"/>
    <col min="1810" max="1810" width="11.85546875" customWidth="1"/>
    <col min="1811" max="1811" width="8" customWidth="1"/>
    <col min="1812" max="1812" width="0" hidden="1" customWidth="1"/>
    <col min="1813" max="1813" width="10.140625" customWidth="1"/>
    <col min="2049" max="2049" width="14.42578125" customWidth="1"/>
    <col min="2050" max="2050" width="12.140625" customWidth="1"/>
    <col min="2051" max="2051" width="0" hidden="1" customWidth="1"/>
    <col min="2052" max="2052" width="9.42578125" customWidth="1"/>
    <col min="2053" max="2053" width="9.28515625" customWidth="1"/>
    <col min="2054" max="2055" width="0" hidden="1" customWidth="1"/>
    <col min="2056" max="2056" width="8.140625" customWidth="1"/>
    <col min="2057" max="2057" width="9.5703125" customWidth="1"/>
    <col min="2058" max="2058" width="14.140625" customWidth="1"/>
    <col min="2059" max="2059" width="8" customWidth="1"/>
    <col min="2060" max="2060" width="0" hidden="1" customWidth="1"/>
    <col min="2061" max="2061" width="12.5703125" customWidth="1"/>
    <col min="2062" max="2062" width="9.28515625" bestFit="1" customWidth="1"/>
    <col min="2063" max="2063" width="10" customWidth="1"/>
    <col min="2064" max="2064" width="12.28515625" customWidth="1"/>
    <col min="2065" max="2065" width="11" customWidth="1"/>
    <col min="2066" max="2066" width="11.85546875" customWidth="1"/>
    <col min="2067" max="2067" width="8" customWidth="1"/>
    <col min="2068" max="2068" width="0" hidden="1" customWidth="1"/>
    <col min="2069" max="2069" width="10.140625" customWidth="1"/>
    <col min="2305" max="2305" width="14.42578125" customWidth="1"/>
    <col min="2306" max="2306" width="12.140625" customWidth="1"/>
    <col min="2307" max="2307" width="0" hidden="1" customWidth="1"/>
    <col min="2308" max="2308" width="9.42578125" customWidth="1"/>
    <col min="2309" max="2309" width="9.28515625" customWidth="1"/>
    <col min="2310" max="2311" width="0" hidden="1" customWidth="1"/>
    <col min="2312" max="2312" width="8.140625" customWidth="1"/>
    <col min="2313" max="2313" width="9.5703125" customWidth="1"/>
    <col min="2314" max="2314" width="14.140625" customWidth="1"/>
    <col min="2315" max="2315" width="8" customWidth="1"/>
    <col min="2316" max="2316" width="0" hidden="1" customWidth="1"/>
    <col min="2317" max="2317" width="12.5703125" customWidth="1"/>
    <col min="2318" max="2318" width="9.28515625" bestFit="1" customWidth="1"/>
    <col min="2319" max="2319" width="10" customWidth="1"/>
    <col min="2320" max="2320" width="12.28515625" customWidth="1"/>
    <col min="2321" max="2321" width="11" customWidth="1"/>
    <col min="2322" max="2322" width="11.85546875" customWidth="1"/>
    <col min="2323" max="2323" width="8" customWidth="1"/>
    <col min="2324" max="2324" width="0" hidden="1" customWidth="1"/>
    <col min="2325" max="2325" width="10.140625" customWidth="1"/>
    <col min="2561" max="2561" width="14.42578125" customWidth="1"/>
    <col min="2562" max="2562" width="12.140625" customWidth="1"/>
    <col min="2563" max="2563" width="0" hidden="1" customWidth="1"/>
    <col min="2564" max="2564" width="9.42578125" customWidth="1"/>
    <col min="2565" max="2565" width="9.28515625" customWidth="1"/>
    <col min="2566" max="2567" width="0" hidden="1" customWidth="1"/>
    <col min="2568" max="2568" width="8.140625" customWidth="1"/>
    <col min="2569" max="2569" width="9.5703125" customWidth="1"/>
    <col min="2570" max="2570" width="14.140625" customWidth="1"/>
    <col min="2571" max="2571" width="8" customWidth="1"/>
    <col min="2572" max="2572" width="0" hidden="1" customWidth="1"/>
    <col min="2573" max="2573" width="12.5703125" customWidth="1"/>
    <col min="2574" max="2574" width="9.28515625" bestFit="1" customWidth="1"/>
    <col min="2575" max="2575" width="10" customWidth="1"/>
    <col min="2576" max="2576" width="12.28515625" customWidth="1"/>
    <col min="2577" max="2577" width="11" customWidth="1"/>
    <col min="2578" max="2578" width="11.85546875" customWidth="1"/>
    <col min="2579" max="2579" width="8" customWidth="1"/>
    <col min="2580" max="2580" width="0" hidden="1" customWidth="1"/>
    <col min="2581" max="2581" width="10.140625" customWidth="1"/>
    <col min="2817" max="2817" width="14.42578125" customWidth="1"/>
    <col min="2818" max="2818" width="12.140625" customWidth="1"/>
    <col min="2819" max="2819" width="0" hidden="1" customWidth="1"/>
    <col min="2820" max="2820" width="9.42578125" customWidth="1"/>
    <col min="2821" max="2821" width="9.28515625" customWidth="1"/>
    <col min="2822" max="2823" width="0" hidden="1" customWidth="1"/>
    <col min="2824" max="2824" width="8.140625" customWidth="1"/>
    <col min="2825" max="2825" width="9.5703125" customWidth="1"/>
    <col min="2826" max="2826" width="14.140625" customWidth="1"/>
    <col min="2827" max="2827" width="8" customWidth="1"/>
    <col min="2828" max="2828" width="0" hidden="1" customWidth="1"/>
    <col min="2829" max="2829" width="12.5703125" customWidth="1"/>
    <col min="2830" max="2830" width="9.28515625" bestFit="1" customWidth="1"/>
    <col min="2831" max="2831" width="10" customWidth="1"/>
    <col min="2832" max="2832" width="12.28515625" customWidth="1"/>
    <col min="2833" max="2833" width="11" customWidth="1"/>
    <col min="2834" max="2834" width="11.85546875" customWidth="1"/>
    <col min="2835" max="2835" width="8" customWidth="1"/>
    <col min="2836" max="2836" width="0" hidden="1" customWidth="1"/>
    <col min="2837" max="2837" width="10.140625" customWidth="1"/>
    <col min="3073" max="3073" width="14.42578125" customWidth="1"/>
    <col min="3074" max="3074" width="12.140625" customWidth="1"/>
    <col min="3075" max="3075" width="0" hidden="1" customWidth="1"/>
    <col min="3076" max="3076" width="9.42578125" customWidth="1"/>
    <col min="3077" max="3077" width="9.28515625" customWidth="1"/>
    <col min="3078" max="3079" width="0" hidden="1" customWidth="1"/>
    <col min="3080" max="3080" width="8.140625" customWidth="1"/>
    <col min="3081" max="3081" width="9.5703125" customWidth="1"/>
    <col min="3082" max="3082" width="14.140625" customWidth="1"/>
    <col min="3083" max="3083" width="8" customWidth="1"/>
    <col min="3084" max="3084" width="0" hidden="1" customWidth="1"/>
    <col min="3085" max="3085" width="12.5703125" customWidth="1"/>
    <col min="3086" max="3086" width="9.28515625" bestFit="1" customWidth="1"/>
    <col min="3087" max="3087" width="10" customWidth="1"/>
    <col min="3088" max="3088" width="12.28515625" customWidth="1"/>
    <col min="3089" max="3089" width="11" customWidth="1"/>
    <col min="3090" max="3090" width="11.85546875" customWidth="1"/>
    <col min="3091" max="3091" width="8" customWidth="1"/>
    <col min="3092" max="3092" width="0" hidden="1" customWidth="1"/>
    <col min="3093" max="3093" width="10.140625" customWidth="1"/>
    <col min="3329" max="3329" width="14.42578125" customWidth="1"/>
    <col min="3330" max="3330" width="12.140625" customWidth="1"/>
    <col min="3331" max="3331" width="0" hidden="1" customWidth="1"/>
    <col min="3332" max="3332" width="9.42578125" customWidth="1"/>
    <col min="3333" max="3333" width="9.28515625" customWidth="1"/>
    <col min="3334" max="3335" width="0" hidden="1" customWidth="1"/>
    <col min="3336" max="3336" width="8.140625" customWidth="1"/>
    <col min="3337" max="3337" width="9.5703125" customWidth="1"/>
    <col min="3338" max="3338" width="14.140625" customWidth="1"/>
    <col min="3339" max="3339" width="8" customWidth="1"/>
    <col min="3340" max="3340" width="0" hidden="1" customWidth="1"/>
    <col min="3341" max="3341" width="12.5703125" customWidth="1"/>
    <col min="3342" max="3342" width="9.28515625" bestFit="1" customWidth="1"/>
    <col min="3343" max="3343" width="10" customWidth="1"/>
    <col min="3344" max="3344" width="12.28515625" customWidth="1"/>
    <col min="3345" max="3345" width="11" customWidth="1"/>
    <col min="3346" max="3346" width="11.85546875" customWidth="1"/>
    <col min="3347" max="3347" width="8" customWidth="1"/>
    <col min="3348" max="3348" width="0" hidden="1" customWidth="1"/>
    <col min="3349" max="3349" width="10.140625" customWidth="1"/>
    <col min="3585" max="3585" width="14.42578125" customWidth="1"/>
    <col min="3586" max="3586" width="12.140625" customWidth="1"/>
    <col min="3587" max="3587" width="0" hidden="1" customWidth="1"/>
    <col min="3588" max="3588" width="9.42578125" customWidth="1"/>
    <col min="3589" max="3589" width="9.28515625" customWidth="1"/>
    <col min="3590" max="3591" width="0" hidden="1" customWidth="1"/>
    <col min="3592" max="3592" width="8.140625" customWidth="1"/>
    <col min="3593" max="3593" width="9.5703125" customWidth="1"/>
    <col min="3594" max="3594" width="14.140625" customWidth="1"/>
    <col min="3595" max="3595" width="8" customWidth="1"/>
    <col min="3596" max="3596" width="0" hidden="1" customWidth="1"/>
    <col min="3597" max="3597" width="12.5703125" customWidth="1"/>
    <col min="3598" max="3598" width="9.28515625" bestFit="1" customWidth="1"/>
    <col min="3599" max="3599" width="10" customWidth="1"/>
    <col min="3600" max="3600" width="12.28515625" customWidth="1"/>
    <col min="3601" max="3601" width="11" customWidth="1"/>
    <col min="3602" max="3602" width="11.85546875" customWidth="1"/>
    <col min="3603" max="3603" width="8" customWidth="1"/>
    <col min="3604" max="3604" width="0" hidden="1" customWidth="1"/>
    <col min="3605" max="3605" width="10.140625" customWidth="1"/>
    <col min="3841" max="3841" width="14.42578125" customWidth="1"/>
    <col min="3842" max="3842" width="12.140625" customWidth="1"/>
    <col min="3843" max="3843" width="0" hidden="1" customWidth="1"/>
    <col min="3844" max="3844" width="9.42578125" customWidth="1"/>
    <col min="3845" max="3845" width="9.28515625" customWidth="1"/>
    <col min="3846" max="3847" width="0" hidden="1" customWidth="1"/>
    <col min="3848" max="3848" width="8.140625" customWidth="1"/>
    <col min="3849" max="3849" width="9.5703125" customWidth="1"/>
    <col min="3850" max="3850" width="14.140625" customWidth="1"/>
    <col min="3851" max="3851" width="8" customWidth="1"/>
    <col min="3852" max="3852" width="0" hidden="1" customWidth="1"/>
    <col min="3853" max="3853" width="12.5703125" customWidth="1"/>
    <col min="3854" max="3854" width="9.28515625" bestFit="1" customWidth="1"/>
    <col min="3855" max="3855" width="10" customWidth="1"/>
    <col min="3856" max="3856" width="12.28515625" customWidth="1"/>
    <col min="3857" max="3857" width="11" customWidth="1"/>
    <col min="3858" max="3858" width="11.85546875" customWidth="1"/>
    <col min="3859" max="3859" width="8" customWidth="1"/>
    <col min="3860" max="3860" width="0" hidden="1" customWidth="1"/>
    <col min="3861" max="3861" width="10.140625" customWidth="1"/>
    <col min="4097" max="4097" width="14.42578125" customWidth="1"/>
    <col min="4098" max="4098" width="12.140625" customWidth="1"/>
    <col min="4099" max="4099" width="0" hidden="1" customWidth="1"/>
    <col min="4100" max="4100" width="9.42578125" customWidth="1"/>
    <col min="4101" max="4101" width="9.28515625" customWidth="1"/>
    <col min="4102" max="4103" width="0" hidden="1" customWidth="1"/>
    <col min="4104" max="4104" width="8.140625" customWidth="1"/>
    <col min="4105" max="4105" width="9.5703125" customWidth="1"/>
    <col min="4106" max="4106" width="14.140625" customWidth="1"/>
    <col min="4107" max="4107" width="8" customWidth="1"/>
    <col min="4108" max="4108" width="0" hidden="1" customWidth="1"/>
    <col min="4109" max="4109" width="12.5703125" customWidth="1"/>
    <col min="4110" max="4110" width="9.28515625" bestFit="1" customWidth="1"/>
    <col min="4111" max="4111" width="10" customWidth="1"/>
    <col min="4112" max="4112" width="12.28515625" customWidth="1"/>
    <col min="4113" max="4113" width="11" customWidth="1"/>
    <col min="4114" max="4114" width="11.85546875" customWidth="1"/>
    <col min="4115" max="4115" width="8" customWidth="1"/>
    <col min="4116" max="4116" width="0" hidden="1" customWidth="1"/>
    <col min="4117" max="4117" width="10.140625" customWidth="1"/>
    <col min="4353" max="4353" width="14.42578125" customWidth="1"/>
    <col min="4354" max="4354" width="12.140625" customWidth="1"/>
    <col min="4355" max="4355" width="0" hidden="1" customWidth="1"/>
    <col min="4356" max="4356" width="9.42578125" customWidth="1"/>
    <col min="4357" max="4357" width="9.28515625" customWidth="1"/>
    <col min="4358" max="4359" width="0" hidden="1" customWidth="1"/>
    <col min="4360" max="4360" width="8.140625" customWidth="1"/>
    <col min="4361" max="4361" width="9.5703125" customWidth="1"/>
    <col min="4362" max="4362" width="14.140625" customWidth="1"/>
    <col min="4363" max="4363" width="8" customWidth="1"/>
    <col min="4364" max="4364" width="0" hidden="1" customWidth="1"/>
    <col min="4365" max="4365" width="12.5703125" customWidth="1"/>
    <col min="4366" max="4366" width="9.28515625" bestFit="1" customWidth="1"/>
    <col min="4367" max="4367" width="10" customWidth="1"/>
    <col min="4368" max="4368" width="12.28515625" customWidth="1"/>
    <col min="4369" max="4369" width="11" customWidth="1"/>
    <col min="4370" max="4370" width="11.85546875" customWidth="1"/>
    <col min="4371" max="4371" width="8" customWidth="1"/>
    <col min="4372" max="4372" width="0" hidden="1" customWidth="1"/>
    <col min="4373" max="4373" width="10.140625" customWidth="1"/>
    <col min="4609" max="4609" width="14.42578125" customWidth="1"/>
    <col min="4610" max="4610" width="12.140625" customWidth="1"/>
    <col min="4611" max="4611" width="0" hidden="1" customWidth="1"/>
    <col min="4612" max="4612" width="9.42578125" customWidth="1"/>
    <col min="4613" max="4613" width="9.28515625" customWidth="1"/>
    <col min="4614" max="4615" width="0" hidden="1" customWidth="1"/>
    <col min="4616" max="4616" width="8.140625" customWidth="1"/>
    <col min="4617" max="4617" width="9.5703125" customWidth="1"/>
    <col min="4618" max="4618" width="14.140625" customWidth="1"/>
    <col min="4619" max="4619" width="8" customWidth="1"/>
    <col min="4620" max="4620" width="0" hidden="1" customWidth="1"/>
    <col min="4621" max="4621" width="12.5703125" customWidth="1"/>
    <col min="4622" max="4622" width="9.28515625" bestFit="1" customWidth="1"/>
    <col min="4623" max="4623" width="10" customWidth="1"/>
    <col min="4624" max="4624" width="12.28515625" customWidth="1"/>
    <col min="4625" max="4625" width="11" customWidth="1"/>
    <col min="4626" max="4626" width="11.85546875" customWidth="1"/>
    <col min="4627" max="4627" width="8" customWidth="1"/>
    <col min="4628" max="4628" width="0" hidden="1" customWidth="1"/>
    <col min="4629" max="4629" width="10.140625" customWidth="1"/>
    <col min="4865" max="4865" width="14.42578125" customWidth="1"/>
    <col min="4866" max="4866" width="12.140625" customWidth="1"/>
    <col min="4867" max="4867" width="0" hidden="1" customWidth="1"/>
    <col min="4868" max="4868" width="9.42578125" customWidth="1"/>
    <col min="4869" max="4869" width="9.28515625" customWidth="1"/>
    <col min="4870" max="4871" width="0" hidden="1" customWidth="1"/>
    <col min="4872" max="4872" width="8.140625" customWidth="1"/>
    <col min="4873" max="4873" width="9.5703125" customWidth="1"/>
    <col min="4874" max="4874" width="14.140625" customWidth="1"/>
    <col min="4875" max="4875" width="8" customWidth="1"/>
    <col min="4876" max="4876" width="0" hidden="1" customWidth="1"/>
    <col min="4877" max="4877" width="12.5703125" customWidth="1"/>
    <col min="4878" max="4878" width="9.28515625" bestFit="1" customWidth="1"/>
    <col min="4879" max="4879" width="10" customWidth="1"/>
    <col min="4880" max="4880" width="12.28515625" customWidth="1"/>
    <col min="4881" max="4881" width="11" customWidth="1"/>
    <col min="4882" max="4882" width="11.85546875" customWidth="1"/>
    <col min="4883" max="4883" width="8" customWidth="1"/>
    <col min="4884" max="4884" width="0" hidden="1" customWidth="1"/>
    <col min="4885" max="4885" width="10.140625" customWidth="1"/>
    <col min="5121" max="5121" width="14.42578125" customWidth="1"/>
    <col min="5122" max="5122" width="12.140625" customWidth="1"/>
    <col min="5123" max="5123" width="0" hidden="1" customWidth="1"/>
    <col min="5124" max="5124" width="9.42578125" customWidth="1"/>
    <col min="5125" max="5125" width="9.28515625" customWidth="1"/>
    <col min="5126" max="5127" width="0" hidden="1" customWidth="1"/>
    <col min="5128" max="5128" width="8.140625" customWidth="1"/>
    <col min="5129" max="5129" width="9.5703125" customWidth="1"/>
    <col min="5130" max="5130" width="14.140625" customWidth="1"/>
    <col min="5131" max="5131" width="8" customWidth="1"/>
    <col min="5132" max="5132" width="0" hidden="1" customWidth="1"/>
    <col min="5133" max="5133" width="12.5703125" customWidth="1"/>
    <col min="5134" max="5134" width="9.28515625" bestFit="1" customWidth="1"/>
    <col min="5135" max="5135" width="10" customWidth="1"/>
    <col min="5136" max="5136" width="12.28515625" customWidth="1"/>
    <col min="5137" max="5137" width="11" customWidth="1"/>
    <col min="5138" max="5138" width="11.85546875" customWidth="1"/>
    <col min="5139" max="5139" width="8" customWidth="1"/>
    <col min="5140" max="5140" width="0" hidden="1" customWidth="1"/>
    <col min="5141" max="5141" width="10.140625" customWidth="1"/>
    <col min="5377" max="5377" width="14.42578125" customWidth="1"/>
    <col min="5378" max="5378" width="12.140625" customWidth="1"/>
    <col min="5379" max="5379" width="0" hidden="1" customWidth="1"/>
    <col min="5380" max="5380" width="9.42578125" customWidth="1"/>
    <col min="5381" max="5381" width="9.28515625" customWidth="1"/>
    <col min="5382" max="5383" width="0" hidden="1" customWidth="1"/>
    <col min="5384" max="5384" width="8.140625" customWidth="1"/>
    <col min="5385" max="5385" width="9.5703125" customWidth="1"/>
    <col min="5386" max="5386" width="14.140625" customWidth="1"/>
    <col min="5387" max="5387" width="8" customWidth="1"/>
    <col min="5388" max="5388" width="0" hidden="1" customWidth="1"/>
    <col min="5389" max="5389" width="12.5703125" customWidth="1"/>
    <col min="5390" max="5390" width="9.28515625" bestFit="1" customWidth="1"/>
    <col min="5391" max="5391" width="10" customWidth="1"/>
    <col min="5392" max="5392" width="12.28515625" customWidth="1"/>
    <col min="5393" max="5393" width="11" customWidth="1"/>
    <col min="5394" max="5394" width="11.85546875" customWidth="1"/>
    <col min="5395" max="5395" width="8" customWidth="1"/>
    <col min="5396" max="5396" width="0" hidden="1" customWidth="1"/>
    <col min="5397" max="5397" width="10.140625" customWidth="1"/>
    <col min="5633" max="5633" width="14.42578125" customWidth="1"/>
    <col min="5634" max="5634" width="12.140625" customWidth="1"/>
    <col min="5635" max="5635" width="0" hidden="1" customWidth="1"/>
    <col min="5636" max="5636" width="9.42578125" customWidth="1"/>
    <col min="5637" max="5637" width="9.28515625" customWidth="1"/>
    <col min="5638" max="5639" width="0" hidden="1" customWidth="1"/>
    <col min="5640" max="5640" width="8.140625" customWidth="1"/>
    <col min="5641" max="5641" width="9.5703125" customWidth="1"/>
    <col min="5642" max="5642" width="14.140625" customWidth="1"/>
    <col min="5643" max="5643" width="8" customWidth="1"/>
    <col min="5644" max="5644" width="0" hidden="1" customWidth="1"/>
    <col min="5645" max="5645" width="12.5703125" customWidth="1"/>
    <col min="5646" max="5646" width="9.28515625" bestFit="1" customWidth="1"/>
    <col min="5647" max="5647" width="10" customWidth="1"/>
    <col min="5648" max="5648" width="12.28515625" customWidth="1"/>
    <col min="5649" max="5649" width="11" customWidth="1"/>
    <col min="5650" max="5650" width="11.85546875" customWidth="1"/>
    <col min="5651" max="5651" width="8" customWidth="1"/>
    <col min="5652" max="5652" width="0" hidden="1" customWidth="1"/>
    <col min="5653" max="5653" width="10.140625" customWidth="1"/>
    <col min="5889" max="5889" width="14.42578125" customWidth="1"/>
    <col min="5890" max="5890" width="12.140625" customWidth="1"/>
    <col min="5891" max="5891" width="0" hidden="1" customWidth="1"/>
    <col min="5892" max="5892" width="9.42578125" customWidth="1"/>
    <col min="5893" max="5893" width="9.28515625" customWidth="1"/>
    <col min="5894" max="5895" width="0" hidden="1" customWidth="1"/>
    <col min="5896" max="5896" width="8.140625" customWidth="1"/>
    <col min="5897" max="5897" width="9.5703125" customWidth="1"/>
    <col min="5898" max="5898" width="14.140625" customWidth="1"/>
    <col min="5899" max="5899" width="8" customWidth="1"/>
    <col min="5900" max="5900" width="0" hidden="1" customWidth="1"/>
    <col min="5901" max="5901" width="12.5703125" customWidth="1"/>
    <col min="5902" max="5902" width="9.28515625" bestFit="1" customWidth="1"/>
    <col min="5903" max="5903" width="10" customWidth="1"/>
    <col min="5904" max="5904" width="12.28515625" customWidth="1"/>
    <col min="5905" max="5905" width="11" customWidth="1"/>
    <col min="5906" max="5906" width="11.85546875" customWidth="1"/>
    <col min="5907" max="5907" width="8" customWidth="1"/>
    <col min="5908" max="5908" width="0" hidden="1" customWidth="1"/>
    <col min="5909" max="5909" width="10.140625" customWidth="1"/>
    <col min="6145" max="6145" width="14.42578125" customWidth="1"/>
    <col min="6146" max="6146" width="12.140625" customWidth="1"/>
    <col min="6147" max="6147" width="0" hidden="1" customWidth="1"/>
    <col min="6148" max="6148" width="9.42578125" customWidth="1"/>
    <col min="6149" max="6149" width="9.28515625" customWidth="1"/>
    <col min="6150" max="6151" width="0" hidden="1" customWidth="1"/>
    <col min="6152" max="6152" width="8.140625" customWidth="1"/>
    <col min="6153" max="6153" width="9.5703125" customWidth="1"/>
    <col min="6154" max="6154" width="14.140625" customWidth="1"/>
    <col min="6155" max="6155" width="8" customWidth="1"/>
    <col min="6156" max="6156" width="0" hidden="1" customWidth="1"/>
    <col min="6157" max="6157" width="12.5703125" customWidth="1"/>
    <col min="6158" max="6158" width="9.28515625" bestFit="1" customWidth="1"/>
    <col min="6159" max="6159" width="10" customWidth="1"/>
    <col min="6160" max="6160" width="12.28515625" customWidth="1"/>
    <col min="6161" max="6161" width="11" customWidth="1"/>
    <col min="6162" max="6162" width="11.85546875" customWidth="1"/>
    <col min="6163" max="6163" width="8" customWidth="1"/>
    <col min="6164" max="6164" width="0" hidden="1" customWidth="1"/>
    <col min="6165" max="6165" width="10.140625" customWidth="1"/>
    <col min="6401" max="6401" width="14.42578125" customWidth="1"/>
    <col min="6402" max="6402" width="12.140625" customWidth="1"/>
    <col min="6403" max="6403" width="0" hidden="1" customWidth="1"/>
    <col min="6404" max="6404" width="9.42578125" customWidth="1"/>
    <col min="6405" max="6405" width="9.28515625" customWidth="1"/>
    <col min="6406" max="6407" width="0" hidden="1" customWidth="1"/>
    <col min="6408" max="6408" width="8.140625" customWidth="1"/>
    <col min="6409" max="6409" width="9.5703125" customWidth="1"/>
    <col min="6410" max="6410" width="14.140625" customWidth="1"/>
    <col min="6411" max="6411" width="8" customWidth="1"/>
    <col min="6412" max="6412" width="0" hidden="1" customWidth="1"/>
    <col min="6413" max="6413" width="12.5703125" customWidth="1"/>
    <col min="6414" max="6414" width="9.28515625" bestFit="1" customWidth="1"/>
    <col min="6415" max="6415" width="10" customWidth="1"/>
    <col min="6416" max="6416" width="12.28515625" customWidth="1"/>
    <col min="6417" max="6417" width="11" customWidth="1"/>
    <col min="6418" max="6418" width="11.85546875" customWidth="1"/>
    <col min="6419" max="6419" width="8" customWidth="1"/>
    <col min="6420" max="6420" width="0" hidden="1" customWidth="1"/>
    <col min="6421" max="6421" width="10.140625" customWidth="1"/>
    <col min="6657" max="6657" width="14.42578125" customWidth="1"/>
    <col min="6658" max="6658" width="12.140625" customWidth="1"/>
    <col min="6659" max="6659" width="0" hidden="1" customWidth="1"/>
    <col min="6660" max="6660" width="9.42578125" customWidth="1"/>
    <col min="6661" max="6661" width="9.28515625" customWidth="1"/>
    <col min="6662" max="6663" width="0" hidden="1" customWidth="1"/>
    <col min="6664" max="6664" width="8.140625" customWidth="1"/>
    <col min="6665" max="6665" width="9.5703125" customWidth="1"/>
    <col min="6666" max="6666" width="14.140625" customWidth="1"/>
    <col min="6667" max="6667" width="8" customWidth="1"/>
    <col min="6668" max="6668" width="0" hidden="1" customWidth="1"/>
    <col min="6669" max="6669" width="12.5703125" customWidth="1"/>
    <col min="6670" max="6670" width="9.28515625" bestFit="1" customWidth="1"/>
    <col min="6671" max="6671" width="10" customWidth="1"/>
    <col min="6672" max="6672" width="12.28515625" customWidth="1"/>
    <col min="6673" max="6673" width="11" customWidth="1"/>
    <col min="6674" max="6674" width="11.85546875" customWidth="1"/>
    <col min="6675" max="6675" width="8" customWidth="1"/>
    <col min="6676" max="6676" width="0" hidden="1" customWidth="1"/>
    <col min="6677" max="6677" width="10.140625" customWidth="1"/>
    <col min="6913" max="6913" width="14.42578125" customWidth="1"/>
    <col min="6914" max="6914" width="12.140625" customWidth="1"/>
    <col min="6915" max="6915" width="0" hidden="1" customWidth="1"/>
    <col min="6916" max="6916" width="9.42578125" customWidth="1"/>
    <col min="6917" max="6917" width="9.28515625" customWidth="1"/>
    <col min="6918" max="6919" width="0" hidden="1" customWidth="1"/>
    <col min="6920" max="6920" width="8.140625" customWidth="1"/>
    <col min="6921" max="6921" width="9.5703125" customWidth="1"/>
    <col min="6922" max="6922" width="14.140625" customWidth="1"/>
    <col min="6923" max="6923" width="8" customWidth="1"/>
    <col min="6924" max="6924" width="0" hidden="1" customWidth="1"/>
    <col min="6925" max="6925" width="12.5703125" customWidth="1"/>
    <col min="6926" max="6926" width="9.28515625" bestFit="1" customWidth="1"/>
    <col min="6927" max="6927" width="10" customWidth="1"/>
    <col min="6928" max="6928" width="12.28515625" customWidth="1"/>
    <col min="6929" max="6929" width="11" customWidth="1"/>
    <col min="6930" max="6930" width="11.85546875" customWidth="1"/>
    <col min="6931" max="6931" width="8" customWidth="1"/>
    <col min="6932" max="6932" width="0" hidden="1" customWidth="1"/>
    <col min="6933" max="6933" width="10.140625" customWidth="1"/>
    <col min="7169" max="7169" width="14.42578125" customWidth="1"/>
    <col min="7170" max="7170" width="12.140625" customWidth="1"/>
    <col min="7171" max="7171" width="0" hidden="1" customWidth="1"/>
    <col min="7172" max="7172" width="9.42578125" customWidth="1"/>
    <col min="7173" max="7173" width="9.28515625" customWidth="1"/>
    <col min="7174" max="7175" width="0" hidden="1" customWidth="1"/>
    <col min="7176" max="7176" width="8.140625" customWidth="1"/>
    <col min="7177" max="7177" width="9.5703125" customWidth="1"/>
    <col min="7178" max="7178" width="14.140625" customWidth="1"/>
    <col min="7179" max="7179" width="8" customWidth="1"/>
    <col min="7180" max="7180" width="0" hidden="1" customWidth="1"/>
    <col min="7181" max="7181" width="12.5703125" customWidth="1"/>
    <col min="7182" max="7182" width="9.28515625" bestFit="1" customWidth="1"/>
    <col min="7183" max="7183" width="10" customWidth="1"/>
    <col min="7184" max="7184" width="12.28515625" customWidth="1"/>
    <col min="7185" max="7185" width="11" customWidth="1"/>
    <col min="7186" max="7186" width="11.85546875" customWidth="1"/>
    <col min="7187" max="7187" width="8" customWidth="1"/>
    <col min="7188" max="7188" width="0" hidden="1" customWidth="1"/>
    <col min="7189" max="7189" width="10.140625" customWidth="1"/>
    <col min="7425" max="7425" width="14.42578125" customWidth="1"/>
    <col min="7426" max="7426" width="12.140625" customWidth="1"/>
    <col min="7427" max="7427" width="0" hidden="1" customWidth="1"/>
    <col min="7428" max="7428" width="9.42578125" customWidth="1"/>
    <col min="7429" max="7429" width="9.28515625" customWidth="1"/>
    <col min="7430" max="7431" width="0" hidden="1" customWidth="1"/>
    <col min="7432" max="7432" width="8.140625" customWidth="1"/>
    <col min="7433" max="7433" width="9.5703125" customWidth="1"/>
    <col min="7434" max="7434" width="14.140625" customWidth="1"/>
    <col min="7435" max="7435" width="8" customWidth="1"/>
    <col min="7436" max="7436" width="0" hidden="1" customWidth="1"/>
    <col min="7437" max="7437" width="12.5703125" customWidth="1"/>
    <col min="7438" max="7438" width="9.28515625" bestFit="1" customWidth="1"/>
    <col min="7439" max="7439" width="10" customWidth="1"/>
    <col min="7440" max="7440" width="12.28515625" customWidth="1"/>
    <col min="7441" max="7441" width="11" customWidth="1"/>
    <col min="7442" max="7442" width="11.85546875" customWidth="1"/>
    <col min="7443" max="7443" width="8" customWidth="1"/>
    <col min="7444" max="7444" width="0" hidden="1" customWidth="1"/>
    <col min="7445" max="7445" width="10.140625" customWidth="1"/>
    <col min="7681" max="7681" width="14.42578125" customWidth="1"/>
    <col min="7682" max="7682" width="12.140625" customWidth="1"/>
    <col min="7683" max="7683" width="0" hidden="1" customWidth="1"/>
    <col min="7684" max="7684" width="9.42578125" customWidth="1"/>
    <col min="7685" max="7685" width="9.28515625" customWidth="1"/>
    <col min="7686" max="7687" width="0" hidden="1" customWidth="1"/>
    <col min="7688" max="7688" width="8.140625" customWidth="1"/>
    <col min="7689" max="7689" width="9.5703125" customWidth="1"/>
    <col min="7690" max="7690" width="14.140625" customWidth="1"/>
    <col min="7691" max="7691" width="8" customWidth="1"/>
    <col min="7692" max="7692" width="0" hidden="1" customWidth="1"/>
    <col min="7693" max="7693" width="12.5703125" customWidth="1"/>
    <col min="7694" max="7694" width="9.28515625" bestFit="1" customWidth="1"/>
    <col min="7695" max="7695" width="10" customWidth="1"/>
    <col min="7696" max="7696" width="12.28515625" customWidth="1"/>
    <col min="7697" max="7697" width="11" customWidth="1"/>
    <col min="7698" max="7698" width="11.85546875" customWidth="1"/>
    <col min="7699" max="7699" width="8" customWidth="1"/>
    <col min="7700" max="7700" width="0" hidden="1" customWidth="1"/>
    <col min="7701" max="7701" width="10.140625" customWidth="1"/>
    <col min="7937" max="7937" width="14.42578125" customWidth="1"/>
    <col min="7938" max="7938" width="12.140625" customWidth="1"/>
    <col min="7939" max="7939" width="0" hidden="1" customWidth="1"/>
    <col min="7940" max="7940" width="9.42578125" customWidth="1"/>
    <col min="7941" max="7941" width="9.28515625" customWidth="1"/>
    <col min="7942" max="7943" width="0" hidden="1" customWidth="1"/>
    <col min="7944" max="7944" width="8.140625" customWidth="1"/>
    <col min="7945" max="7945" width="9.5703125" customWidth="1"/>
    <col min="7946" max="7946" width="14.140625" customWidth="1"/>
    <col min="7947" max="7947" width="8" customWidth="1"/>
    <col min="7948" max="7948" width="0" hidden="1" customWidth="1"/>
    <col min="7949" max="7949" width="12.5703125" customWidth="1"/>
    <col min="7950" max="7950" width="9.28515625" bestFit="1" customWidth="1"/>
    <col min="7951" max="7951" width="10" customWidth="1"/>
    <col min="7952" max="7952" width="12.28515625" customWidth="1"/>
    <col min="7953" max="7953" width="11" customWidth="1"/>
    <col min="7954" max="7954" width="11.85546875" customWidth="1"/>
    <col min="7955" max="7955" width="8" customWidth="1"/>
    <col min="7956" max="7956" width="0" hidden="1" customWidth="1"/>
    <col min="7957" max="7957" width="10.140625" customWidth="1"/>
    <col min="8193" max="8193" width="14.42578125" customWidth="1"/>
    <col min="8194" max="8194" width="12.140625" customWidth="1"/>
    <col min="8195" max="8195" width="0" hidden="1" customWidth="1"/>
    <col min="8196" max="8196" width="9.42578125" customWidth="1"/>
    <col min="8197" max="8197" width="9.28515625" customWidth="1"/>
    <col min="8198" max="8199" width="0" hidden="1" customWidth="1"/>
    <col min="8200" max="8200" width="8.140625" customWidth="1"/>
    <col min="8201" max="8201" width="9.5703125" customWidth="1"/>
    <col min="8202" max="8202" width="14.140625" customWidth="1"/>
    <col min="8203" max="8203" width="8" customWidth="1"/>
    <col min="8204" max="8204" width="0" hidden="1" customWidth="1"/>
    <col min="8205" max="8205" width="12.5703125" customWidth="1"/>
    <col min="8206" max="8206" width="9.28515625" bestFit="1" customWidth="1"/>
    <col min="8207" max="8207" width="10" customWidth="1"/>
    <col min="8208" max="8208" width="12.28515625" customWidth="1"/>
    <col min="8209" max="8209" width="11" customWidth="1"/>
    <col min="8210" max="8210" width="11.85546875" customWidth="1"/>
    <col min="8211" max="8211" width="8" customWidth="1"/>
    <col min="8212" max="8212" width="0" hidden="1" customWidth="1"/>
    <col min="8213" max="8213" width="10.140625" customWidth="1"/>
    <col min="8449" max="8449" width="14.42578125" customWidth="1"/>
    <col min="8450" max="8450" width="12.140625" customWidth="1"/>
    <col min="8451" max="8451" width="0" hidden="1" customWidth="1"/>
    <col min="8452" max="8452" width="9.42578125" customWidth="1"/>
    <col min="8453" max="8453" width="9.28515625" customWidth="1"/>
    <col min="8454" max="8455" width="0" hidden="1" customWidth="1"/>
    <col min="8456" max="8456" width="8.140625" customWidth="1"/>
    <col min="8457" max="8457" width="9.5703125" customWidth="1"/>
    <col min="8458" max="8458" width="14.140625" customWidth="1"/>
    <col min="8459" max="8459" width="8" customWidth="1"/>
    <col min="8460" max="8460" width="0" hidden="1" customWidth="1"/>
    <col min="8461" max="8461" width="12.5703125" customWidth="1"/>
    <col min="8462" max="8462" width="9.28515625" bestFit="1" customWidth="1"/>
    <col min="8463" max="8463" width="10" customWidth="1"/>
    <col min="8464" max="8464" width="12.28515625" customWidth="1"/>
    <col min="8465" max="8465" width="11" customWidth="1"/>
    <col min="8466" max="8466" width="11.85546875" customWidth="1"/>
    <col min="8467" max="8467" width="8" customWidth="1"/>
    <col min="8468" max="8468" width="0" hidden="1" customWidth="1"/>
    <col min="8469" max="8469" width="10.140625" customWidth="1"/>
    <col min="8705" max="8705" width="14.42578125" customWidth="1"/>
    <col min="8706" max="8706" width="12.140625" customWidth="1"/>
    <col min="8707" max="8707" width="0" hidden="1" customWidth="1"/>
    <col min="8708" max="8708" width="9.42578125" customWidth="1"/>
    <col min="8709" max="8709" width="9.28515625" customWidth="1"/>
    <col min="8710" max="8711" width="0" hidden="1" customWidth="1"/>
    <col min="8712" max="8712" width="8.140625" customWidth="1"/>
    <col min="8713" max="8713" width="9.5703125" customWidth="1"/>
    <col min="8714" max="8714" width="14.140625" customWidth="1"/>
    <col min="8715" max="8715" width="8" customWidth="1"/>
    <col min="8716" max="8716" width="0" hidden="1" customWidth="1"/>
    <col min="8717" max="8717" width="12.5703125" customWidth="1"/>
    <col min="8718" max="8718" width="9.28515625" bestFit="1" customWidth="1"/>
    <col min="8719" max="8719" width="10" customWidth="1"/>
    <col min="8720" max="8720" width="12.28515625" customWidth="1"/>
    <col min="8721" max="8721" width="11" customWidth="1"/>
    <col min="8722" max="8722" width="11.85546875" customWidth="1"/>
    <col min="8723" max="8723" width="8" customWidth="1"/>
    <col min="8724" max="8724" width="0" hidden="1" customWidth="1"/>
    <col min="8725" max="8725" width="10.140625" customWidth="1"/>
    <col min="8961" max="8961" width="14.42578125" customWidth="1"/>
    <col min="8962" max="8962" width="12.140625" customWidth="1"/>
    <col min="8963" max="8963" width="0" hidden="1" customWidth="1"/>
    <col min="8964" max="8964" width="9.42578125" customWidth="1"/>
    <col min="8965" max="8965" width="9.28515625" customWidth="1"/>
    <col min="8966" max="8967" width="0" hidden="1" customWidth="1"/>
    <col min="8968" max="8968" width="8.140625" customWidth="1"/>
    <col min="8969" max="8969" width="9.5703125" customWidth="1"/>
    <col min="8970" max="8970" width="14.140625" customWidth="1"/>
    <col min="8971" max="8971" width="8" customWidth="1"/>
    <col min="8972" max="8972" width="0" hidden="1" customWidth="1"/>
    <col min="8973" max="8973" width="12.5703125" customWidth="1"/>
    <col min="8974" max="8974" width="9.28515625" bestFit="1" customWidth="1"/>
    <col min="8975" max="8975" width="10" customWidth="1"/>
    <col min="8976" max="8976" width="12.28515625" customWidth="1"/>
    <col min="8977" max="8977" width="11" customWidth="1"/>
    <col min="8978" max="8978" width="11.85546875" customWidth="1"/>
    <col min="8979" max="8979" width="8" customWidth="1"/>
    <col min="8980" max="8980" width="0" hidden="1" customWidth="1"/>
    <col min="8981" max="8981" width="10.140625" customWidth="1"/>
    <col min="9217" max="9217" width="14.42578125" customWidth="1"/>
    <col min="9218" max="9218" width="12.140625" customWidth="1"/>
    <col min="9219" max="9219" width="0" hidden="1" customWidth="1"/>
    <col min="9220" max="9220" width="9.42578125" customWidth="1"/>
    <col min="9221" max="9221" width="9.28515625" customWidth="1"/>
    <col min="9222" max="9223" width="0" hidden="1" customWidth="1"/>
    <col min="9224" max="9224" width="8.140625" customWidth="1"/>
    <col min="9225" max="9225" width="9.5703125" customWidth="1"/>
    <col min="9226" max="9226" width="14.140625" customWidth="1"/>
    <col min="9227" max="9227" width="8" customWidth="1"/>
    <col min="9228" max="9228" width="0" hidden="1" customWidth="1"/>
    <col min="9229" max="9229" width="12.5703125" customWidth="1"/>
    <col min="9230" max="9230" width="9.28515625" bestFit="1" customWidth="1"/>
    <col min="9231" max="9231" width="10" customWidth="1"/>
    <col min="9232" max="9232" width="12.28515625" customWidth="1"/>
    <col min="9233" max="9233" width="11" customWidth="1"/>
    <col min="9234" max="9234" width="11.85546875" customWidth="1"/>
    <col min="9235" max="9235" width="8" customWidth="1"/>
    <col min="9236" max="9236" width="0" hidden="1" customWidth="1"/>
    <col min="9237" max="9237" width="10.140625" customWidth="1"/>
    <col min="9473" max="9473" width="14.42578125" customWidth="1"/>
    <col min="9474" max="9474" width="12.140625" customWidth="1"/>
    <col min="9475" max="9475" width="0" hidden="1" customWidth="1"/>
    <col min="9476" max="9476" width="9.42578125" customWidth="1"/>
    <col min="9477" max="9477" width="9.28515625" customWidth="1"/>
    <col min="9478" max="9479" width="0" hidden="1" customWidth="1"/>
    <col min="9480" max="9480" width="8.140625" customWidth="1"/>
    <col min="9481" max="9481" width="9.5703125" customWidth="1"/>
    <col min="9482" max="9482" width="14.140625" customWidth="1"/>
    <col min="9483" max="9483" width="8" customWidth="1"/>
    <col min="9484" max="9484" width="0" hidden="1" customWidth="1"/>
    <col min="9485" max="9485" width="12.5703125" customWidth="1"/>
    <col min="9486" max="9486" width="9.28515625" bestFit="1" customWidth="1"/>
    <col min="9487" max="9487" width="10" customWidth="1"/>
    <col min="9488" max="9488" width="12.28515625" customWidth="1"/>
    <col min="9489" max="9489" width="11" customWidth="1"/>
    <col min="9490" max="9490" width="11.85546875" customWidth="1"/>
    <col min="9491" max="9491" width="8" customWidth="1"/>
    <col min="9492" max="9492" width="0" hidden="1" customWidth="1"/>
    <col min="9493" max="9493" width="10.140625" customWidth="1"/>
    <col min="9729" max="9729" width="14.42578125" customWidth="1"/>
    <col min="9730" max="9730" width="12.140625" customWidth="1"/>
    <col min="9731" max="9731" width="0" hidden="1" customWidth="1"/>
    <col min="9732" max="9732" width="9.42578125" customWidth="1"/>
    <col min="9733" max="9733" width="9.28515625" customWidth="1"/>
    <col min="9734" max="9735" width="0" hidden="1" customWidth="1"/>
    <col min="9736" max="9736" width="8.140625" customWidth="1"/>
    <col min="9737" max="9737" width="9.5703125" customWidth="1"/>
    <col min="9738" max="9738" width="14.140625" customWidth="1"/>
    <col min="9739" max="9739" width="8" customWidth="1"/>
    <col min="9740" max="9740" width="0" hidden="1" customWidth="1"/>
    <col min="9741" max="9741" width="12.5703125" customWidth="1"/>
    <col min="9742" max="9742" width="9.28515625" bestFit="1" customWidth="1"/>
    <col min="9743" max="9743" width="10" customWidth="1"/>
    <col min="9744" max="9744" width="12.28515625" customWidth="1"/>
    <col min="9745" max="9745" width="11" customWidth="1"/>
    <col min="9746" max="9746" width="11.85546875" customWidth="1"/>
    <col min="9747" max="9747" width="8" customWidth="1"/>
    <col min="9748" max="9748" width="0" hidden="1" customWidth="1"/>
    <col min="9749" max="9749" width="10.140625" customWidth="1"/>
    <col min="9985" max="9985" width="14.42578125" customWidth="1"/>
    <col min="9986" max="9986" width="12.140625" customWidth="1"/>
    <col min="9987" max="9987" width="0" hidden="1" customWidth="1"/>
    <col min="9988" max="9988" width="9.42578125" customWidth="1"/>
    <col min="9989" max="9989" width="9.28515625" customWidth="1"/>
    <col min="9990" max="9991" width="0" hidden="1" customWidth="1"/>
    <col min="9992" max="9992" width="8.140625" customWidth="1"/>
    <col min="9993" max="9993" width="9.5703125" customWidth="1"/>
    <col min="9994" max="9994" width="14.140625" customWidth="1"/>
    <col min="9995" max="9995" width="8" customWidth="1"/>
    <col min="9996" max="9996" width="0" hidden="1" customWidth="1"/>
    <col min="9997" max="9997" width="12.5703125" customWidth="1"/>
    <col min="9998" max="9998" width="9.28515625" bestFit="1" customWidth="1"/>
    <col min="9999" max="9999" width="10" customWidth="1"/>
    <col min="10000" max="10000" width="12.28515625" customWidth="1"/>
    <col min="10001" max="10001" width="11" customWidth="1"/>
    <col min="10002" max="10002" width="11.85546875" customWidth="1"/>
    <col min="10003" max="10003" width="8" customWidth="1"/>
    <col min="10004" max="10004" width="0" hidden="1" customWidth="1"/>
    <col min="10005" max="10005" width="10.140625" customWidth="1"/>
    <col min="10241" max="10241" width="14.42578125" customWidth="1"/>
    <col min="10242" max="10242" width="12.140625" customWidth="1"/>
    <col min="10243" max="10243" width="0" hidden="1" customWidth="1"/>
    <col min="10244" max="10244" width="9.42578125" customWidth="1"/>
    <col min="10245" max="10245" width="9.28515625" customWidth="1"/>
    <col min="10246" max="10247" width="0" hidden="1" customWidth="1"/>
    <col min="10248" max="10248" width="8.140625" customWidth="1"/>
    <col min="10249" max="10249" width="9.5703125" customWidth="1"/>
    <col min="10250" max="10250" width="14.140625" customWidth="1"/>
    <col min="10251" max="10251" width="8" customWidth="1"/>
    <col min="10252" max="10252" width="0" hidden="1" customWidth="1"/>
    <col min="10253" max="10253" width="12.5703125" customWidth="1"/>
    <col min="10254" max="10254" width="9.28515625" bestFit="1" customWidth="1"/>
    <col min="10255" max="10255" width="10" customWidth="1"/>
    <col min="10256" max="10256" width="12.28515625" customWidth="1"/>
    <col min="10257" max="10257" width="11" customWidth="1"/>
    <col min="10258" max="10258" width="11.85546875" customWidth="1"/>
    <col min="10259" max="10259" width="8" customWidth="1"/>
    <col min="10260" max="10260" width="0" hidden="1" customWidth="1"/>
    <col min="10261" max="10261" width="10.140625" customWidth="1"/>
    <col min="10497" max="10497" width="14.42578125" customWidth="1"/>
    <col min="10498" max="10498" width="12.140625" customWidth="1"/>
    <col min="10499" max="10499" width="0" hidden="1" customWidth="1"/>
    <col min="10500" max="10500" width="9.42578125" customWidth="1"/>
    <col min="10501" max="10501" width="9.28515625" customWidth="1"/>
    <col min="10502" max="10503" width="0" hidden="1" customWidth="1"/>
    <col min="10504" max="10504" width="8.140625" customWidth="1"/>
    <col min="10505" max="10505" width="9.5703125" customWidth="1"/>
    <col min="10506" max="10506" width="14.140625" customWidth="1"/>
    <col min="10507" max="10507" width="8" customWidth="1"/>
    <col min="10508" max="10508" width="0" hidden="1" customWidth="1"/>
    <col min="10509" max="10509" width="12.5703125" customWidth="1"/>
    <col min="10510" max="10510" width="9.28515625" bestFit="1" customWidth="1"/>
    <col min="10511" max="10511" width="10" customWidth="1"/>
    <col min="10512" max="10512" width="12.28515625" customWidth="1"/>
    <col min="10513" max="10513" width="11" customWidth="1"/>
    <col min="10514" max="10514" width="11.85546875" customWidth="1"/>
    <col min="10515" max="10515" width="8" customWidth="1"/>
    <col min="10516" max="10516" width="0" hidden="1" customWidth="1"/>
    <col min="10517" max="10517" width="10.140625" customWidth="1"/>
    <col min="10753" max="10753" width="14.42578125" customWidth="1"/>
    <col min="10754" max="10754" width="12.140625" customWidth="1"/>
    <col min="10755" max="10755" width="0" hidden="1" customWidth="1"/>
    <col min="10756" max="10756" width="9.42578125" customWidth="1"/>
    <col min="10757" max="10757" width="9.28515625" customWidth="1"/>
    <col min="10758" max="10759" width="0" hidden="1" customWidth="1"/>
    <col min="10760" max="10760" width="8.140625" customWidth="1"/>
    <col min="10761" max="10761" width="9.5703125" customWidth="1"/>
    <col min="10762" max="10762" width="14.140625" customWidth="1"/>
    <col min="10763" max="10763" width="8" customWidth="1"/>
    <col min="10764" max="10764" width="0" hidden="1" customWidth="1"/>
    <col min="10765" max="10765" width="12.5703125" customWidth="1"/>
    <col min="10766" max="10766" width="9.28515625" bestFit="1" customWidth="1"/>
    <col min="10767" max="10767" width="10" customWidth="1"/>
    <col min="10768" max="10768" width="12.28515625" customWidth="1"/>
    <col min="10769" max="10769" width="11" customWidth="1"/>
    <col min="10770" max="10770" width="11.85546875" customWidth="1"/>
    <col min="10771" max="10771" width="8" customWidth="1"/>
    <col min="10772" max="10772" width="0" hidden="1" customWidth="1"/>
    <col min="10773" max="10773" width="10.140625" customWidth="1"/>
    <col min="11009" max="11009" width="14.42578125" customWidth="1"/>
    <col min="11010" max="11010" width="12.140625" customWidth="1"/>
    <col min="11011" max="11011" width="0" hidden="1" customWidth="1"/>
    <col min="11012" max="11012" width="9.42578125" customWidth="1"/>
    <col min="11013" max="11013" width="9.28515625" customWidth="1"/>
    <col min="11014" max="11015" width="0" hidden="1" customWidth="1"/>
    <col min="11016" max="11016" width="8.140625" customWidth="1"/>
    <col min="11017" max="11017" width="9.5703125" customWidth="1"/>
    <col min="11018" max="11018" width="14.140625" customWidth="1"/>
    <col min="11019" max="11019" width="8" customWidth="1"/>
    <col min="11020" max="11020" width="0" hidden="1" customWidth="1"/>
    <col min="11021" max="11021" width="12.5703125" customWidth="1"/>
    <col min="11022" max="11022" width="9.28515625" bestFit="1" customWidth="1"/>
    <col min="11023" max="11023" width="10" customWidth="1"/>
    <col min="11024" max="11024" width="12.28515625" customWidth="1"/>
    <col min="11025" max="11025" width="11" customWidth="1"/>
    <col min="11026" max="11026" width="11.85546875" customWidth="1"/>
    <col min="11027" max="11027" width="8" customWidth="1"/>
    <col min="11028" max="11028" width="0" hidden="1" customWidth="1"/>
    <col min="11029" max="11029" width="10.140625" customWidth="1"/>
    <col min="11265" max="11265" width="14.42578125" customWidth="1"/>
    <col min="11266" max="11266" width="12.140625" customWidth="1"/>
    <col min="11267" max="11267" width="0" hidden="1" customWidth="1"/>
    <col min="11268" max="11268" width="9.42578125" customWidth="1"/>
    <col min="11269" max="11269" width="9.28515625" customWidth="1"/>
    <col min="11270" max="11271" width="0" hidden="1" customWidth="1"/>
    <col min="11272" max="11272" width="8.140625" customWidth="1"/>
    <col min="11273" max="11273" width="9.5703125" customWidth="1"/>
    <col min="11274" max="11274" width="14.140625" customWidth="1"/>
    <col min="11275" max="11275" width="8" customWidth="1"/>
    <col min="11276" max="11276" width="0" hidden="1" customWidth="1"/>
    <col min="11277" max="11277" width="12.5703125" customWidth="1"/>
    <col min="11278" max="11278" width="9.28515625" bestFit="1" customWidth="1"/>
    <col min="11279" max="11279" width="10" customWidth="1"/>
    <col min="11280" max="11280" width="12.28515625" customWidth="1"/>
    <col min="11281" max="11281" width="11" customWidth="1"/>
    <col min="11282" max="11282" width="11.85546875" customWidth="1"/>
    <col min="11283" max="11283" width="8" customWidth="1"/>
    <col min="11284" max="11284" width="0" hidden="1" customWidth="1"/>
    <col min="11285" max="11285" width="10.140625" customWidth="1"/>
    <col min="11521" max="11521" width="14.42578125" customWidth="1"/>
    <col min="11522" max="11522" width="12.140625" customWidth="1"/>
    <col min="11523" max="11523" width="0" hidden="1" customWidth="1"/>
    <col min="11524" max="11524" width="9.42578125" customWidth="1"/>
    <col min="11525" max="11525" width="9.28515625" customWidth="1"/>
    <col min="11526" max="11527" width="0" hidden="1" customWidth="1"/>
    <col min="11528" max="11528" width="8.140625" customWidth="1"/>
    <col min="11529" max="11529" width="9.5703125" customWidth="1"/>
    <col min="11530" max="11530" width="14.140625" customWidth="1"/>
    <col min="11531" max="11531" width="8" customWidth="1"/>
    <col min="11532" max="11532" width="0" hidden="1" customWidth="1"/>
    <col min="11533" max="11533" width="12.5703125" customWidth="1"/>
    <col min="11534" max="11534" width="9.28515625" bestFit="1" customWidth="1"/>
    <col min="11535" max="11535" width="10" customWidth="1"/>
    <col min="11536" max="11536" width="12.28515625" customWidth="1"/>
    <col min="11537" max="11537" width="11" customWidth="1"/>
    <col min="11538" max="11538" width="11.85546875" customWidth="1"/>
    <col min="11539" max="11539" width="8" customWidth="1"/>
    <col min="11540" max="11540" width="0" hidden="1" customWidth="1"/>
    <col min="11541" max="11541" width="10.140625" customWidth="1"/>
    <col min="11777" max="11777" width="14.42578125" customWidth="1"/>
    <col min="11778" max="11778" width="12.140625" customWidth="1"/>
    <col min="11779" max="11779" width="0" hidden="1" customWidth="1"/>
    <col min="11780" max="11780" width="9.42578125" customWidth="1"/>
    <col min="11781" max="11781" width="9.28515625" customWidth="1"/>
    <col min="11782" max="11783" width="0" hidden="1" customWidth="1"/>
    <col min="11784" max="11784" width="8.140625" customWidth="1"/>
    <col min="11785" max="11785" width="9.5703125" customWidth="1"/>
    <col min="11786" max="11786" width="14.140625" customWidth="1"/>
    <col min="11787" max="11787" width="8" customWidth="1"/>
    <col min="11788" max="11788" width="0" hidden="1" customWidth="1"/>
    <col min="11789" max="11789" width="12.5703125" customWidth="1"/>
    <col min="11790" max="11790" width="9.28515625" bestFit="1" customWidth="1"/>
    <col min="11791" max="11791" width="10" customWidth="1"/>
    <col min="11792" max="11792" width="12.28515625" customWidth="1"/>
    <col min="11793" max="11793" width="11" customWidth="1"/>
    <col min="11794" max="11794" width="11.85546875" customWidth="1"/>
    <col min="11795" max="11795" width="8" customWidth="1"/>
    <col min="11796" max="11796" width="0" hidden="1" customWidth="1"/>
    <col min="11797" max="11797" width="10.140625" customWidth="1"/>
    <col min="12033" max="12033" width="14.42578125" customWidth="1"/>
    <col min="12034" max="12034" width="12.140625" customWidth="1"/>
    <col min="12035" max="12035" width="0" hidden="1" customWidth="1"/>
    <col min="12036" max="12036" width="9.42578125" customWidth="1"/>
    <col min="12037" max="12037" width="9.28515625" customWidth="1"/>
    <col min="12038" max="12039" width="0" hidden="1" customWidth="1"/>
    <col min="12040" max="12040" width="8.140625" customWidth="1"/>
    <col min="12041" max="12041" width="9.5703125" customWidth="1"/>
    <col min="12042" max="12042" width="14.140625" customWidth="1"/>
    <col min="12043" max="12043" width="8" customWidth="1"/>
    <col min="12044" max="12044" width="0" hidden="1" customWidth="1"/>
    <col min="12045" max="12045" width="12.5703125" customWidth="1"/>
    <col min="12046" max="12046" width="9.28515625" bestFit="1" customWidth="1"/>
    <col min="12047" max="12047" width="10" customWidth="1"/>
    <col min="12048" max="12048" width="12.28515625" customWidth="1"/>
    <col min="12049" max="12049" width="11" customWidth="1"/>
    <col min="12050" max="12050" width="11.85546875" customWidth="1"/>
    <col min="12051" max="12051" width="8" customWidth="1"/>
    <col min="12052" max="12052" width="0" hidden="1" customWidth="1"/>
    <col min="12053" max="12053" width="10.140625" customWidth="1"/>
    <col min="12289" max="12289" width="14.42578125" customWidth="1"/>
    <col min="12290" max="12290" width="12.140625" customWidth="1"/>
    <col min="12291" max="12291" width="0" hidden="1" customWidth="1"/>
    <col min="12292" max="12292" width="9.42578125" customWidth="1"/>
    <col min="12293" max="12293" width="9.28515625" customWidth="1"/>
    <col min="12294" max="12295" width="0" hidden="1" customWidth="1"/>
    <col min="12296" max="12296" width="8.140625" customWidth="1"/>
    <col min="12297" max="12297" width="9.5703125" customWidth="1"/>
    <col min="12298" max="12298" width="14.140625" customWidth="1"/>
    <col min="12299" max="12299" width="8" customWidth="1"/>
    <col min="12300" max="12300" width="0" hidden="1" customWidth="1"/>
    <col min="12301" max="12301" width="12.5703125" customWidth="1"/>
    <col min="12302" max="12302" width="9.28515625" bestFit="1" customWidth="1"/>
    <col min="12303" max="12303" width="10" customWidth="1"/>
    <col min="12304" max="12304" width="12.28515625" customWidth="1"/>
    <col min="12305" max="12305" width="11" customWidth="1"/>
    <col min="12306" max="12306" width="11.85546875" customWidth="1"/>
    <col min="12307" max="12307" width="8" customWidth="1"/>
    <col min="12308" max="12308" width="0" hidden="1" customWidth="1"/>
    <col min="12309" max="12309" width="10.140625" customWidth="1"/>
    <col min="12545" max="12545" width="14.42578125" customWidth="1"/>
    <col min="12546" max="12546" width="12.140625" customWidth="1"/>
    <col min="12547" max="12547" width="0" hidden="1" customWidth="1"/>
    <col min="12548" max="12548" width="9.42578125" customWidth="1"/>
    <col min="12549" max="12549" width="9.28515625" customWidth="1"/>
    <col min="12550" max="12551" width="0" hidden="1" customWidth="1"/>
    <col min="12552" max="12552" width="8.140625" customWidth="1"/>
    <col min="12553" max="12553" width="9.5703125" customWidth="1"/>
    <col min="12554" max="12554" width="14.140625" customWidth="1"/>
    <col min="12555" max="12555" width="8" customWidth="1"/>
    <col min="12556" max="12556" width="0" hidden="1" customWidth="1"/>
    <col min="12557" max="12557" width="12.5703125" customWidth="1"/>
    <col min="12558" max="12558" width="9.28515625" bestFit="1" customWidth="1"/>
    <col min="12559" max="12559" width="10" customWidth="1"/>
    <col min="12560" max="12560" width="12.28515625" customWidth="1"/>
    <col min="12561" max="12561" width="11" customWidth="1"/>
    <col min="12562" max="12562" width="11.85546875" customWidth="1"/>
    <col min="12563" max="12563" width="8" customWidth="1"/>
    <col min="12564" max="12564" width="0" hidden="1" customWidth="1"/>
    <col min="12565" max="12565" width="10.140625" customWidth="1"/>
    <col min="12801" max="12801" width="14.42578125" customWidth="1"/>
    <col min="12802" max="12802" width="12.140625" customWidth="1"/>
    <col min="12803" max="12803" width="0" hidden="1" customWidth="1"/>
    <col min="12804" max="12804" width="9.42578125" customWidth="1"/>
    <col min="12805" max="12805" width="9.28515625" customWidth="1"/>
    <col min="12806" max="12807" width="0" hidden="1" customWidth="1"/>
    <col min="12808" max="12808" width="8.140625" customWidth="1"/>
    <col min="12809" max="12809" width="9.5703125" customWidth="1"/>
    <col min="12810" max="12810" width="14.140625" customWidth="1"/>
    <col min="12811" max="12811" width="8" customWidth="1"/>
    <col min="12812" max="12812" width="0" hidden="1" customWidth="1"/>
    <col min="12813" max="12813" width="12.5703125" customWidth="1"/>
    <col min="12814" max="12814" width="9.28515625" bestFit="1" customWidth="1"/>
    <col min="12815" max="12815" width="10" customWidth="1"/>
    <col min="12816" max="12816" width="12.28515625" customWidth="1"/>
    <col min="12817" max="12817" width="11" customWidth="1"/>
    <col min="12818" max="12818" width="11.85546875" customWidth="1"/>
    <col min="12819" max="12819" width="8" customWidth="1"/>
    <col min="12820" max="12820" width="0" hidden="1" customWidth="1"/>
    <col min="12821" max="12821" width="10.140625" customWidth="1"/>
    <col min="13057" max="13057" width="14.42578125" customWidth="1"/>
    <col min="13058" max="13058" width="12.140625" customWidth="1"/>
    <col min="13059" max="13059" width="0" hidden="1" customWidth="1"/>
    <col min="13060" max="13060" width="9.42578125" customWidth="1"/>
    <col min="13061" max="13061" width="9.28515625" customWidth="1"/>
    <col min="13062" max="13063" width="0" hidden="1" customWidth="1"/>
    <col min="13064" max="13064" width="8.140625" customWidth="1"/>
    <col min="13065" max="13065" width="9.5703125" customWidth="1"/>
    <col min="13066" max="13066" width="14.140625" customWidth="1"/>
    <col min="13067" max="13067" width="8" customWidth="1"/>
    <col min="13068" max="13068" width="0" hidden="1" customWidth="1"/>
    <col min="13069" max="13069" width="12.5703125" customWidth="1"/>
    <col min="13070" max="13070" width="9.28515625" bestFit="1" customWidth="1"/>
    <col min="13071" max="13071" width="10" customWidth="1"/>
    <col min="13072" max="13072" width="12.28515625" customWidth="1"/>
    <col min="13073" max="13073" width="11" customWidth="1"/>
    <col min="13074" max="13074" width="11.85546875" customWidth="1"/>
    <col min="13075" max="13075" width="8" customWidth="1"/>
    <col min="13076" max="13076" width="0" hidden="1" customWidth="1"/>
    <col min="13077" max="13077" width="10.140625" customWidth="1"/>
    <col min="13313" max="13313" width="14.42578125" customWidth="1"/>
    <col min="13314" max="13314" width="12.140625" customWidth="1"/>
    <col min="13315" max="13315" width="0" hidden="1" customWidth="1"/>
    <col min="13316" max="13316" width="9.42578125" customWidth="1"/>
    <col min="13317" max="13317" width="9.28515625" customWidth="1"/>
    <col min="13318" max="13319" width="0" hidden="1" customWidth="1"/>
    <col min="13320" max="13320" width="8.140625" customWidth="1"/>
    <col min="13321" max="13321" width="9.5703125" customWidth="1"/>
    <col min="13322" max="13322" width="14.140625" customWidth="1"/>
    <col min="13323" max="13323" width="8" customWidth="1"/>
    <col min="13324" max="13324" width="0" hidden="1" customWidth="1"/>
    <col min="13325" max="13325" width="12.5703125" customWidth="1"/>
    <col min="13326" max="13326" width="9.28515625" bestFit="1" customWidth="1"/>
    <col min="13327" max="13327" width="10" customWidth="1"/>
    <col min="13328" max="13328" width="12.28515625" customWidth="1"/>
    <col min="13329" max="13329" width="11" customWidth="1"/>
    <col min="13330" max="13330" width="11.85546875" customWidth="1"/>
    <col min="13331" max="13331" width="8" customWidth="1"/>
    <col min="13332" max="13332" width="0" hidden="1" customWidth="1"/>
    <col min="13333" max="13333" width="10.140625" customWidth="1"/>
    <col min="13569" max="13569" width="14.42578125" customWidth="1"/>
    <col min="13570" max="13570" width="12.140625" customWidth="1"/>
    <col min="13571" max="13571" width="0" hidden="1" customWidth="1"/>
    <col min="13572" max="13572" width="9.42578125" customWidth="1"/>
    <col min="13573" max="13573" width="9.28515625" customWidth="1"/>
    <col min="13574" max="13575" width="0" hidden="1" customWidth="1"/>
    <col min="13576" max="13576" width="8.140625" customWidth="1"/>
    <col min="13577" max="13577" width="9.5703125" customWidth="1"/>
    <col min="13578" max="13578" width="14.140625" customWidth="1"/>
    <col min="13579" max="13579" width="8" customWidth="1"/>
    <col min="13580" max="13580" width="0" hidden="1" customWidth="1"/>
    <col min="13581" max="13581" width="12.5703125" customWidth="1"/>
    <col min="13582" max="13582" width="9.28515625" bestFit="1" customWidth="1"/>
    <col min="13583" max="13583" width="10" customWidth="1"/>
    <col min="13584" max="13584" width="12.28515625" customWidth="1"/>
    <col min="13585" max="13585" width="11" customWidth="1"/>
    <col min="13586" max="13586" width="11.85546875" customWidth="1"/>
    <col min="13587" max="13587" width="8" customWidth="1"/>
    <col min="13588" max="13588" width="0" hidden="1" customWidth="1"/>
    <col min="13589" max="13589" width="10.140625" customWidth="1"/>
    <col min="13825" max="13825" width="14.42578125" customWidth="1"/>
    <col min="13826" max="13826" width="12.140625" customWidth="1"/>
    <col min="13827" max="13827" width="0" hidden="1" customWidth="1"/>
    <col min="13828" max="13828" width="9.42578125" customWidth="1"/>
    <col min="13829" max="13829" width="9.28515625" customWidth="1"/>
    <col min="13830" max="13831" width="0" hidden="1" customWidth="1"/>
    <col min="13832" max="13832" width="8.140625" customWidth="1"/>
    <col min="13833" max="13833" width="9.5703125" customWidth="1"/>
    <col min="13834" max="13834" width="14.140625" customWidth="1"/>
    <col min="13835" max="13835" width="8" customWidth="1"/>
    <col min="13836" max="13836" width="0" hidden="1" customWidth="1"/>
    <col min="13837" max="13837" width="12.5703125" customWidth="1"/>
    <col min="13838" max="13838" width="9.28515625" bestFit="1" customWidth="1"/>
    <col min="13839" max="13839" width="10" customWidth="1"/>
    <col min="13840" max="13840" width="12.28515625" customWidth="1"/>
    <col min="13841" max="13841" width="11" customWidth="1"/>
    <col min="13842" max="13842" width="11.85546875" customWidth="1"/>
    <col min="13843" max="13843" width="8" customWidth="1"/>
    <col min="13844" max="13844" width="0" hidden="1" customWidth="1"/>
    <col min="13845" max="13845" width="10.140625" customWidth="1"/>
    <col min="14081" max="14081" width="14.42578125" customWidth="1"/>
    <col min="14082" max="14082" width="12.140625" customWidth="1"/>
    <col min="14083" max="14083" width="0" hidden="1" customWidth="1"/>
    <col min="14084" max="14084" width="9.42578125" customWidth="1"/>
    <col min="14085" max="14085" width="9.28515625" customWidth="1"/>
    <col min="14086" max="14087" width="0" hidden="1" customWidth="1"/>
    <col min="14088" max="14088" width="8.140625" customWidth="1"/>
    <col min="14089" max="14089" width="9.5703125" customWidth="1"/>
    <col min="14090" max="14090" width="14.140625" customWidth="1"/>
    <col min="14091" max="14091" width="8" customWidth="1"/>
    <col min="14092" max="14092" width="0" hidden="1" customWidth="1"/>
    <col min="14093" max="14093" width="12.5703125" customWidth="1"/>
    <col min="14094" max="14094" width="9.28515625" bestFit="1" customWidth="1"/>
    <col min="14095" max="14095" width="10" customWidth="1"/>
    <col min="14096" max="14096" width="12.28515625" customWidth="1"/>
    <col min="14097" max="14097" width="11" customWidth="1"/>
    <col min="14098" max="14098" width="11.85546875" customWidth="1"/>
    <col min="14099" max="14099" width="8" customWidth="1"/>
    <col min="14100" max="14100" width="0" hidden="1" customWidth="1"/>
    <col min="14101" max="14101" width="10.140625" customWidth="1"/>
    <col min="14337" max="14337" width="14.42578125" customWidth="1"/>
    <col min="14338" max="14338" width="12.140625" customWidth="1"/>
    <col min="14339" max="14339" width="0" hidden="1" customWidth="1"/>
    <col min="14340" max="14340" width="9.42578125" customWidth="1"/>
    <col min="14341" max="14341" width="9.28515625" customWidth="1"/>
    <col min="14342" max="14343" width="0" hidden="1" customWidth="1"/>
    <col min="14344" max="14344" width="8.140625" customWidth="1"/>
    <col min="14345" max="14345" width="9.5703125" customWidth="1"/>
    <col min="14346" max="14346" width="14.140625" customWidth="1"/>
    <col min="14347" max="14347" width="8" customWidth="1"/>
    <col min="14348" max="14348" width="0" hidden="1" customWidth="1"/>
    <col min="14349" max="14349" width="12.5703125" customWidth="1"/>
    <col min="14350" max="14350" width="9.28515625" bestFit="1" customWidth="1"/>
    <col min="14351" max="14351" width="10" customWidth="1"/>
    <col min="14352" max="14352" width="12.28515625" customWidth="1"/>
    <col min="14353" max="14353" width="11" customWidth="1"/>
    <col min="14354" max="14354" width="11.85546875" customWidth="1"/>
    <col min="14355" max="14355" width="8" customWidth="1"/>
    <col min="14356" max="14356" width="0" hidden="1" customWidth="1"/>
    <col min="14357" max="14357" width="10.140625" customWidth="1"/>
    <col min="14593" max="14593" width="14.42578125" customWidth="1"/>
    <col min="14594" max="14594" width="12.140625" customWidth="1"/>
    <col min="14595" max="14595" width="0" hidden="1" customWidth="1"/>
    <col min="14596" max="14596" width="9.42578125" customWidth="1"/>
    <col min="14597" max="14597" width="9.28515625" customWidth="1"/>
    <col min="14598" max="14599" width="0" hidden="1" customWidth="1"/>
    <col min="14600" max="14600" width="8.140625" customWidth="1"/>
    <col min="14601" max="14601" width="9.5703125" customWidth="1"/>
    <col min="14602" max="14602" width="14.140625" customWidth="1"/>
    <col min="14603" max="14603" width="8" customWidth="1"/>
    <col min="14604" max="14604" width="0" hidden="1" customWidth="1"/>
    <col min="14605" max="14605" width="12.5703125" customWidth="1"/>
    <col min="14606" max="14606" width="9.28515625" bestFit="1" customWidth="1"/>
    <col min="14607" max="14607" width="10" customWidth="1"/>
    <col min="14608" max="14608" width="12.28515625" customWidth="1"/>
    <col min="14609" max="14609" width="11" customWidth="1"/>
    <col min="14610" max="14610" width="11.85546875" customWidth="1"/>
    <col min="14611" max="14611" width="8" customWidth="1"/>
    <col min="14612" max="14612" width="0" hidden="1" customWidth="1"/>
    <col min="14613" max="14613" width="10.140625" customWidth="1"/>
    <col min="14849" max="14849" width="14.42578125" customWidth="1"/>
    <col min="14850" max="14850" width="12.140625" customWidth="1"/>
    <col min="14851" max="14851" width="0" hidden="1" customWidth="1"/>
    <col min="14852" max="14852" width="9.42578125" customWidth="1"/>
    <col min="14853" max="14853" width="9.28515625" customWidth="1"/>
    <col min="14854" max="14855" width="0" hidden="1" customWidth="1"/>
    <col min="14856" max="14856" width="8.140625" customWidth="1"/>
    <col min="14857" max="14857" width="9.5703125" customWidth="1"/>
    <col min="14858" max="14858" width="14.140625" customWidth="1"/>
    <col min="14859" max="14859" width="8" customWidth="1"/>
    <col min="14860" max="14860" width="0" hidden="1" customWidth="1"/>
    <col min="14861" max="14861" width="12.5703125" customWidth="1"/>
    <col min="14862" max="14862" width="9.28515625" bestFit="1" customWidth="1"/>
    <col min="14863" max="14863" width="10" customWidth="1"/>
    <col min="14864" max="14864" width="12.28515625" customWidth="1"/>
    <col min="14865" max="14865" width="11" customWidth="1"/>
    <col min="14866" max="14866" width="11.85546875" customWidth="1"/>
    <col min="14867" max="14867" width="8" customWidth="1"/>
    <col min="14868" max="14868" width="0" hidden="1" customWidth="1"/>
    <col min="14869" max="14869" width="10.140625" customWidth="1"/>
    <col min="15105" max="15105" width="14.42578125" customWidth="1"/>
    <col min="15106" max="15106" width="12.140625" customWidth="1"/>
    <col min="15107" max="15107" width="0" hidden="1" customWidth="1"/>
    <col min="15108" max="15108" width="9.42578125" customWidth="1"/>
    <col min="15109" max="15109" width="9.28515625" customWidth="1"/>
    <col min="15110" max="15111" width="0" hidden="1" customWidth="1"/>
    <col min="15112" max="15112" width="8.140625" customWidth="1"/>
    <col min="15113" max="15113" width="9.5703125" customWidth="1"/>
    <col min="15114" max="15114" width="14.140625" customWidth="1"/>
    <col min="15115" max="15115" width="8" customWidth="1"/>
    <col min="15116" max="15116" width="0" hidden="1" customWidth="1"/>
    <col min="15117" max="15117" width="12.5703125" customWidth="1"/>
    <col min="15118" max="15118" width="9.28515625" bestFit="1" customWidth="1"/>
    <col min="15119" max="15119" width="10" customWidth="1"/>
    <col min="15120" max="15120" width="12.28515625" customWidth="1"/>
    <col min="15121" max="15121" width="11" customWidth="1"/>
    <col min="15122" max="15122" width="11.85546875" customWidth="1"/>
    <col min="15123" max="15123" width="8" customWidth="1"/>
    <col min="15124" max="15124" width="0" hidden="1" customWidth="1"/>
    <col min="15125" max="15125" width="10.140625" customWidth="1"/>
    <col min="15361" max="15361" width="14.42578125" customWidth="1"/>
    <col min="15362" max="15362" width="12.140625" customWidth="1"/>
    <col min="15363" max="15363" width="0" hidden="1" customWidth="1"/>
    <col min="15364" max="15364" width="9.42578125" customWidth="1"/>
    <col min="15365" max="15365" width="9.28515625" customWidth="1"/>
    <col min="15366" max="15367" width="0" hidden="1" customWidth="1"/>
    <col min="15368" max="15368" width="8.140625" customWidth="1"/>
    <col min="15369" max="15369" width="9.5703125" customWidth="1"/>
    <col min="15370" max="15370" width="14.140625" customWidth="1"/>
    <col min="15371" max="15371" width="8" customWidth="1"/>
    <col min="15372" max="15372" width="0" hidden="1" customWidth="1"/>
    <col min="15373" max="15373" width="12.5703125" customWidth="1"/>
    <col min="15374" max="15374" width="9.28515625" bestFit="1" customWidth="1"/>
    <col min="15375" max="15375" width="10" customWidth="1"/>
    <col min="15376" max="15376" width="12.28515625" customWidth="1"/>
    <col min="15377" max="15377" width="11" customWidth="1"/>
    <col min="15378" max="15378" width="11.85546875" customWidth="1"/>
    <col min="15379" max="15379" width="8" customWidth="1"/>
    <col min="15380" max="15380" width="0" hidden="1" customWidth="1"/>
    <col min="15381" max="15381" width="10.140625" customWidth="1"/>
    <col min="15617" max="15617" width="14.42578125" customWidth="1"/>
    <col min="15618" max="15618" width="12.140625" customWidth="1"/>
    <col min="15619" max="15619" width="0" hidden="1" customWidth="1"/>
    <col min="15620" max="15620" width="9.42578125" customWidth="1"/>
    <col min="15621" max="15621" width="9.28515625" customWidth="1"/>
    <col min="15622" max="15623" width="0" hidden="1" customWidth="1"/>
    <col min="15624" max="15624" width="8.140625" customWidth="1"/>
    <col min="15625" max="15625" width="9.5703125" customWidth="1"/>
    <col min="15626" max="15626" width="14.140625" customWidth="1"/>
    <col min="15627" max="15627" width="8" customWidth="1"/>
    <col min="15628" max="15628" width="0" hidden="1" customWidth="1"/>
    <col min="15629" max="15629" width="12.5703125" customWidth="1"/>
    <col min="15630" max="15630" width="9.28515625" bestFit="1" customWidth="1"/>
    <col min="15631" max="15631" width="10" customWidth="1"/>
    <col min="15632" max="15632" width="12.28515625" customWidth="1"/>
    <col min="15633" max="15633" width="11" customWidth="1"/>
    <col min="15634" max="15634" width="11.85546875" customWidth="1"/>
    <col min="15635" max="15635" width="8" customWidth="1"/>
    <col min="15636" max="15636" width="0" hidden="1" customWidth="1"/>
    <col min="15637" max="15637" width="10.140625" customWidth="1"/>
    <col min="15873" max="15873" width="14.42578125" customWidth="1"/>
    <col min="15874" max="15874" width="12.140625" customWidth="1"/>
    <col min="15875" max="15875" width="0" hidden="1" customWidth="1"/>
    <col min="15876" max="15876" width="9.42578125" customWidth="1"/>
    <col min="15877" max="15877" width="9.28515625" customWidth="1"/>
    <col min="15878" max="15879" width="0" hidden="1" customWidth="1"/>
    <col min="15880" max="15880" width="8.140625" customWidth="1"/>
    <col min="15881" max="15881" width="9.5703125" customWidth="1"/>
    <col min="15882" max="15882" width="14.140625" customWidth="1"/>
    <col min="15883" max="15883" width="8" customWidth="1"/>
    <col min="15884" max="15884" width="0" hidden="1" customWidth="1"/>
    <col min="15885" max="15885" width="12.5703125" customWidth="1"/>
    <col min="15886" max="15886" width="9.28515625" bestFit="1" customWidth="1"/>
    <col min="15887" max="15887" width="10" customWidth="1"/>
    <col min="15888" max="15888" width="12.28515625" customWidth="1"/>
    <col min="15889" max="15889" width="11" customWidth="1"/>
    <col min="15890" max="15890" width="11.85546875" customWidth="1"/>
    <col min="15891" max="15891" width="8" customWidth="1"/>
    <col min="15892" max="15892" width="0" hidden="1" customWidth="1"/>
    <col min="15893" max="15893" width="10.140625" customWidth="1"/>
    <col min="16129" max="16129" width="14.42578125" customWidth="1"/>
    <col min="16130" max="16130" width="12.140625" customWidth="1"/>
    <col min="16131" max="16131" width="0" hidden="1" customWidth="1"/>
    <col min="16132" max="16132" width="9.42578125" customWidth="1"/>
    <col min="16133" max="16133" width="9.28515625" customWidth="1"/>
    <col min="16134" max="16135" width="0" hidden="1" customWidth="1"/>
    <col min="16136" max="16136" width="8.140625" customWidth="1"/>
    <col min="16137" max="16137" width="9.5703125" customWidth="1"/>
    <col min="16138" max="16138" width="14.140625" customWidth="1"/>
    <col min="16139" max="16139" width="8" customWidth="1"/>
    <col min="16140" max="16140" width="0" hidden="1" customWidth="1"/>
    <col min="16141" max="16141" width="12.5703125" customWidth="1"/>
    <col min="16142" max="16142" width="9.28515625" bestFit="1" customWidth="1"/>
    <col min="16143" max="16143" width="10" customWidth="1"/>
    <col min="16144" max="16144" width="12.28515625" customWidth="1"/>
    <col min="16145" max="16145" width="11" customWidth="1"/>
    <col min="16146" max="16146" width="11.85546875" customWidth="1"/>
    <col min="16147" max="16147" width="8" customWidth="1"/>
    <col min="16148" max="16148" width="0" hidden="1" customWidth="1"/>
    <col min="16149" max="16149" width="10.140625" customWidth="1"/>
  </cols>
  <sheetData>
    <row r="1" spans="1:23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36"/>
      <c r="Q1" s="52"/>
      <c r="R1" s="52"/>
    </row>
    <row r="2" spans="1:23" x14ac:dyDescent="0.2">
      <c r="A2" s="536" t="s">
        <v>996</v>
      </c>
      <c r="B2" s="52"/>
      <c r="C2" s="52"/>
      <c r="D2" s="52"/>
      <c r="E2" s="52"/>
      <c r="F2" s="52"/>
      <c r="G2" s="52"/>
      <c r="I2" s="52"/>
      <c r="J2" s="52"/>
      <c r="K2" s="52"/>
      <c r="L2" s="52"/>
      <c r="M2" s="52"/>
      <c r="N2" s="52"/>
      <c r="O2" s="52"/>
      <c r="P2" s="536"/>
      <c r="Q2" s="52"/>
      <c r="R2" s="52"/>
    </row>
    <row r="3" spans="1:23" ht="13.5" thickBot="1" x14ac:dyDescent="0.25">
      <c r="A3" s="536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36"/>
      <c r="R3" s="537" t="s">
        <v>386</v>
      </c>
    </row>
    <row r="4" spans="1:23" ht="13.5" thickBot="1" x14ac:dyDescent="0.25">
      <c r="A4" s="777" t="s">
        <v>648</v>
      </c>
      <c r="B4" s="779" t="s">
        <v>649</v>
      </c>
      <c r="C4" s="618"/>
      <c r="D4" s="789" t="s">
        <v>650</v>
      </c>
      <c r="E4" s="789"/>
      <c r="F4" s="789"/>
      <c r="G4" s="789"/>
      <c r="H4" s="789"/>
      <c r="I4" s="789"/>
      <c r="J4" s="777" t="s">
        <v>648</v>
      </c>
      <c r="K4" s="791" t="s">
        <v>42</v>
      </c>
      <c r="L4" s="792"/>
      <c r="M4" s="792"/>
      <c r="N4" s="792"/>
      <c r="O4" s="792"/>
      <c r="P4" s="793"/>
      <c r="Q4" s="785" t="s">
        <v>1117</v>
      </c>
      <c r="R4" s="787" t="s">
        <v>1118</v>
      </c>
      <c r="T4" s="775" t="s">
        <v>997</v>
      </c>
    </row>
    <row r="5" spans="1:23" s="542" customFormat="1" ht="48.75" thickBot="1" x14ac:dyDescent="0.25">
      <c r="A5" s="778"/>
      <c r="B5" s="780"/>
      <c r="C5" s="619"/>
      <c r="D5" s="538" t="s">
        <v>651</v>
      </c>
      <c r="E5" s="539" t="s">
        <v>652</v>
      </c>
      <c r="F5" s="539" t="s">
        <v>864</v>
      </c>
      <c r="G5" s="539" t="s">
        <v>653</v>
      </c>
      <c r="H5" s="540" t="s">
        <v>654</v>
      </c>
      <c r="I5" s="541" t="s">
        <v>655</v>
      </c>
      <c r="J5" s="790"/>
      <c r="K5" s="538" t="s">
        <v>656</v>
      </c>
      <c r="L5" s="539" t="s">
        <v>657</v>
      </c>
      <c r="M5" s="539" t="s">
        <v>658</v>
      </c>
      <c r="N5" s="539" t="s">
        <v>659</v>
      </c>
      <c r="O5" s="540" t="s">
        <v>660</v>
      </c>
      <c r="P5" s="541" t="s">
        <v>661</v>
      </c>
      <c r="Q5" s="786"/>
      <c r="R5" s="788"/>
      <c r="S5" s="543" t="s">
        <v>662</v>
      </c>
      <c r="T5" s="776"/>
      <c r="W5"/>
    </row>
    <row r="6" spans="1:23" x14ac:dyDescent="0.2">
      <c r="A6" s="629" t="s">
        <v>663</v>
      </c>
      <c r="B6" s="620">
        <v>2334</v>
      </c>
      <c r="C6" s="621"/>
      <c r="D6" s="622">
        <v>1167</v>
      </c>
      <c r="E6" s="623">
        <v>421</v>
      </c>
      <c r="F6" s="623"/>
      <c r="G6" s="624">
        <v>0</v>
      </c>
      <c r="H6" s="621">
        <v>7623</v>
      </c>
      <c r="I6" s="589">
        <f t="shared" ref="I6:I18" si="0">SUM(D6:H6)</f>
        <v>9211</v>
      </c>
      <c r="J6" s="630" t="s">
        <v>663</v>
      </c>
      <c r="K6" s="625">
        <f>4420+690</f>
        <v>5110</v>
      </c>
      <c r="L6" s="623">
        <v>0</v>
      </c>
      <c r="M6" s="623">
        <v>372</v>
      </c>
      <c r="N6" s="624">
        <v>0</v>
      </c>
      <c r="O6" s="626">
        <v>3150</v>
      </c>
      <c r="P6" s="589">
        <f t="shared" ref="P6:P18" si="1">K6+L6+M6+N6+O6</f>
        <v>8632</v>
      </c>
      <c r="Q6" s="589">
        <f t="shared" ref="Q6:Q19" si="2">I6+P6</f>
        <v>17843</v>
      </c>
      <c r="R6" s="554">
        <v>17769</v>
      </c>
      <c r="S6" s="423">
        <f>Q6-R6</f>
        <v>74</v>
      </c>
      <c r="T6" s="555">
        <v>0</v>
      </c>
    </row>
    <row r="7" spans="1:23" x14ac:dyDescent="0.2">
      <c r="A7" s="556" t="s">
        <v>664</v>
      </c>
      <c r="B7" s="545">
        <v>584</v>
      </c>
      <c r="C7" s="549"/>
      <c r="D7" s="546">
        <v>292</v>
      </c>
      <c r="E7" s="547">
        <v>105</v>
      </c>
      <c r="F7" s="547"/>
      <c r="G7" s="548">
        <v>0</v>
      </c>
      <c r="H7" s="549">
        <v>1908</v>
      </c>
      <c r="I7" s="550">
        <f t="shared" si="0"/>
        <v>2305</v>
      </c>
      <c r="J7" s="557" t="s">
        <v>664</v>
      </c>
      <c r="K7" s="551">
        <v>210</v>
      </c>
      <c r="L7" s="547">
        <v>0</v>
      </c>
      <c r="M7" s="547">
        <v>241</v>
      </c>
      <c r="N7" s="57">
        <v>0</v>
      </c>
      <c r="O7" s="552">
        <v>0</v>
      </c>
      <c r="P7" s="550">
        <f t="shared" si="1"/>
        <v>451</v>
      </c>
      <c r="Q7" s="553">
        <f t="shared" si="2"/>
        <v>2756</v>
      </c>
      <c r="R7" s="558">
        <v>2733</v>
      </c>
      <c r="S7" s="423">
        <f t="shared" ref="S7:S20" si="3">Q7-R7</f>
        <v>23</v>
      </c>
      <c r="T7" s="559">
        <v>0</v>
      </c>
    </row>
    <row r="8" spans="1:23" x14ac:dyDescent="0.2">
      <c r="A8" s="556" t="s">
        <v>665</v>
      </c>
      <c r="B8" s="545">
        <v>2231</v>
      </c>
      <c r="C8" s="549"/>
      <c r="D8" s="546">
        <v>1116</v>
      </c>
      <c r="E8" s="547">
        <v>402</v>
      </c>
      <c r="F8" s="547"/>
      <c r="G8" s="548">
        <v>0</v>
      </c>
      <c r="H8" s="549">
        <v>7287</v>
      </c>
      <c r="I8" s="550">
        <f>SUM(D8:H8)</f>
        <v>8805</v>
      </c>
      <c r="J8" s="557" t="s">
        <v>665</v>
      </c>
      <c r="K8" s="551">
        <v>0</v>
      </c>
      <c r="L8" s="547">
        <v>0</v>
      </c>
      <c r="M8" s="547">
        <v>1029</v>
      </c>
      <c r="N8" s="57">
        <v>0</v>
      </c>
      <c r="O8" s="552">
        <v>0</v>
      </c>
      <c r="P8" s="550">
        <f t="shared" si="1"/>
        <v>1029</v>
      </c>
      <c r="Q8" s="553">
        <f t="shared" si="2"/>
        <v>9834</v>
      </c>
      <c r="R8" s="558">
        <v>9993</v>
      </c>
      <c r="S8" s="423">
        <f t="shared" si="3"/>
        <v>-159</v>
      </c>
      <c r="T8" s="559">
        <v>0</v>
      </c>
    </row>
    <row r="9" spans="1:23" x14ac:dyDescent="0.2">
      <c r="A9" s="556" t="s">
        <v>666</v>
      </c>
      <c r="B9" s="545">
        <v>1817</v>
      </c>
      <c r="C9" s="549"/>
      <c r="D9" s="546">
        <v>908</v>
      </c>
      <c r="E9" s="547">
        <v>328</v>
      </c>
      <c r="F9" s="547"/>
      <c r="G9" s="548">
        <v>0</v>
      </c>
      <c r="H9" s="549">
        <v>5935</v>
      </c>
      <c r="I9" s="550">
        <f>SUM(D9:H9)</f>
        <v>7171</v>
      </c>
      <c r="J9" s="557" t="s">
        <v>666</v>
      </c>
      <c r="K9" s="551">
        <v>0</v>
      </c>
      <c r="L9" s="547">
        <v>0</v>
      </c>
      <c r="M9" s="547">
        <v>854</v>
      </c>
      <c r="N9" s="57">
        <v>0</v>
      </c>
      <c r="O9" s="552">
        <v>0</v>
      </c>
      <c r="P9" s="550">
        <f t="shared" si="1"/>
        <v>854</v>
      </c>
      <c r="Q9" s="553">
        <f t="shared" si="2"/>
        <v>8025</v>
      </c>
      <c r="R9" s="558">
        <v>7944</v>
      </c>
      <c r="S9" s="423">
        <f t="shared" si="3"/>
        <v>81</v>
      </c>
      <c r="T9" s="559">
        <v>0</v>
      </c>
      <c r="U9" s="560"/>
    </row>
    <row r="10" spans="1:23" x14ac:dyDescent="0.2">
      <c r="A10" s="556" t="s">
        <v>667</v>
      </c>
      <c r="B10" s="545">
        <v>633</v>
      </c>
      <c r="C10" s="549"/>
      <c r="D10" s="546">
        <v>317</v>
      </c>
      <c r="E10" s="547">
        <v>114</v>
      </c>
      <c r="F10" s="547"/>
      <c r="G10" s="548">
        <v>0</v>
      </c>
      <c r="H10" s="549">
        <v>1378</v>
      </c>
      <c r="I10" s="550">
        <f t="shared" si="0"/>
        <v>1809</v>
      </c>
      <c r="J10" s="557" t="s">
        <v>667</v>
      </c>
      <c r="K10" s="551">
        <v>0</v>
      </c>
      <c r="L10" s="547">
        <v>0</v>
      </c>
      <c r="M10" s="547">
        <v>635</v>
      </c>
      <c r="N10" s="57">
        <v>0</v>
      </c>
      <c r="O10" s="552">
        <v>225</v>
      </c>
      <c r="P10" s="550">
        <f t="shared" si="1"/>
        <v>860</v>
      </c>
      <c r="Q10" s="553">
        <f t="shared" si="2"/>
        <v>2669</v>
      </c>
      <c r="R10" s="558">
        <v>2542</v>
      </c>
      <c r="S10" s="423">
        <f t="shared" si="3"/>
        <v>127</v>
      </c>
      <c r="T10" s="559">
        <v>0</v>
      </c>
    </row>
    <row r="11" spans="1:23" x14ac:dyDescent="0.2">
      <c r="A11" s="556" t="s">
        <v>668</v>
      </c>
      <c r="B11" s="545">
        <v>539</v>
      </c>
      <c r="C11" s="549"/>
      <c r="D11" s="546">
        <v>270</v>
      </c>
      <c r="E11" s="547">
        <v>97</v>
      </c>
      <c r="F11" s="547"/>
      <c r="G11" s="548">
        <v>0</v>
      </c>
      <c r="H11" s="549">
        <v>1174</v>
      </c>
      <c r="I11" s="550">
        <f t="shared" si="0"/>
        <v>1541</v>
      </c>
      <c r="J11" s="557" t="s">
        <v>668</v>
      </c>
      <c r="K11" s="551">
        <v>210</v>
      </c>
      <c r="L11" s="547">
        <v>0</v>
      </c>
      <c r="M11" s="547">
        <v>306</v>
      </c>
      <c r="N11" s="57">
        <v>0</v>
      </c>
      <c r="O11" s="552">
        <v>0</v>
      </c>
      <c r="P11" s="550">
        <f t="shared" si="1"/>
        <v>516</v>
      </c>
      <c r="Q11" s="553">
        <f t="shared" si="2"/>
        <v>2057</v>
      </c>
      <c r="R11" s="558">
        <v>1996</v>
      </c>
      <c r="S11" s="423">
        <f t="shared" si="3"/>
        <v>61</v>
      </c>
      <c r="T11" s="559">
        <v>0</v>
      </c>
    </row>
    <row r="12" spans="1:23" x14ac:dyDescent="0.2">
      <c r="A12" s="556" t="s">
        <v>669</v>
      </c>
      <c r="B12" s="545">
        <v>1438</v>
      </c>
      <c r="C12" s="549"/>
      <c r="D12" s="546">
        <v>719</v>
      </c>
      <c r="E12" s="547">
        <v>260</v>
      </c>
      <c r="F12" s="547"/>
      <c r="G12" s="548">
        <v>0</v>
      </c>
      <c r="H12" s="549">
        <v>3131</v>
      </c>
      <c r="I12" s="550">
        <f t="shared" si="0"/>
        <v>4110</v>
      </c>
      <c r="J12" s="557" t="s">
        <v>669</v>
      </c>
      <c r="K12" s="551">
        <v>0</v>
      </c>
      <c r="L12" s="547">
        <v>0</v>
      </c>
      <c r="M12" s="547">
        <v>0</v>
      </c>
      <c r="N12" s="57">
        <v>0</v>
      </c>
      <c r="O12" s="552">
        <v>1825</v>
      </c>
      <c r="P12" s="550">
        <f t="shared" si="1"/>
        <v>1825</v>
      </c>
      <c r="Q12" s="553">
        <f t="shared" si="2"/>
        <v>5935</v>
      </c>
      <c r="R12" s="558">
        <v>5935</v>
      </c>
      <c r="S12" s="423">
        <f t="shared" si="3"/>
        <v>0</v>
      </c>
      <c r="T12" s="559">
        <v>0</v>
      </c>
    </row>
    <row r="13" spans="1:23" x14ac:dyDescent="0.2">
      <c r="A13" s="556" t="s">
        <v>670</v>
      </c>
      <c r="B13" s="545">
        <v>547</v>
      </c>
      <c r="C13" s="549"/>
      <c r="D13" s="546">
        <v>273</v>
      </c>
      <c r="E13" s="547">
        <v>99</v>
      </c>
      <c r="F13" s="547"/>
      <c r="G13" s="548">
        <v>0</v>
      </c>
      <c r="H13" s="549">
        <v>1191</v>
      </c>
      <c r="I13" s="550">
        <f t="shared" si="0"/>
        <v>1563</v>
      </c>
      <c r="J13" s="557" t="s">
        <v>670</v>
      </c>
      <c r="K13" s="551">
        <v>210</v>
      </c>
      <c r="L13" s="547">
        <v>0</v>
      </c>
      <c r="M13" s="547">
        <v>701</v>
      </c>
      <c r="N13" s="57">
        <v>0</v>
      </c>
      <c r="O13" s="552">
        <v>0</v>
      </c>
      <c r="P13" s="550">
        <f t="shared" si="1"/>
        <v>911</v>
      </c>
      <c r="Q13" s="553">
        <f t="shared" si="2"/>
        <v>2474</v>
      </c>
      <c r="R13" s="558">
        <v>2582</v>
      </c>
      <c r="S13" s="423">
        <f t="shared" si="3"/>
        <v>-108</v>
      </c>
      <c r="T13" s="559">
        <v>0</v>
      </c>
      <c r="U13" s="561"/>
    </row>
    <row r="14" spans="1:23" x14ac:dyDescent="0.2">
      <c r="A14" s="556" t="s">
        <v>671</v>
      </c>
      <c r="B14" s="545">
        <v>392</v>
      </c>
      <c r="C14" s="549"/>
      <c r="D14" s="546">
        <v>196</v>
      </c>
      <c r="E14" s="547">
        <v>71</v>
      </c>
      <c r="F14" s="547"/>
      <c r="G14" s="548">
        <v>0</v>
      </c>
      <c r="H14" s="549">
        <v>854</v>
      </c>
      <c r="I14" s="550">
        <f>SUM(D14:H14)</f>
        <v>1121</v>
      </c>
      <c r="J14" s="557" t="s">
        <v>671</v>
      </c>
      <c r="K14" s="551">
        <v>210</v>
      </c>
      <c r="L14" s="547">
        <v>0</v>
      </c>
      <c r="M14" s="547">
        <v>876</v>
      </c>
      <c r="N14" s="57">
        <v>0</v>
      </c>
      <c r="O14" s="552">
        <v>0</v>
      </c>
      <c r="P14" s="550">
        <f t="shared" si="1"/>
        <v>1086</v>
      </c>
      <c r="Q14" s="553">
        <f t="shared" si="2"/>
        <v>2207</v>
      </c>
      <c r="R14" s="558">
        <v>2342</v>
      </c>
      <c r="S14" s="423">
        <f t="shared" si="3"/>
        <v>-135</v>
      </c>
      <c r="T14" s="559">
        <v>0</v>
      </c>
      <c r="U14" s="562"/>
    </row>
    <row r="15" spans="1:23" x14ac:dyDescent="0.2">
      <c r="A15" s="556" t="s">
        <v>672</v>
      </c>
      <c r="B15" s="545">
        <v>434</v>
      </c>
      <c r="C15" s="549"/>
      <c r="D15" s="546">
        <v>217</v>
      </c>
      <c r="E15" s="547">
        <v>78</v>
      </c>
      <c r="F15" s="547"/>
      <c r="G15" s="548">
        <v>0</v>
      </c>
      <c r="H15" s="549">
        <v>945</v>
      </c>
      <c r="I15" s="550">
        <f t="shared" si="0"/>
        <v>1240</v>
      </c>
      <c r="J15" s="557" t="s">
        <v>672</v>
      </c>
      <c r="K15" s="551">
        <v>0</v>
      </c>
      <c r="L15" s="547">
        <v>0</v>
      </c>
      <c r="M15" s="547">
        <v>328</v>
      </c>
      <c r="N15" s="57">
        <v>0</v>
      </c>
      <c r="O15" s="552">
        <v>0</v>
      </c>
      <c r="P15" s="550">
        <f t="shared" si="1"/>
        <v>328</v>
      </c>
      <c r="Q15" s="553">
        <f t="shared" si="2"/>
        <v>1568</v>
      </c>
      <c r="R15" s="558">
        <v>1537</v>
      </c>
      <c r="S15" s="423">
        <f t="shared" si="3"/>
        <v>31</v>
      </c>
      <c r="T15" s="559">
        <v>0</v>
      </c>
      <c r="U15" s="562"/>
    </row>
    <row r="16" spans="1:23" x14ac:dyDescent="0.2">
      <c r="A16" s="556" t="s">
        <v>673</v>
      </c>
      <c r="B16" s="545">
        <v>675</v>
      </c>
      <c r="C16" s="549"/>
      <c r="D16" s="546">
        <v>338</v>
      </c>
      <c r="E16" s="547">
        <v>122</v>
      </c>
      <c r="F16" s="547"/>
      <c r="G16" s="548">
        <v>0</v>
      </c>
      <c r="H16" s="549">
        <v>2205</v>
      </c>
      <c r="I16" s="550">
        <f t="shared" si="0"/>
        <v>2665</v>
      </c>
      <c r="J16" s="557" t="s">
        <v>673</v>
      </c>
      <c r="K16" s="551">
        <v>210</v>
      </c>
      <c r="L16" s="547">
        <v>0</v>
      </c>
      <c r="M16" s="547">
        <v>219</v>
      </c>
      <c r="N16" s="57">
        <v>0</v>
      </c>
      <c r="O16" s="552">
        <v>0</v>
      </c>
      <c r="P16" s="550">
        <f t="shared" si="1"/>
        <v>429</v>
      </c>
      <c r="Q16" s="553">
        <f t="shared" si="2"/>
        <v>3094</v>
      </c>
      <c r="R16" s="558">
        <v>3050</v>
      </c>
      <c r="S16" s="423">
        <f t="shared" si="3"/>
        <v>44</v>
      </c>
      <c r="T16" s="559">
        <v>0</v>
      </c>
      <c r="U16" s="562"/>
    </row>
    <row r="17" spans="1:21" x14ac:dyDescent="0.2">
      <c r="A17" s="556" t="s">
        <v>674</v>
      </c>
      <c r="B17" s="545">
        <v>581</v>
      </c>
      <c r="C17" s="549"/>
      <c r="D17" s="546">
        <v>291</v>
      </c>
      <c r="E17" s="565">
        <v>105</v>
      </c>
      <c r="F17" s="547"/>
      <c r="G17" s="57">
        <v>0</v>
      </c>
      <c r="H17" s="549">
        <v>1265</v>
      </c>
      <c r="I17" s="563">
        <f>SUM(D17:H17)</f>
        <v>1661</v>
      </c>
      <c r="J17" s="557" t="s">
        <v>674</v>
      </c>
      <c r="K17" s="564">
        <v>0</v>
      </c>
      <c r="L17" s="547">
        <v>0</v>
      </c>
      <c r="M17" s="565">
        <v>591</v>
      </c>
      <c r="N17" s="57">
        <v>0</v>
      </c>
      <c r="O17" s="552">
        <v>0</v>
      </c>
      <c r="P17" s="550">
        <f t="shared" si="1"/>
        <v>591</v>
      </c>
      <c r="Q17" s="566">
        <f t="shared" si="2"/>
        <v>2252</v>
      </c>
      <c r="R17" s="558">
        <v>2196</v>
      </c>
      <c r="S17" s="423">
        <f t="shared" si="3"/>
        <v>56</v>
      </c>
      <c r="T17" s="559">
        <v>0</v>
      </c>
      <c r="U17" s="562"/>
    </row>
    <row r="18" spans="1:21" x14ac:dyDescent="0.2">
      <c r="A18" s="556" t="s">
        <v>675</v>
      </c>
      <c r="B18" s="545">
        <v>228</v>
      </c>
      <c r="C18" s="549"/>
      <c r="D18" s="546">
        <v>114</v>
      </c>
      <c r="E18" s="565">
        <v>41</v>
      </c>
      <c r="F18" s="547"/>
      <c r="G18" s="57">
        <v>0</v>
      </c>
      <c r="H18" s="549">
        <v>496</v>
      </c>
      <c r="I18" s="563">
        <f t="shared" si="0"/>
        <v>651</v>
      </c>
      <c r="J18" s="557" t="s">
        <v>675</v>
      </c>
      <c r="K18" s="564">
        <v>0</v>
      </c>
      <c r="L18" s="547">
        <v>0</v>
      </c>
      <c r="M18" s="565">
        <v>613</v>
      </c>
      <c r="N18" s="57">
        <v>0</v>
      </c>
      <c r="O18" s="552">
        <v>0</v>
      </c>
      <c r="P18" s="550">
        <f t="shared" si="1"/>
        <v>613</v>
      </c>
      <c r="Q18" s="566">
        <f t="shared" si="2"/>
        <v>1264</v>
      </c>
      <c r="R18" s="558">
        <v>1359</v>
      </c>
      <c r="S18" s="423">
        <f t="shared" si="3"/>
        <v>-95</v>
      </c>
      <c r="T18" s="559">
        <v>0</v>
      </c>
      <c r="U18" s="561"/>
    </row>
    <row r="19" spans="1:21" hidden="1" x14ac:dyDescent="0.2">
      <c r="A19" s="567" t="s">
        <v>676</v>
      </c>
      <c r="B19" s="568"/>
      <c r="C19" s="627"/>
      <c r="D19" s="546"/>
      <c r="E19" s="565"/>
      <c r="F19" s="565"/>
      <c r="G19" s="57"/>
      <c r="H19" s="569"/>
      <c r="I19" s="563"/>
      <c r="J19" s="570" t="s">
        <v>676</v>
      </c>
      <c r="K19" s="564"/>
      <c r="L19" s="547">
        <f>[3]Jelzőrendszer!C31</f>
        <v>0</v>
      </c>
      <c r="M19" s="565">
        <f>SUM('[3]Családsegítés, gyerm.jólét'!V57)</f>
        <v>0</v>
      </c>
      <c r="N19" s="57"/>
      <c r="O19" s="552">
        <f>'[3]Püg.,TV, étkeztetés '!C33+'[3]Püg.,TV, étkeztetés '!H33</f>
        <v>2200</v>
      </c>
      <c r="P19" s="563" t="e">
        <f>K19+#REF!+M19+N19+O19</f>
        <v>#REF!</v>
      </c>
      <c r="Q19" s="566" t="e">
        <f t="shared" si="2"/>
        <v>#REF!</v>
      </c>
      <c r="R19" s="558" t="e">
        <v>#REF!</v>
      </c>
      <c r="S19" s="423" t="e">
        <f t="shared" si="3"/>
        <v>#REF!</v>
      </c>
      <c r="T19" s="559"/>
    </row>
    <row r="20" spans="1:21" ht="13.5" thickBot="1" x14ac:dyDescent="0.25">
      <c r="A20" s="571" t="s">
        <v>44</v>
      </c>
      <c r="B20" s="572">
        <f>SUM(B6:B19)</f>
        <v>12433</v>
      </c>
      <c r="C20" s="575"/>
      <c r="D20" s="573">
        <f t="shared" ref="D20:I20" si="4">SUM(D6:D18)</f>
        <v>6218</v>
      </c>
      <c r="E20" s="574">
        <f t="shared" si="4"/>
        <v>2243</v>
      </c>
      <c r="F20" s="574">
        <f t="shared" si="4"/>
        <v>0</v>
      </c>
      <c r="G20" s="574">
        <f t="shared" si="4"/>
        <v>0</v>
      </c>
      <c r="H20" s="575">
        <f t="shared" si="4"/>
        <v>35392</v>
      </c>
      <c r="I20" s="572">
        <f t="shared" si="4"/>
        <v>43853</v>
      </c>
      <c r="J20" s="576" t="s">
        <v>44</v>
      </c>
      <c r="K20" s="573">
        <f>SUM(K6:K18)</f>
        <v>6160</v>
      </c>
      <c r="L20" s="573">
        <f>SUM(L6:L18)</f>
        <v>0</v>
      </c>
      <c r="M20" s="574">
        <f>SUM(M6:M19)</f>
        <v>6765</v>
      </c>
      <c r="N20" s="574">
        <f>SUM(N6:N18)</f>
        <v>0</v>
      </c>
      <c r="O20" s="577">
        <f>SUM(O6:O18)</f>
        <v>5200</v>
      </c>
      <c r="P20" s="572">
        <f>SUM(K20:O20)</f>
        <v>18125</v>
      </c>
      <c r="Q20" s="572">
        <f>SUM(Q6:Q18)</f>
        <v>61978</v>
      </c>
      <c r="R20" s="578">
        <f>SUM(R6:R18)</f>
        <v>61978</v>
      </c>
      <c r="S20" s="582">
        <f t="shared" si="3"/>
        <v>0</v>
      </c>
      <c r="T20" s="579">
        <f>SUM(T6:T18)</f>
        <v>0</v>
      </c>
    </row>
    <row r="21" spans="1:21" hidden="1" x14ac:dyDescent="0.2">
      <c r="A21" s="580"/>
      <c r="B21" s="580"/>
      <c r="C21" s="580"/>
      <c r="D21" s="580"/>
      <c r="E21" s="423">
        <f>SUM(D20+E20+F20)</f>
        <v>8461</v>
      </c>
      <c r="G21" s="581"/>
      <c r="H21" s="581"/>
      <c r="I21" s="581"/>
      <c r="J21" s="580"/>
      <c r="K21" s="580"/>
      <c r="L21" s="580"/>
      <c r="M21" s="580"/>
      <c r="N21" s="580"/>
      <c r="O21" s="580"/>
      <c r="P21" s="581"/>
      <c r="Q21" s="581"/>
      <c r="R21" s="582"/>
      <c r="S21" s="423"/>
    </row>
    <row r="22" spans="1:21" x14ac:dyDescent="0.2">
      <c r="L22" s="580"/>
      <c r="P22" s="581"/>
    </row>
    <row r="23" spans="1:21" ht="20.25" hidden="1" customHeight="1" x14ac:dyDescent="0.2">
      <c r="A23" s="777" t="s">
        <v>648</v>
      </c>
      <c r="B23" s="781" t="s">
        <v>998</v>
      </c>
      <c r="C23" s="783" t="s">
        <v>677</v>
      </c>
      <c r="G23" s="583"/>
      <c r="P23"/>
      <c r="S23"/>
    </row>
    <row r="24" spans="1:21" ht="57" hidden="1" customHeight="1" thickBot="1" x14ac:dyDescent="0.25">
      <c r="A24" s="778"/>
      <c r="B24" s="782"/>
      <c r="C24" s="784"/>
      <c r="P24"/>
      <c r="S24"/>
    </row>
    <row r="25" spans="1:21" hidden="1" x14ac:dyDescent="0.2">
      <c r="A25" s="544" t="s">
        <v>663</v>
      </c>
      <c r="B25" s="584">
        <v>339</v>
      </c>
      <c r="C25" s="585">
        <v>3640</v>
      </c>
      <c r="P25"/>
      <c r="S25"/>
    </row>
    <row r="26" spans="1:21" hidden="1" x14ac:dyDescent="0.2">
      <c r="A26" s="556" t="s">
        <v>664</v>
      </c>
      <c r="B26" s="584">
        <v>21</v>
      </c>
      <c r="C26" s="585">
        <v>642</v>
      </c>
      <c r="P26"/>
      <c r="S26"/>
    </row>
    <row r="27" spans="1:21" hidden="1" x14ac:dyDescent="0.2">
      <c r="A27" s="556" t="s">
        <v>665</v>
      </c>
      <c r="B27" s="584">
        <v>242</v>
      </c>
      <c r="C27" s="585">
        <v>2891</v>
      </c>
      <c r="P27"/>
      <c r="S27"/>
    </row>
    <row r="28" spans="1:21" hidden="1" x14ac:dyDescent="0.2">
      <c r="A28" s="556" t="s">
        <v>666</v>
      </c>
      <c r="B28" s="584">
        <v>0</v>
      </c>
      <c r="C28" s="585">
        <v>0</v>
      </c>
      <c r="P28"/>
      <c r="S28"/>
    </row>
    <row r="29" spans="1:21" hidden="1" x14ac:dyDescent="0.2">
      <c r="A29" s="556" t="s">
        <v>667</v>
      </c>
      <c r="B29" s="584">
        <v>50</v>
      </c>
      <c r="C29" s="585">
        <v>642</v>
      </c>
      <c r="P29"/>
      <c r="S29"/>
    </row>
    <row r="30" spans="1:21" hidden="1" x14ac:dyDescent="0.2">
      <c r="A30" s="556" t="s">
        <v>668</v>
      </c>
      <c r="B30" s="584">
        <v>44</v>
      </c>
      <c r="C30" s="585">
        <v>642</v>
      </c>
      <c r="P30"/>
      <c r="S30"/>
    </row>
    <row r="31" spans="1:21" hidden="1" x14ac:dyDescent="0.2">
      <c r="A31" s="556" t="s">
        <v>669</v>
      </c>
      <c r="B31" s="584">
        <v>123</v>
      </c>
      <c r="C31" s="585">
        <v>1499</v>
      </c>
      <c r="P31"/>
      <c r="S31"/>
    </row>
    <row r="32" spans="1:21" hidden="1" x14ac:dyDescent="0.2">
      <c r="A32" s="556" t="s">
        <v>670</v>
      </c>
      <c r="B32" s="584">
        <v>65</v>
      </c>
      <c r="C32" s="585">
        <v>642</v>
      </c>
      <c r="P32"/>
      <c r="S32"/>
    </row>
    <row r="33" spans="1:19" hidden="1" x14ac:dyDescent="0.2">
      <c r="A33" s="556" t="s">
        <v>671</v>
      </c>
      <c r="B33" s="584">
        <v>67</v>
      </c>
      <c r="C33" s="585">
        <v>642</v>
      </c>
      <c r="P33"/>
      <c r="S33"/>
    </row>
    <row r="34" spans="1:19" hidden="1" x14ac:dyDescent="0.2">
      <c r="A34" s="556" t="s">
        <v>672</v>
      </c>
      <c r="B34" s="584">
        <v>19</v>
      </c>
      <c r="C34" s="585">
        <v>108</v>
      </c>
      <c r="P34"/>
      <c r="S34"/>
    </row>
    <row r="35" spans="1:19" hidden="1" x14ac:dyDescent="0.2">
      <c r="A35" s="556" t="s">
        <v>673</v>
      </c>
      <c r="B35" s="584">
        <v>47</v>
      </c>
      <c r="C35" s="585">
        <v>322</v>
      </c>
      <c r="P35"/>
      <c r="S35"/>
    </row>
    <row r="36" spans="1:19" hidden="1" x14ac:dyDescent="0.2">
      <c r="A36" s="556" t="s">
        <v>674</v>
      </c>
      <c r="B36" s="584">
        <v>65</v>
      </c>
      <c r="C36" s="586">
        <v>642</v>
      </c>
      <c r="P36"/>
      <c r="S36"/>
    </row>
    <row r="37" spans="1:19" hidden="1" x14ac:dyDescent="0.2">
      <c r="A37" s="556" t="s">
        <v>675</v>
      </c>
      <c r="B37" s="584">
        <v>0</v>
      </c>
      <c r="C37" s="586">
        <v>0</v>
      </c>
      <c r="P37"/>
      <c r="S37"/>
    </row>
    <row r="38" spans="1:19" ht="13.5" hidden="1" thickBot="1" x14ac:dyDescent="0.25">
      <c r="A38" s="571" t="s">
        <v>44</v>
      </c>
      <c r="B38" s="587">
        <f>SUM(B25:B37)</f>
        <v>1082</v>
      </c>
      <c r="C38" s="588">
        <f>SUM(C25:C37)</f>
        <v>12312</v>
      </c>
      <c r="P38"/>
      <c r="S38"/>
    </row>
    <row r="39" spans="1:19" hidden="1" x14ac:dyDescent="0.2">
      <c r="P39"/>
      <c r="S39"/>
    </row>
    <row r="40" spans="1:19" ht="12.75" hidden="1" customHeight="1" x14ac:dyDescent="0.2">
      <c r="B40" s="628"/>
      <c r="C40" s="628"/>
      <c r="P40"/>
      <c r="S40"/>
    </row>
    <row r="41" spans="1:19" x14ac:dyDescent="0.2">
      <c r="B41" s="628"/>
    </row>
    <row r="42" spans="1:19" x14ac:dyDescent="0.2">
      <c r="B42" s="628"/>
    </row>
    <row r="43" spans="1:19" x14ac:dyDescent="0.2">
      <c r="B43" s="628"/>
    </row>
    <row r="44" spans="1:19" x14ac:dyDescent="0.2">
      <c r="B44" s="628"/>
    </row>
    <row r="45" spans="1:19" x14ac:dyDescent="0.2">
      <c r="B45" s="628"/>
    </row>
    <row r="46" spans="1:19" x14ac:dyDescent="0.2">
      <c r="B46" s="628"/>
    </row>
    <row r="47" spans="1:19" x14ac:dyDescent="0.2">
      <c r="B47" s="628"/>
    </row>
    <row r="48" spans="1:19" x14ac:dyDescent="0.2">
      <c r="B48" s="628"/>
    </row>
    <row r="49" spans="2:2" x14ac:dyDescent="0.2">
      <c r="B49" s="628"/>
    </row>
    <row r="50" spans="2:2" x14ac:dyDescent="0.2">
      <c r="B50" s="628"/>
    </row>
    <row r="51" spans="2:2" x14ac:dyDescent="0.2">
      <c r="B51" s="628"/>
    </row>
    <row r="52" spans="2:2" x14ac:dyDescent="0.2">
      <c r="B52" s="628"/>
    </row>
    <row r="53" spans="2:2" x14ac:dyDescent="0.2">
      <c r="B53" s="628"/>
    </row>
    <row r="54" spans="2:2" x14ac:dyDescent="0.2">
      <c r="B54" s="628"/>
    </row>
    <row r="55" spans="2:2" x14ac:dyDescent="0.2">
      <c r="B55" s="628"/>
    </row>
    <row r="56" spans="2:2" x14ac:dyDescent="0.2">
      <c r="B56" s="628"/>
    </row>
    <row r="57" spans="2:2" x14ac:dyDescent="0.2">
      <c r="B57" s="628"/>
    </row>
    <row r="58" spans="2:2" x14ac:dyDescent="0.2">
      <c r="B58" s="628"/>
    </row>
    <row r="59" spans="2:2" x14ac:dyDescent="0.2">
      <c r="B59" s="628"/>
    </row>
  </sheetData>
  <mergeCells count="11">
    <mergeCell ref="T4:T5"/>
    <mergeCell ref="A4:A5"/>
    <mergeCell ref="B4:B5"/>
    <mergeCell ref="A23:A24"/>
    <mergeCell ref="B23:B24"/>
    <mergeCell ref="C23:C24"/>
    <mergeCell ref="Q4:Q5"/>
    <mergeCell ref="R4:R5"/>
    <mergeCell ref="D4:I4"/>
    <mergeCell ref="J4:J5"/>
    <mergeCell ref="K4:P4"/>
  </mergeCells>
  <pageMargins left="0.39370078740157483" right="0.19685039370078741" top="0.27559055118110237" bottom="0.47244094488188981" header="0.27559055118110237" footer="0.31496062992125984"/>
  <pageSetup paperSize="9" scale="7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41"/>
  <sheetViews>
    <sheetView zoomScaleNormal="100" workbookViewId="0">
      <selection activeCell="P3" sqref="P3"/>
    </sheetView>
  </sheetViews>
  <sheetFormatPr defaultRowHeight="15" x14ac:dyDescent="0.25"/>
  <cols>
    <col min="1" max="1" width="21.140625" style="311" customWidth="1"/>
    <col min="2" max="2" width="10.28515625" style="311" customWidth="1"/>
    <col min="3" max="4" width="10.42578125" style="311" customWidth="1"/>
    <col min="5" max="5" width="9.7109375" style="311" customWidth="1"/>
    <col min="6" max="6" width="9.42578125" style="311" customWidth="1"/>
    <col min="7" max="7" width="9.85546875" style="311" customWidth="1"/>
    <col min="8" max="8" width="10.28515625" style="311" customWidth="1"/>
    <col min="9" max="9" width="9.7109375" style="311" customWidth="1"/>
    <col min="10" max="10" width="9.85546875" style="311" customWidth="1"/>
    <col min="11" max="11" width="10.42578125" style="311" customWidth="1"/>
    <col min="12" max="12" width="9" style="311" customWidth="1"/>
    <col min="13" max="13" width="9.85546875" style="311" customWidth="1"/>
    <col min="14" max="14" width="10.7109375" style="311" customWidth="1"/>
    <col min="15" max="15" width="9.7109375" style="311" customWidth="1"/>
    <col min="16" max="16" width="11.28515625" style="311" customWidth="1"/>
    <col min="17" max="16384" width="9.140625" style="311"/>
  </cols>
  <sheetData>
    <row r="1" spans="1:20" ht="15.75" x14ac:dyDescent="0.25">
      <c r="A1" s="798" t="s">
        <v>447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8"/>
      <c r="O1" s="798"/>
      <c r="P1" s="798"/>
    </row>
    <row r="2" spans="1:20" x14ac:dyDescent="0.2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83" t="s">
        <v>511</v>
      </c>
    </row>
    <row r="3" spans="1:20" ht="15" customHeight="1" x14ac:dyDescent="0.25">
      <c r="A3" s="313" t="s">
        <v>448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</row>
    <row r="4" spans="1:20" x14ac:dyDescent="0.25">
      <c r="A4" s="313" t="s">
        <v>449</v>
      </c>
    </row>
    <row r="5" spans="1:20" x14ac:dyDescent="0.25">
      <c r="A5" s="313" t="s">
        <v>450</v>
      </c>
    </row>
    <row r="6" spans="1:20" x14ac:dyDescent="0.25">
      <c r="A6" s="313" t="s">
        <v>451</v>
      </c>
    </row>
    <row r="7" spans="1:20" ht="15.75" thickBot="1" x14ac:dyDescent="0.3"/>
    <row r="8" spans="1:20" x14ac:dyDescent="0.25">
      <c r="A8" s="799" t="s">
        <v>452</v>
      </c>
      <c r="B8" s="801" t="s">
        <v>453</v>
      </c>
      <c r="C8" s="802"/>
      <c r="D8" s="803"/>
      <c r="E8" s="801" t="s">
        <v>454</v>
      </c>
      <c r="F8" s="802"/>
      <c r="G8" s="803"/>
      <c r="H8" s="801" t="s">
        <v>455</v>
      </c>
      <c r="I8" s="802"/>
      <c r="J8" s="803"/>
      <c r="K8" s="801" t="s">
        <v>456</v>
      </c>
      <c r="L8" s="802"/>
      <c r="M8" s="803"/>
      <c r="N8" s="804" t="s">
        <v>44</v>
      </c>
      <c r="O8" s="804"/>
      <c r="P8" s="805"/>
      <c r="Q8" s="313"/>
      <c r="R8" s="313"/>
      <c r="S8" s="313"/>
    </row>
    <row r="9" spans="1:20" ht="15.75" thickBot="1" x14ac:dyDescent="0.3">
      <c r="A9" s="800"/>
      <c r="B9" s="315" t="s">
        <v>457</v>
      </c>
      <c r="C9" s="315" t="s">
        <v>458</v>
      </c>
      <c r="D9" s="315" t="s">
        <v>459</v>
      </c>
      <c r="E9" s="315" t="s">
        <v>457</v>
      </c>
      <c r="F9" s="315" t="s">
        <v>458</v>
      </c>
      <c r="G9" s="315" t="s">
        <v>459</v>
      </c>
      <c r="H9" s="315" t="s">
        <v>457</v>
      </c>
      <c r="I9" s="315" t="s">
        <v>458</v>
      </c>
      <c r="J9" s="315" t="s">
        <v>459</v>
      </c>
      <c r="K9" s="315" t="s">
        <v>457</v>
      </c>
      <c r="L9" s="315" t="s">
        <v>458</v>
      </c>
      <c r="M9" s="315" t="s">
        <v>459</v>
      </c>
      <c r="N9" s="315" t="s">
        <v>457</v>
      </c>
      <c r="O9" s="315" t="s">
        <v>458</v>
      </c>
      <c r="P9" s="316" t="s">
        <v>459</v>
      </c>
    </row>
    <row r="10" spans="1:20" x14ac:dyDescent="0.25">
      <c r="A10" s="317" t="s">
        <v>460</v>
      </c>
      <c r="B10" s="318">
        <v>3472866</v>
      </c>
      <c r="C10" s="318">
        <v>937674</v>
      </c>
      <c r="D10" s="318">
        <f>SUM(B10:C10)</f>
        <v>4410540</v>
      </c>
      <c r="E10" s="318">
        <v>7725555</v>
      </c>
      <c r="F10" s="318">
        <v>2085900</v>
      </c>
      <c r="G10" s="318">
        <f>SUM(E10:F10)</f>
        <v>9811455</v>
      </c>
      <c r="H10" s="318">
        <v>52964743</v>
      </c>
      <c r="I10" s="318">
        <v>14300481</v>
      </c>
      <c r="J10" s="318">
        <f>SUM(H10:I10)</f>
        <v>67265224</v>
      </c>
      <c r="K10" s="318">
        <v>32800000</v>
      </c>
      <c r="L10" s="318">
        <v>8856000</v>
      </c>
      <c r="M10" s="318">
        <f>SUM(K10:L10)</f>
        <v>41656000</v>
      </c>
      <c r="N10" s="318">
        <f>SUM(K10+H10+E10+B10)</f>
        <v>96963164</v>
      </c>
      <c r="O10" s="318">
        <f>SUM(L10+I10+F10+C10)</f>
        <v>26180055</v>
      </c>
      <c r="P10" s="318">
        <f>SUM(M10+J10+G10+D10)</f>
        <v>123143219</v>
      </c>
      <c r="Q10" s="319"/>
      <c r="R10" s="319"/>
      <c r="S10" s="319"/>
      <c r="T10" s="319"/>
    </row>
    <row r="11" spans="1:20" x14ac:dyDescent="0.25">
      <c r="A11" s="317" t="s">
        <v>460</v>
      </c>
      <c r="B11" s="320">
        <v>430635392</v>
      </c>
      <c r="C11" s="320">
        <v>116271555</v>
      </c>
      <c r="D11" s="320">
        <f t="shared" ref="D11:D25" si="0">SUM(B11:C11)</f>
        <v>546906947</v>
      </c>
      <c r="E11" s="320">
        <v>3282500</v>
      </c>
      <c r="F11" s="320">
        <v>886275</v>
      </c>
      <c r="G11" s="320">
        <f t="shared" ref="G11:G25" si="1">SUM(E11:F11)</f>
        <v>4168775</v>
      </c>
      <c r="H11" s="320">
        <v>11795100</v>
      </c>
      <c r="I11" s="320">
        <v>3184676</v>
      </c>
      <c r="J11" s="320">
        <f t="shared" ref="J11:J25" si="2">SUM(H11:I11)</f>
        <v>14979776</v>
      </c>
      <c r="K11" s="320">
        <v>45872441</v>
      </c>
      <c r="L11" s="320">
        <v>12385559</v>
      </c>
      <c r="M11" s="320">
        <f t="shared" ref="M11:M25" si="3">SUM(K11:L11)</f>
        <v>58258000</v>
      </c>
      <c r="N11" s="320">
        <f t="shared" ref="N11:N25" si="4">SUM(K11+H11+E11+B11)</f>
        <v>491585433</v>
      </c>
      <c r="O11" s="320">
        <f t="shared" ref="O11:O25" si="5">SUM(L11+I11+F11+C11)</f>
        <v>132728065</v>
      </c>
      <c r="P11" s="320">
        <f t="shared" ref="P11:P25" si="6">SUM(M11+J11+G11+D11)</f>
        <v>624313498</v>
      </c>
      <c r="Q11" s="319"/>
      <c r="R11" s="319"/>
      <c r="S11" s="319"/>
      <c r="T11" s="319"/>
    </row>
    <row r="12" spans="1:20" x14ac:dyDescent="0.25">
      <c r="A12" s="317" t="s">
        <v>460</v>
      </c>
      <c r="B12" s="320">
        <v>13891465</v>
      </c>
      <c r="C12" s="320">
        <v>3750695</v>
      </c>
      <c r="D12" s="320">
        <f t="shared" si="0"/>
        <v>17642160</v>
      </c>
      <c r="E12" s="320">
        <v>56551000</v>
      </c>
      <c r="F12" s="320">
        <v>15268770</v>
      </c>
      <c r="G12" s="320">
        <f t="shared" si="1"/>
        <v>71819770</v>
      </c>
      <c r="H12" s="320">
        <v>9500000</v>
      </c>
      <c r="I12" s="320">
        <v>2565000</v>
      </c>
      <c r="J12" s="320">
        <f t="shared" si="2"/>
        <v>12065000</v>
      </c>
      <c r="K12" s="320">
        <v>48540158</v>
      </c>
      <c r="L12" s="320">
        <v>13105842</v>
      </c>
      <c r="M12" s="320">
        <f t="shared" si="3"/>
        <v>61646000</v>
      </c>
      <c r="N12" s="320">
        <f t="shared" si="4"/>
        <v>128482623</v>
      </c>
      <c r="O12" s="320">
        <f t="shared" si="5"/>
        <v>34690307</v>
      </c>
      <c r="P12" s="320">
        <f t="shared" si="6"/>
        <v>163172930</v>
      </c>
      <c r="Q12" s="319"/>
      <c r="R12" s="319"/>
      <c r="S12" s="319"/>
      <c r="T12" s="319"/>
    </row>
    <row r="13" spans="1:20" x14ac:dyDescent="0.25">
      <c r="A13" s="317" t="s">
        <v>460</v>
      </c>
      <c r="B13" s="320">
        <v>23181381</v>
      </c>
      <c r="C13" s="320">
        <v>6258972</v>
      </c>
      <c r="D13" s="320">
        <f t="shared" si="0"/>
        <v>29440353</v>
      </c>
      <c r="E13" s="320">
        <v>0</v>
      </c>
      <c r="F13" s="320">
        <v>0</v>
      </c>
      <c r="G13" s="320">
        <f t="shared" si="1"/>
        <v>0</v>
      </c>
      <c r="H13" s="320">
        <v>22000000</v>
      </c>
      <c r="I13" s="320">
        <v>5940000</v>
      </c>
      <c r="J13" s="320">
        <f t="shared" si="2"/>
        <v>27940000</v>
      </c>
      <c r="K13" s="320">
        <v>8500000</v>
      </c>
      <c r="L13" s="320">
        <v>2295000</v>
      </c>
      <c r="M13" s="320">
        <f t="shared" si="3"/>
        <v>10795000</v>
      </c>
      <c r="N13" s="320">
        <f t="shared" si="4"/>
        <v>53681381</v>
      </c>
      <c r="O13" s="320">
        <f t="shared" si="5"/>
        <v>14493972</v>
      </c>
      <c r="P13" s="320">
        <f t="shared" si="6"/>
        <v>68175353</v>
      </c>
      <c r="Q13" s="319"/>
      <c r="R13" s="319"/>
      <c r="S13" s="319"/>
      <c r="T13" s="319"/>
    </row>
    <row r="14" spans="1:20" x14ac:dyDescent="0.25">
      <c r="A14" s="321" t="s">
        <v>460</v>
      </c>
      <c r="B14" s="322">
        <v>0</v>
      </c>
      <c r="C14" s="322">
        <v>0</v>
      </c>
      <c r="D14" s="322">
        <f t="shared" si="0"/>
        <v>0</v>
      </c>
      <c r="E14" s="322">
        <v>0</v>
      </c>
      <c r="F14" s="322">
        <v>0</v>
      </c>
      <c r="G14" s="322">
        <f t="shared" si="1"/>
        <v>0</v>
      </c>
      <c r="H14" s="322">
        <v>0</v>
      </c>
      <c r="I14" s="322">
        <v>0</v>
      </c>
      <c r="J14" s="322">
        <f t="shared" si="2"/>
        <v>0</v>
      </c>
      <c r="K14" s="322">
        <v>31842520</v>
      </c>
      <c r="L14" s="322">
        <v>8597480</v>
      </c>
      <c r="M14" s="322">
        <f t="shared" si="3"/>
        <v>40440000</v>
      </c>
      <c r="N14" s="322">
        <f t="shared" si="4"/>
        <v>31842520</v>
      </c>
      <c r="O14" s="322">
        <f t="shared" si="5"/>
        <v>8597480</v>
      </c>
      <c r="P14" s="322">
        <f t="shared" si="6"/>
        <v>40440000</v>
      </c>
      <c r="Q14" s="319"/>
      <c r="R14" s="319"/>
      <c r="S14" s="319"/>
      <c r="T14" s="319"/>
    </row>
    <row r="15" spans="1:20" x14ac:dyDescent="0.25">
      <c r="A15" s="323" t="s">
        <v>461</v>
      </c>
      <c r="B15" s="324">
        <f>SUM(B10:B14)</f>
        <v>471181104</v>
      </c>
      <c r="C15" s="324">
        <f>SUM(C10:C14)</f>
        <v>127218896</v>
      </c>
      <c r="D15" s="324">
        <f>SUM(D10:D14)</f>
        <v>598400000</v>
      </c>
      <c r="E15" s="324">
        <f t="shared" ref="E15:P15" si="7">SUM(E10:E14)</f>
        <v>67559055</v>
      </c>
      <c r="F15" s="324">
        <f t="shared" si="7"/>
        <v>18240945</v>
      </c>
      <c r="G15" s="324">
        <f t="shared" si="7"/>
        <v>85800000</v>
      </c>
      <c r="H15" s="324">
        <f t="shared" si="7"/>
        <v>96259843</v>
      </c>
      <c r="I15" s="324">
        <f t="shared" si="7"/>
        <v>25990157</v>
      </c>
      <c r="J15" s="324">
        <f t="shared" si="7"/>
        <v>122250000</v>
      </c>
      <c r="K15" s="324">
        <f t="shared" si="7"/>
        <v>167555119</v>
      </c>
      <c r="L15" s="324">
        <f t="shared" si="7"/>
        <v>45239881</v>
      </c>
      <c r="M15" s="324">
        <f t="shared" si="7"/>
        <v>212795000</v>
      </c>
      <c r="N15" s="324">
        <f t="shared" si="7"/>
        <v>802555121</v>
      </c>
      <c r="O15" s="324">
        <f t="shared" si="7"/>
        <v>216689879</v>
      </c>
      <c r="P15" s="324">
        <f t="shared" si="7"/>
        <v>1019245000</v>
      </c>
      <c r="Q15" s="319"/>
      <c r="R15" s="319"/>
      <c r="S15" s="319"/>
      <c r="T15" s="319"/>
    </row>
    <row r="16" spans="1:20" x14ac:dyDescent="0.25">
      <c r="A16" s="325" t="s">
        <v>462</v>
      </c>
      <c r="B16" s="326">
        <v>0</v>
      </c>
      <c r="C16" s="326">
        <v>0</v>
      </c>
      <c r="D16" s="326">
        <f t="shared" si="0"/>
        <v>0</v>
      </c>
      <c r="E16" s="326">
        <v>9448819</v>
      </c>
      <c r="F16" s="326">
        <v>2551181</v>
      </c>
      <c r="G16" s="326">
        <f t="shared" si="1"/>
        <v>12000000</v>
      </c>
      <c r="H16" s="326">
        <v>0</v>
      </c>
      <c r="I16" s="326">
        <v>0</v>
      </c>
      <c r="J16" s="326">
        <f t="shared" si="2"/>
        <v>0</v>
      </c>
      <c r="K16" s="326">
        <v>0</v>
      </c>
      <c r="L16" s="326">
        <v>0</v>
      </c>
      <c r="M16" s="326">
        <f t="shared" si="3"/>
        <v>0</v>
      </c>
      <c r="N16" s="320">
        <f t="shared" si="4"/>
        <v>9448819</v>
      </c>
      <c r="O16" s="320">
        <f t="shared" si="5"/>
        <v>2551181</v>
      </c>
      <c r="P16" s="320">
        <f t="shared" si="6"/>
        <v>12000000</v>
      </c>
      <c r="Q16" s="319"/>
      <c r="R16" s="319"/>
      <c r="S16" s="319"/>
      <c r="T16" s="319"/>
    </row>
    <row r="17" spans="1:21" x14ac:dyDescent="0.25">
      <c r="A17" s="327" t="s">
        <v>463</v>
      </c>
      <c r="B17" s="794">
        <f>6521654-2100000</f>
        <v>4421654</v>
      </c>
      <c r="C17" s="794">
        <f>7228346-5467500-567000</f>
        <v>1193846</v>
      </c>
      <c r="D17" s="328">
        <f t="shared" si="0"/>
        <v>5615500</v>
      </c>
      <c r="E17" s="794">
        <v>779528</v>
      </c>
      <c r="F17" s="794">
        <v>210472</v>
      </c>
      <c r="G17" s="328">
        <f t="shared" si="1"/>
        <v>990000</v>
      </c>
      <c r="H17" s="794">
        <f>4724410-3550000</f>
        <v>1174410</v>
      </c>
      <c r="I17" s="794">
        <f>1275590-958500</f>
        <v>317090</v>
      </c>
      <c r="J17" s="328">
        <f t="shared" si="2"/>
        <v>1491500</v>
      </c>
      <c r="K17" s="794">
        <v>8661417</v>
      </c>
      <c r="L17" s="794">
        <v>2338583</v>
      </c>
      <c r="M17" s="328">
        <f t="shared" si="3"/>
        <v>11000000</v>
      </c>
      <c r="N17" s="318">
        <f t="shared" si="4"/>
        <v>15037009</v>
      </c>
      <c r="O17" s="318">
        <f t="shared" si="5"/>
        <v>4059991</v>
      </c>
      <c r="P17" s="318">
        <f t="shared" si="6"/>
        <v>19097000</v>
      </c>
      <c r="Q17" s="319"/>
      <c r="R17" s="319"/>
      <c r="S17" s="319"/>
      <c r="T17" s="319"/>
    </row>
    <row r="18" spans="1:21" x14ac:dyDescent="0.25">
      <c r="A18" s="329" t="s">
        <v>464</v>
      </c>
      <c r="B18" s="795"/>
      <c r="C18" s="795"/>
      <c r="D18" s="330">
        <f t="shared" si="0"/>
        <v>0</v>
      </c>
      <c r="E18" s="795"/>
      <c r="F18" s="795"/>
      <c r="G18" s="330">
        <f t="shared" si="1"/>
        <v>0</v>
      </c>
      <c r="H18" s="795"/>
      <c r="I18" s="795"/>
      <c r="J18" s="330">
        <f t="shared" si="2"/>
        <v>0</v>
      </c>
      <c r="K18" s="795"/>
      <c r="L18" s="795"/>
      <c r="M18" s="330">
        <f t="shared" si="3"/>
        <v>0</v>
      </c>
      <c r="N18" s="320">
        <f t="shared" si="4"/>
        <v>0</v>
      </c>
      <c r="O18" s="320">
        <f t="shared" si="5"/>
        <v>0</v>
      </c>
      <c r="P18" s="320">
        <f t="shared" si="6"/>
        <v>0</v>
      </c>
      <c r="Q18" s="319"/>
      <c r="R18" s="319"/>
      <c r="S18" s="319"/>
      <c r="T18" s="319"/>
    </row>
    <row r="19" spans="1:21" x14ac:dyDescent="0.25">
      <c r="A19" s="329" t="s">
        <v>465</v>
      </c>
      <c r="B19" s="330">
        <v>20250000</v>
      </c>
      <c r="C19" s="330">
        <v>5467500</v>
      </c>
      <c r="D19" s="330">
        <f t="shared" si="0"/>
        <v>25717500</v>
      </c>
      <c r="E19" s="330">
        <v>3000000</v>
      </c>
      <c r="F19" s="330">
        <v>810000</v>
      </c>
      <c r="G19" s="330">
        <f t="shared" si="1"/>
        <v>3810000</v>
      </c>
      <c r="H19" s="330">
        <v>3550000</v>
      </c>
      <c r="I19" s="330">
        <v>958500</v>
      </c>
      <c r="J19" s="330">
        <f t="shared" si="2"/>
        <v>4508500</v>
      </c>
      <c r="K19" s="795"/>
      <c r="L19" s="795"/>
      <c r="M19" s="330">
        <f t="shared" si="3"/>
        <v>0</v>
      </c>
      <c r="N19" s="320">
        <f t="shared" si="4"/>
        <v>26800000</v>
      </c>
      <c r="O19" s="320">
        <f t="shared" si="5"/>
        <v>7236000</v>
      </c>
      <c r="P19" s="320">
        <f t="shared" si="6"/>
        <v>34036000</v>
      </c>
      <c r="Q19" s="319"/>
      <c r="R19" s="319"/>
      <c r="S19" s="319"/>
      <c r="T19" s="319"/>
    </row>
    <row r="20" spans="1:21" x14ac:dyDescent="0.25">
      <c r="A20" s="329" t="s">
        <v>466</v>
      </c>
      <c r="B20" s="330">
        <v>5354331</v>
      </c>
      <c r="C20" s="330">
        <v>1445669</v>
      </c>
      <c r="D20" s="330">
        <f t="shared" si="0"/>
        <v>6800000</v>
      </c>
      <c r="E20" s="330">
        <v>944882</v>
      </c>
      <c r="F20" s="330">
        <v>255118</v>
      </c>
      <c r="G20" s="330">
        <f t="shared" si="1"/>
        <v>1200000</v>
      </c>
      <c r="H20" s="330">
        <v>1181102</v>
      </c>
      <c r="I20" s="330">
        <v>318898</v>
      </c>
      <c r="J20" s="330">
        <f t="shared" si="2"/>
        <v>1500000</v>
      </c>
      <c r="K20" s="330">
        <v>1732283</v>
      </c>
      <c r="L20" s="330">
        <v>467716</v>
      </c>
      <c r="M20" s="330">
        <f t="shared" si="3"/>
        <v>2199999</v>
      </c>
      <c r="N20" s="320">
        <f t="shared" si="4"/>
        <v>9212598</v>
      </c>
      <c r="O20" s="320">
        <f t="shared" si="5"/>
        <v>2487401</v>
      </c>
      <c r="P20" s="320">
        <f t="shared" si="6"/>
        <v>11699999</v>
      </c>
      <c r="Q20" s="319"/>
      <c r="R20" s="319"/>
      <c r="S20" s="319"/>
      <c r="T20" s="319"/>
    </row>
    <row r="21" spans="1:21" x14ac:dyDescent="0.25">
      <c r="A21" s="329" t="s">
        <v>467</v>
      </c>
      <c r="B21" s="330">
        <v>5354331</v>
      </c>
      <c r="C21" s="330">
        <v>1445669</v>
      </c>
      <c r="D21" s="330">
        <f t="shared" si="0"/>
        <v>6800000</v>
      </c>
      <c r="E21" s="330">
        <v>944882</v>
      </c>
      <c r="F21" s="330">
        <f>(E21*0.27)</f>
        <v>255118.14</v>
      </c>
      <c r="G21" s="330">
        <f>SUM(E21:F21)</f>
        <v>1200000.1400000001</v>
      </c>
      <c r="H21" s="330">
        <v>1200000</v>
      </c>
      <c r="I21" s="330">
        <v>300000</v>
      </c>
      <c r="J21" s="330">
        <f t="shared" si="2"/>
        <v>1500000</v>
      </c>
      <c r="K21" s="330">
        <v>1732283</v>
      </c>
      <c r="L21" s="330">
        <v>467716</v>
      </c>
      <c r="M21" s="330">
        <f t="shared" si="3"/>
        <v>2199999</v>
      </c>
      <c r="N21" s="320">
        <f t="shared" si="4"/>
        <v>9231496</v>
      </c>
      <c r="O21" s="320">
        <f t="shared" si="5"/>
        <v>2468503.14</v>
      </c>
      <c r="P21" s="320">
        <f t="shared" si="6"/>
        <v>11699999.140000001</v>
      </c>
      <c r="Q21" s="319"/>
      <c r="R21" s="319"/>
      <c r="S21" s="319"/>
      <c r="T21" s="319"/>
    </row>
    <row r="22" spans="1:21" x14ac:dyDescent="0.25">
      <c r="A22" s="329" t="s">
        <v>468</v>
      </c>
      <c r="B22" s="330">
        <v>2677165</v>
      </c>
      <c r="C22" s="330">
        <v>722835</v>
      </c>
      <c r="D22" s="330">
        <f t="shared" si="0"/>
        <v>3400000</v>
      </c>
      <c r="E22" s="330">
        <v>472441</v>
      </c>
      <c r="F22" s="330">
        <f>(E22*0.27)</f>
        <v>127559.07</v>
      </c>
      <c r="G22" s="330">
        <f>SUM(E22:F22)</f>
        <v>600000.07000000007</v>
      </c>
      <c r="H22" s="330">
        <v>590551</v>
      </c>
      <c r="I22" s="330">
        <f>(H22*0.27)</f>
        <v>159448.77000000002</v>
      </c>
      <c r="J22" s="330">
        <f t="shared" si="2"/>
        <v>749999.77</v>
      </c>
      <c r="K22" s="330">
        <v>130000</v>
      </c>
      <c r="L22" s="330">
        <v>35100</v>
      </c>
      <c r="M22" s="330">
        <f t="shared" si="3"/>
        <v>165100</v>
      </c>
      <c r="N22" s="320">
        <f t="shared" si="4"/>
        <v>3870157</v>
      </c>
      <c r="O22" s="320">
        <f t="shared" si="5"/>
        <v>1044942.8400000001</v>
      </c>
      <c r="P22" s="320">
        <f t="shared" si="6"/>
        <v>4915099.84</v>
      </c>
      <c r="Q22" s="319"/>
      <c r="R22" s="319"/>
      <c r="S22" s="319"/>
      <c r="T22" s="319"/>
    </row>
    <row r="23" spans="1:21" x14ac:dyDescent="0.25">
      <c r="A23" s="331" t="s">
        <v>469</v>
      </c>
      <c r="B23" s="330">
        <v>2100000</v>
      </c>
      <c r="C23" s="330">
        <v>567000</v>
      </c>
      <c r="D23" s="330">
        <f t="shared" si="0"/>
        <v>2667000</v>
      </c>
      <c r="E23" s="330">
        <v>0</v>
      </c>
      <c r="F23" s="330">
        <v>0</v>
      </c>
      <c r="G23" s="330">
        <f t="shared" si="1"/>
        <v>0</v>
      </c>
      <c r="H23" s="330">
        <v>0</v>
      </c>
      <c r="I23" s="330">
        <v>0</v>
      </c>
      <c r="J23" s="330">
        <f t="shared" si="2"/>
        <v>0</v>
      </c>
      <c r="K23" s="330">
        <v>0</v>
      </c>
      <c r="L23" s="330">
        <v>0</v>
      </c>
      <c r="M23" s="330">
        <f t="shared" si="3"/>
        <v>0</v>
      </c>
      <c r="N23" s="320">
        <f t="shared" si="4"/>
        <v>2100000</v>
      </c>
      <c r="O23" s="320">
        <f t="shared" si="5"/>
        <v>567000</v>
      </c>
      <c r="P23" s="320">
        <f t="shared" si="6"/>
        <v>2667000</v>
      </c>
      <c r="Q23" s="319"/>
      <c r="R23" s="319"/>
      <c r="S23" s="319"/>
      <c r="T23" s="319"/>
    </row>
    <row r="24" spans="1:21" x14ac:dyDescent="0.25">
      <c r="A24" s="332" t="s">
        <v>470</v>
      </c>
      <c r="B24" s="330">
        <v>0</v>
      </c>
      <c r="C24" s="330">
        <v>0</v>
      </c>
      <c r="D24" s="330">
        <f t="shared" si="0"/>
        <v>0</v>
      </c>
      <c r="E24" s="330">
        <v>472441</v>
      </c>
      <c r="F24" s="330">
        <v>127559</v>
      </c>
      <c r="G24" s="330">
        <f t="shared" si="1"/>
        <v>600000</v>
      </c>
      <c r="H24" s="330">
        <v>590551</v>
      </c>
      <c r="I24" s="330">
        <v>159449</v>
      </c>
      <c r="J24" s="330">
        <f t="shared" si="2"/>
        <v>750000</v>
      </c>
      <c r="K24" s="330">
        <v>0</v>
      </c>
      <c r="L24" s="330">
        <v>0</v>
      </c>
      <c r="M24" s="330">
        <f t="shared" si="3"/>
        <v>0</v>
      </c>
      <c r="N24" s="320">
        <f t="shared" si="4"/>
        <v>1062992</v>
      </c>
      <c r="O24" s="320">
        <f t="shared" si="5"/>
        <v>287008</v>
      </c>
      <c r="P24" s="320">
        <f t="shared" si="6"/>
        <v>1350000</v>
      </c>
      <c r="Q24" s="319"/>
      <c r="R24" s="319"/>
      <c r="S24" s="319"/>
      <c r="T24" s="319"/>
    </row>
    <row r="25" spans="1:21" ht="24.75" x14ac:dyDescent="0.25">
      <c r="A25" s="332" t="s">
        <v>471</v>
      </c>
      <c r="B25" s="330">
        <v>0</v>
      </c>
      <c r="C25" s="330">
        <v>0</v>
      </c>
      <c r="D25" s="330">
        <f t="shared" si="0"/>
        <v>0</v>
      </c>
      <c r="E25" s="330">
        <v>0</v>
      </c>
      <c r="F25" s="330">
        <v>0</v>
      </c>
      <c r="G25" s="330">
        <f t="shared" si="1"/>
        <v>0</v>
      </c>
      <c r="H25" s="330">
        <v>0</v>
      </c>
      <c r="I25" s="330">
        <v>0</v>
      </c>
      <c r="J25" s="330">
        <f t="shared" si="2"/>
        <v>0</v>
      </c>
      <c r="K25" s="330">
        <v>100000</v>
      </c>
      <c r="L25" s="330">
        <v>27000</v>
      </c>
      <c r="M25" s="330">
        <f t="shared" si="3"/>
        <v>127000</v>
      </c>
      <c r="N25" s="320">
        <f t="shared" si="4"/>
        <v>100000</v>
      </c>
      <c r="O25" s="320">
        <f t="shared" si="5"/>
        <v>27000</v>
      </c>
      <c r="P25" s="320">
        <f t="shared" si="6"/>
        <v>127000</v>
      </c>
      <c r="Q25" s="319"/>
      <c r="R25" s="319"/>
      <c r="S25" s="319"/>
      <c r="T25" s="319"/>
    </row>
    <row r="26" spans="1:21" ht="24" x14ac:dyDescent="0.25">
      <c r="A26" s="333" t="s">
        <v>472</v>
      </c>
      <c r="B26" s="330">
        <v>10708662</v>
      </c>
      <c r="C26" s="330">
        <v>2891338</v>
      </c>
      <c r="D26" s="330">
        <f>SUM(B26:C26)</f>
        <v>13600000</v>
      </c>
      <c r="E26" s="330">
        <v>7559055</v>
      </c>
      <c r="F26" s="330">
        <f>(E26*0.27)</f>
        <v>2040944.85</v>
      </c>
      <c r="G26" s="330">
        <f>SUM(E26:F26)</f>
        <v>9599999.8499999996</v>
      </c>
      <c r="H26" s="330">
        <v>9448819</v>
      </c>
      <c r="I26" s="330">
        <f>(H26*0.27)</f>
        <v>2551181.1300000004</v>
      </c>
      <c r="J26" s="330">
        <f>SUM(H26:I26)</f>
        <v>12000000.130000001</v>
      </c>
      <c r="K26" s="330">
        <v>636142</v>
      </c>
      <c r="L26" s="330">
        <v>171758</v>
      </c>
      <c r="M26" s="330">
        <f>SUM(K26:L26)</f>
        <v>807900</v>
      </c>
      <c r="N26" s="320">
        <f>SUM(K26+H26+E26+B26)</f>
        <v>28352678</v>
      </c>
      <c r="O26" s="320">
        <f>SUM(L26+I26+F26+C26)</f>
        <v>7655221.9800000004</v>
      </c>
      <c r="P26" s="320">
        <f>SUM(M26+J26+G26+D26)</f>
        <v>36007899.980000004</v>
      </c>
      <c r="Q26" s="319"/>
      <c r="R26" s="319"/>
      <c r="S26" s="319"/>
      <c r="T26" s="319"/>
    </row>
    <row r="27" spans="1:21" x14ac:dyDescent="0.25">
      <c r="A27" s="334" t="s">
        <v>28</v>
      </c>
      <c r="B27" s="335">
        <f>SUM(B17:B26)</f>
        <v>50866143</v>
      </c>
      <c r="C27" s="335">
        <f>SUM(C17:C26)</f>
        <v>13733857</v>
      </c>
      <c r="D27" s="335">
        <f t="shared" ref="D27:P27" si="8">SUM(D17:D26)</f>
        <v>64600000</v>
      </c>
      <c r="E27" s="335">
        <f t="shared" si="8"/>
        <v>14173229</v>
      </c>
      <c r="F27" s="335">
        <f t="shared" si="8"/>
        <v>3826771.0600000005</v>
      </c>
      <c r="G27" s="335">
        <f t="shared" si="8"/>
        <v>18000000.060000002</v>
      </c>
      <c r="H27" s="335">
        <f t="shared" si="8"/>
        <v>17735433</v>
      </c>
      <c r="I27" s="335">
        <f t="shared" si="8"/>
        <v>4764566.9000000004</v>
      </c>
      <c r="J27" s="335">
        <f t="shared" si="8"/>
        <v>22499999.899999999</v>
      </c>
      <c r="K27" s="335">
        <f t="shared" si="8"/>
        <v>12992125</v>
      </c>
      <c r="L27" s="335">
        <f t="shared" si="8"/>
        <v>3507873</v>
      </c>
      <c r="M27" s="335">
        <f t="shared" si="8"/>
        <v>16499998</v>
      </c>
      <c r="N27" s="335">
        <f t="shared" si="8"/>
        <v>95766930</v>
      </c>
      <c r="O27" s="335">
        <f t="shared" si="8"/>
        <v>25833067.960000001</v>
      </c>
      <c r="P27" s="335">
        <f t="shared" si="8"/>
        <v>121599997.96000001</v>
      </c>
      <c r="Q27" s="319"/>
      <c r="R27" s="319"/>
      <c r="S27" s="319"/>
      <c r="T27" s="319"/>
    </row>
    <row r="28" spans="1:21" ht="27.75" customHeight="1" thickBot="1" x14ac:dyDescent="0.3">
      <c r="A28" s="336" t="s">
        <v>473</v>
      </c>
      <c r="B28" s="337">
        <v>1639344</v>
      </c>
      <c r="C28" s="337">
        <v>360656</v>
      </c>
      <c r="D28" s="337">
        <f>SUM(B28:C28)</f>
        <v>2000000</v>
      </c>
      <c r="E28" s="337"/>
      <c r="F28" s="337"/>
      <c r="G28" s="337"/>
      <c r="H28" s="337"/>
      <c r="I28" s="337"/>
      <c r="J28" s="337"/>
      <c r="K28" s="337"/>
      <c r="L28" s="337"/>
      <c r="M28" s="337"/>
      <c r="N28" s="338">
        <f>SUM(K28+H28+E28+B28)</f>
        <v>1639344</v>
      </c>
      <c r="O28" s="338">
        <f>SUM(L28+I28+F28+C28)</f>
        <v>360656</v>
      </c>
      <c r="P28" s="338">
        <f>SUM(M28+J28+G28+D28)</f>
        <v>2000000</v>
      </c>
      <c r="Q28" s="319"/>
      <c r="R28" s="319"/>
      <c r="S28" s="319"/>
      <c r="T28" s="319"/>
    </row>
    <row r="29" spans="1:21" ht="15.75" thickBot="1" x14ac:dyDescent="0.3">
      <c r="A29" s="339" t="s">
        <v>387</v>
      </c>
      <c r="B29" s="340">
        <f>SUM(B15+B16+B27+B28)</f>
        <v>523686591</v>
      </c>
      <c r="C29" s="340">
        <f t="shared" ref="C29:P29" si="9">SUM(C15+C16+C27+C28)</f>
        <v>141313409</v>
      </c>
      <c r="D29" s="340">
        <f t="shared" si="9"/>
        <v>665000000</v>
      </c>
      <c r="E29" s="340">
        <f t="shared" si="9"/>
        <v>91181103</v>
      </c>
      <c r="F29" s="340">
        <f t="shared" si="9"/>
        <v>24618897.060000002</v>
      </c>
      <c r="G29" s="340">
        <f t="shared" si="9"/>
        <v>115800000.06</v>
      </c>
      <c r="H29" s="340">
        <f t="shared" si="9"/>
        <v>113995276</v>
      </c>
      <c r="I29" s="340">
        <f t="shared" si="9"/>
        <v>30754723.899999999</v>
      </c>
      <c r="J29" s="340">
        <f t="shared" si="9"/>
        <v>144749999.90000001</v>
      </c>
      <c r="K29" s="340">
        <f t="shared" si="9"/>
        <v>180547244</v>
      </c>
      <c r="L29" s="340">
        <f t="shared" si="9"/>
        <v>48747754</v>
      </c>
      <c r="M29" s="340">
        <f t="shared" si="9"/>
        <v>229294998</v>
      </c>
      <c r="N29" s="340">
        <f t="shared" si="9"/>
        <v>909410214</v>
      </c>
      <c r="O29" s="340">
        <f t="shared" si="9"/>
        <v>245434783.96000001</v>
      </c>
      <c r="P29" s="341">
        <f t="shared" si="9"/>
        <v>1154844997.96</v>
      </c>
      <c r="Q29" s="319"/>
      <c r="R29" s="319"/>
      <c r="S29" s="342"/>
      <c r="T29" s="342"/>
    </row>
    <row r="30" spans="1:21" ht="24.75" x14ac:dyDescent="0.25">
      <c r="A30" s="343" t="s">
        <v>474</v>
      </c>
      <c r="B30" s="344"/>
      <c r="C30" s="345"/>
      <c r="D30" s="346">
        <f>SUM(B29:C29)</f>
        <v>665000000</v>
      </c>
      <c r="E30" s="346"/>
      <c r="F30" s="347"/>
      <c r="G30" s="348">
        <f>SUM(E29+F29)</f>
        <v>115800000.06</v>
      </c>
      <c r="H30" s="346"/>
      <c r="I30" s="347"/>
      <c r="J30" s="348">
        <f>SUM(H29+I29)</f>
        <v>144749999.90000001</v>
      </c>
      <c r="K30" s="346"/>
      <c r="L30" s="347"/>
      <c r="M30" s="348">
        <f>SUM(K29+L29)</f>
        <v>229294998</v>
      </c>
      <c r="N30" s="796"/>
      <c r="O30" s="797"/>
      <c r="P30" s="348">
        <f>SUM(N29+O29)</f>
        <v>1154844997.96</v>
      </c>
      <c r="Q30" s="319"/>
      <c r="R30" s="319"/>
      <c r="S30" s="342"/>
      <c r="T30" s="342"/>
    </row>
    <row r="31" spans="1:21" x14ac:dyDescent="0.25">
      <c r="A31" s="329" t="s">
        <v>475</v>
      </c>
      <c r="B31" s="349"/>
      <c r="C31" s="350"/>
      <c r="D31" s="351">
        <v>633766800</v>
      </c>
      <c r="E31" s="352"/>
      <c r="F31" s="353"/>
      <c r="G31" s="351">
        <v>104400000</v>
      </c>
      <c r="H31" s="352"/>
      <c r="I31" s="353"/>
      <c r="J31" s="351">
        <v>130500000</v>
      </c>
      <c r="K31" s="352"/>
      <c r="L31" s="353"/>
      <c r="M31" s="351">
        <v>226929899</v>
      </c>
      <c r="N31" s="351"/>
      <c r="O31" s="351"/>
      <c r="P31" s="351">
        <f>SUM(D31+G31+J31+M31)</f>
        <v>1095596699</v>
      </c>
      <c r="Q31" s="354"/>
      <c r="R31" s="354"/>
    </row>
    <row r="32" spans="1:21" x14ac:dyDescent="0.25">
      <c r="A32" s="355" t="s">
        <v>476</v>
      </c>
      <c r="B32" s="356"/>
      <c r="C32" s="357"/>
      <c r="D32" s="358">
        <f>SUM(D30-D31)</f>
        <v>31233200</v>
      </c>
      <c r="E32" s="359"/>
      <c r="F32" s="360"/>
      <c r="G32" s="358">
        <f>SUM(G30-G31)</f>
        <v>11400000.060000002</v>
      </c>
      <c r="H32" s="359"/>
      <c r="I32" s="360"/>
      <c r="J32" s="358">
        <f>SUM(J30-J31)</f>
        <v>14249999.900000006</v>
      </c>
      <c r="K32" s="359"/>
      <c r="L32" s="360"/>
      <c r="M32" s="358">
        <f>SUM(M30-M31)</f>
        <v>2365099</v>
      </c>
      <c r="N32" s="358"/>
      <c r="O32" s="358"/>
      <c r="P32" s="358">
        <f>SUM(P30-P31)</f>
        <v>59248298.960000038</v>
      </c>
      <c r="Q32" s="354"/>
      <c r="R32" s="354"/>
      <c r="S32" s="354"/>
      <c r="T32" s="354"/>
      <c r="U32" s="354"/>
    </row>
    <row r="33" spans="1:21" x14ac:dyDescent="0.25">
      <c r="B33" s="354"/>
      <c r="C33" s="354"/>
      <c r="D33" s="319">
        <f>SUM(B29:C29)</f>
        <v>665000000</v>
      </c>
      <c r="E33" s="354"/>
      <c r="F33" s="354"/>
      <c r="G33" s="319">
        <f>SUM(G15+G16+G17+G18+G19+G20+G21+G22+G23+G24+G25+G28+G26)</f>
        <v>115800000.05999999</v>
      </c>
      <c r="H33" s="354"/>
      <c r="I33" s="354"/>
      <c r="J33" s="319">
        <f>SUM(J15+J16+J17+J18+J19+J20+J21+J22+J23+J24+J25+J28+J26)</f>
        <v>144749999.90000001</v>
      </c>
      <c r="K33" s="354"/>
      <c r="L33" s="354"/>
      <c r="M33" s="319">
        <f>SUM(M15+M16+M17+M18+M19+M20+M21+M22+M23+M24+M25+M28+M26)</f>
        <v>229294998</v>
      </c>
      <c r="N33" s="319"/>
      <c r="O33" s="319"/>
      <c r="P33" s="361">
        <f>SUM(N29:O29)</f>
        <v>1154844997.96</v>
      </c>
      <c r="Q33" s="354"/>
      <c r="R33" s="354"/>
      <c r="S33" s="354"/>
      <c r="T33" s="354"/>
      <c r="U33" s="354"/>
    </row>
    <row r="34" spans="1:21" x14ac:dyDescent="0.25">
      <c r="B34" s="354"/>
      <c r="C34" s="354"/>
      <c r="D34" s="354"/>
      <c r="E34" s="354"/>
      <c r="F34" s="354"/>
      <c r="G34" s="354"/>
      <c r="H34" s="354"/>
      <c r="I34" s="354"/>
      <c r="J34" s="354"/>
      <c r="K34" s="354"/>
      <c r="L34" s="354"/>
      <c r="M34" s="354"/>
      <c r="N34" s="354"/>
      <c r="O34" s="354"/>
      <c r="P34" s="362">
        <f>SUM(D32+G32+J32+M32)</f>
        <v>59248298.960000008</v>
      </c>
      <c r="Q34" s="354"/>
      <c r="R34" s="354"/>
      <c r="S34" s="354"/>
      <c r="T34" s="354"/>
      <c r="U34" s="354"/>
    </row>
    <row r="35" spans="1:21" ht="27" thickBot="1" x14ac:dyDescent="0.3">
      <c r="A35" s="363" t="s">
        <v>477</v>
      </c>
      <c r="B35" s="319">
        <f>(D35/1.27)</f>
        <v>28577874.015748031</v>
      </c>
      <c r="C35" s="319">
        <f>(B35*0.27)</f>
        <v>7716025.9842519686</v>
      </c>
      <c r="D35" s="319">
        <v>36293900</v>
      </c>
      <c r="E35" s="319">
        <f>(G35/1.27)</f>
        <v>3165000</v>
      </c>
      <c r="F35" s="319">
        <f>(E35*0.27)</f>
        <v>854550</v>
      </c>
      <c r="G35" s="319">
        <v>4019550</v>
      </c>
      <c r="H35" s="319">
        <f>(J35/1.27)</f>
        <v>3985000</v>
      </c>
      <c r="I35" s="319">
        <f>(H35*0.27)</f>
        <v>1075950</v>
      </c>
      <c r="J35" s="319">
        <v>5060950</v>
      </c>
      <c r="K35" s="319">
        <f>(M35/1.27)</f>
        <v>6067007.8740157476</v>
      </c>
      <c r="L35" s="319">
        <f>(K35*0.27)</f>
        <v>1638092.125984252</v>
      </c>
      <c r="M35" s="319">
        <v>7705100</v>
      </c>
      <c r="N35" s="364">
        <f>(P35/1.27)</f>
        <v>41794881.88976378</v>
      </c>
      <c r="O35" s="364">
        <f>(N35*0.27)</f>
        <v>11284618.110236222</v>
      </c>
      <c r="P35" s="364">
        <f>SUM(D35+G35+J35+M35)</f>
        <v>53079500</v>
      </c>
    </row>
    <row r="36" spans="1:21" ht="27" thickBot="1" x14ac:dyDescent="0.3">
      <c r="A36" s="365" t="s">
        <v>478</v>
      </c>
      <c r="B36" s="319">
        <f t="shared" ref="B36:M36" si="10">SUM(B27-B35)</f>
        <v>22288268.984251969</v>
      </c>
      <c r="C36" s="319">
        <f t="shared" si="10"/>
        <v>6017831.0157480314</v>
      </c>
      <c r="D36" s="319">
        <f t="shared" si="10"/>
        <v>28306100</v>
      </c>
      <c r="E36" s="319">
        <f t="shared" si="10"/>
        <v>11008229</v>
      </c>
      <c r="F36" s="319">
        <f t="shared" si="10"/>
        <v>2972221.0600000005</v>
      </c>
      <c r="G36" s="319">
        <f t="shared" si="10"/>
        <v>13980450.060000002</v>
      </c>
      <c r="H36" s="319">
        <f t="shared" si="10"/>
        <v>13750433</v>
      </c>
      <c r="I36" s="319">
        <f t="shared" si="10"/>
        <v>3688616.9000000004</v>
      </c>
      <c r="J36" s="319">
        <f t="shared" si="10"/>
        <v>17439049.899999999</v>
      </c>
      <c r="K36" s="319">
        <f t="shared" si="10"/>
        <v>6925117.1259842524</v>
      </c>
      <c r="L36" s="319">
        <f t="shared" si="10"/>
        <v>1869780.874015748</v>
      </c>
      <c r="M36" s="319">
        <f t="shared" si="10"/>
        <v>8794898</v>
      </c>
      <c r="N36" s="366">
        <f>SUM(B36+E36+H36+K36)</f>
        <v>53972048.11023622</v>
      </c>
      <c r="O36" s="367">
        <f>SUM(C36+F36+I36+L36)</f>
        <v>14548449.849763781</v>
      </c>
      <c r="P36" s="368">
        <f>SUM(D36+G36+J36+M36)</f>
        <v>68520497.960000008</v>
      </c>
    </row>
    <row r="37" spans="1:21" x14ac:dyDescent="0.25">
      <c r="B37" s="342"/>
      <c r="C37" s="342"/>
      <c r="D37" s="342"/>
      <c r="E37" s="342"/>
      <c r="F37" s="342"/>
      <c r="G37" s="342"/>
      <c r="H37" s="342"/>
      <c r="I37" s="342"/>
      <c r="J37" s="342"/>
      <c r="K37" s="342"/>
      <c r="L37" s="342"/>
      <c r="M37" s="342"/>
      <c r="N37" s="342"/>
      <c r="O37" s="342"/>
      <c r="P37" s="342"/>
    </row>
    <row r="38" spans="1:21" x14ac:dyDescent="0.25">
      <c r="B38" s="342"/>
      <c r="C38" s="342"/>
      <c r="D38" s="342"/>
      <c r="E38" s="342"/>
      <c r="F38" s="342"/>
      <c r="G38" s="342"/>
      <c r="H38" s="342">
        <v>95970495</v>
      </c>
      <c r="I38" s="342"/>
      <c r="J38" s="342"/>
      <c r="K38" s="342"/>
      <c r="L38" s="342"/>
      <c r="M38" s="342"/>
      <c r="N38" s="342"/>
      <c r="O38" s="342"/>
      <c r="P38" s="342"/>
    </row>
    <row r="39" spans="1:21" x14ac:dyDescent="0.25">
      <c r="B39" s="342"/>
      <c r="C39" s="342"/>
      <c r="D39" s="342"/>
      <c r="E39" s="342"/>
      <c r="F39" s="342"/>
      <c r="G39" s="342"/>
      <c r="H39" s="342"/>
      <c r="I39" s="342"/>
      <c r="J39" s="342"/>
      <c r="K39" s="342"/>
      <c r="L39" s="342"/>
      <c r="M39" s="342"/>
      <c r="N39" s="342"/>
      <c r="O39" s="342"/>
      <c r="P39" s="342"/>
    </row>
    <row r="40" spans="1:21" x14ac:dyDescent="0.25">
      <c r="B40" s="342"/>
      <c r="C40" s="342"/>
      <c r="D40" s="342"/>
      <c r="E40" s="342"/>
      <c r="F40" s="342"/>
      <c r="G40" s="342"/>
      <c r="H40" s="342"/>
      <c r="I40" s="342"/>
      <c r="J40" s="342"/>
      <c r="K40" s="342"/>
      <c r="L40" s="342"/>
      <c r="M40" s="342"/>
      <c r="N40" s="342"/>
      <c r="O40" s="342"/>
      <c r="P40" s="342"/>
    </row>
    <row r="41" spans="1:21" x14ac:dyDescent="0.25">
      <c r="B41" s="342"/>
      <c r="C41" s="342"/>
      <c r="D41" s="342"/>
      <c r="E41" s="342"/>
      <c r="F41" s="342"/>
      <c r="G41" s="342"/>
      <c r="H41" s="342"/>
      <c r="I41" s="342"/>
      <c r="J41" s="342"/>
      <c r="K41" s="342"/>
      <c r="L41" s="342"/>
      <c r="M41" s="342"/>
      <c r="N41" s="342"/>
      <c r="O41" s="342"/>
      <c r="P41" s="342"/>
    </row>
  </sheetData>
  <mergeCells count="16">
    <mergeCell ref="A1:P1"/>
    <mergeCell ref="A8:A9"/>
    <mergeCell ref="B8:D8"/>
    <mergeCell ref="E8:G8"/>
    <mergeCell ref="H8:J8"/>
    <mergeCell ref="K8:M8"/>
    <mergeCell ref="N8:P8"/>
    <mergeCell ref="K17:K19"/>
    <mergeCell ref="L17:L19"/>
    <mergeCell ref="N30:O30"/>
    <mergeCell ref="B17:B18"/>
    <mergeCell ref="C17:C18"/>
    <mergeCell ref="E17:E18"/>
    <mergeCell ref="F17:F18"/>
    <mergeCell ref="H17:H18"/>
    <mergeCell ref="I17:I18"/>
  </mergeCells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751"/>
  <sheetViews>
    <sheetView topLeftCell="A22" zoomScaleNormal="100" workbookViewId="0">
      <selection activeCell="E3" sqref="E3"/>
    </sheetView>
  </sheetViews>
  <sheetFormatPr defaultRowHeight="12.75" x14ac:dyDescent="0.2"/>
  <cols>
    <col min="1" max="1" width="6.28515625" style="2" customWidth="1"/>
    <col min="2" max="2" width="59.5703125" customWidth="1"/>
    <col min="3" max="3" width="15.7109375" style="35" customWidth="1"/>
    <col min="4" max="4" width="16.5703125" style="35" customWidth="1"/>
    <col min="5" max="5" width="15.5703125" style="164" customWidth="1"/>
    <col min="6" max="7" width="13.85546875" style="35" hidden="1" customWidth="1"/>
    <col min="8" max="8" width="12.140625" hidden="1" customWidth="1"/>
    <col min="9" max="9" width="10.85546875" hidden="1" customWidth="1"/>
    <col min="10" max="11" width="9.140625" hidden="1" customWidth="1"/>
    <col min="12" max="12" width="9.140625" customWidth="1"/>
  </cols>
  <sheetData>
    <row r="1" spans="1:42" ht="15" customHeight="1" x14ac:dyDescent="0.3">
      <c r="A1" s="54"/>
      <c r="B1" s="175"/>
      <c r="E1" s="176" t="s">
        <v>557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15" customHeight="1" x14ac:dyDescent="0.3">
      <c r="A2" s="54"/>
      <c r="B2" s="175"/>
      <c r="E2" s="176" t="s">
        <v>1204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ht="15" customHeight="1" x14ac:dyDescent="0.3">
      <c r="A3" s="54"/>
      <c r="B3" s="175"/>
      <c r="E3" s="176" t="s">
        <v>1056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9.5" x14ac:dyDescent="0.35">
      <c r="A4" s="652" t="s">
        <v>24</v>
      </c>
      <c r="B4" s="652"/>
      <c r="C4" s="660"/>
      <c r="D4" s="660"/>
      <c r="E4" s="660"/>
      <c r="F4" s="660"/>
      <c r="G4" s="660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ht="19.5" x14ac:dyDescent="0.35">
      <c r="A5" s="652" t="s">
        <v>872</v>
      </c>
      <c r="B5" s="652"/>
      <c r="C5" s="660"/>
      <c r="D5" s="660"/>
      <c r="E5" s="660"/>
      <c r="F5" s="660"/>
      <c r="G5" s="660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ht="13.5" thickBot="1" x14ac:dyDescent="0.25">
      <c r="A6" s="54"/>
      <c r="B6" s="54"/>
      <c r="E6" s="176" t="s">
        <v>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ht="53.25" customHeight="1" thickBot="1" x14ac:dyDescent="0.25">
      <c r="A7" s="212" t="s">
        <v>109</v>
      </c>
      <c r="B7" s="43" t="s">
        <v>343</v>
      </c>
      <c r="C7" s="43" t="s">
        <v>678</v>
      </c>
      <c r="D7" s="43" t="s">
        <v>1055</v>
      </c>
      <c r="E7" s="43" t="s">
        <v>1126</v>
      </c>
      <c r="F7" s="43" t="s">
        <v>873</v>
      </c>
      <c r="G7" s="44" t="s">
        <v>874</v>
      </c>
      <c r="H7" s="2"/>
      <c r="I7" s="299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ht="22.5" customHeight="1" x14ac:dyDescent="0.2">
      <c r="A8" s="143" t="s">
        <v>322</v>
      </c>
      <c r="B8" s="221" t="s">
        <v>309</v>
      </c>
      <c r="C8" s="168">
        <f>SUM(C9:C50)</f>
        <v>1519804</v>
      </c>
      <c r="D8" s="168">
        <f>SUM(D9:D50)</f>
        <v>1561625</v>
      </c>
      <c r="E8" s="168">
        <f>SUM(E9:E50)</f>
        <v>1578193</v>
      </c>
      <c r="F8" s="168">
        <f>SUM(F9:F50)</f>
        <v>1525474</v>
      </c>
      <c r="G8" s="168">
        <f>SUM(G9:G50)</f>
        <v>1525474</v>
      </c>
      <c r="H8" s="2"/>
      <c r="I8" s="300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ht="18" customHeight="1" x14ac:dyDescent="0.25">
      <c r="A9" s="14" t="s">
        <v>111</v>
      </c>
      <c r="B9" s="22" t="s">
        <v>211</v>
      </c>
      <c r="C9" s="36">
        <f>SUM('2.működés'!C9)</f>
        <v>667449</v>
      </c>
      <c r="D9" s="36">
        <f>SUM('2.működés'!D9)</f>
        <v>672715</v>
      </c>
      <c r="E9" s="36">
        <f>SUM('2.működés'!E9)</f>
        <v>696868</v>
      </c>
      <c r="F9" s="36">
        <f>SUM('2.működés'!F9)</f>
        <v>672715</v>
      </c>
      <c r="G9" s="36">
        <f>SUM('2.működés'!G9)</f>
        <v>672715</v>
      </c>
      <c r="H9" s="2"/>
      <c r="I9" s="300"/>
      <c r="J9" s="2"/>
      <c r="K9" s="2"/>
      <c r="L9" s="7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3.5" hidden="1" customHeight="1" x14ac:dyDescent="0.2">
      <c r="A10" s="8" t="s">
        <v>112</v>
      </c>
      <c r="B10" s="8" t="s">
        <v>120</v>
      </c>
      <c r="C10" s="5"/>
      <c r="D10" s="5"/>
      <c r="E10" s="5"/>
      <c r="F10" s="5"/>
      <c r="G10" s="5"/>
      <c r="H10" s="2"/>
      <c r="I10" s="300"/>
      <c r="J10" s="2"/>
      <c r="K10" s="2"/>
      <c r="L10" s="7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13.5" hidden="1" customHeight="1" x14ac:dyDescent="0.2">
      <c r="A11" s="8" t="s">
        <v>161</v>
      </c>
      <c r="B11" s="8" t="s">
        <v>162</v>
      </c>
      <c r="C11" s="5"/>
      <c r="D11" s="5"/>
      <c r="E11" s="5"/>
      <c r="F11" s="5"/>
      <c r="G11" s="5"/>
      <c r="H11" s="2"/>
      <c r="I11" s="300"/>
      <c r="J11" s="2"/>
      <c r="K11" s="2"/>
      <c r="L11" s="7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3.5" hidden="1" customHeight="1" x14ac:dyDescent="0.2">
      <c r="A12" s="8" t="s">
        <v>113</v>
      </c>
      <c r="B12" s="8" t="s">
        <v>117</v>
      </c>
      <c r="C12" s="6"/>
      <c r="D12" s="6"/>
      <c r="E12" s="6"/>
      <c r="F12" s="6"/>
      <c r="G12" s="6"/>
      <c r="H12" s="2"/>
      <c r="I12" s="300"/>
      <c r="J12" s="2"/>
      <c r="K12" s="2"/>
      <c r="L12" s="7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ht="13.5" hidden="1" customHeight="1" x14ac:dyDescent="0.2">
      <c r="A13" s="8" t="s">
        <v>114</v>
      </c>
      <c r="B13" s="8" t="s">
        <v>118</v>
      </c>
      <c r="C13" s="11"/>
      <c r="D13" s="11"/>
      <c r="E13" s="11"/>
      <c r="F13" s="11"/>
      <c r="G13" s="11"/>
      <c r="H13" s="2"/>
      <c r="I13" s="300"/>
      <c r="J13" s="2"/>
      <c r="K13" s="2"/>
      <c r="L13" s="7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ht="13.5" hidden="1" customHeight="1" x14ac:dyDescent="0.2">
      <c r="A14" s="8" t="s">
        <v>115</v>
      </c>
      <c r="B14" s="8" t="s">
        <v>119</v>
      </c>
      <c r="C14" s="13"/>
      <c r="D14" s="13"/>
      <c r="E14" s="13"/>
      <c r="F14" s="13"/>
      <c r="G14" s="13"/>
      <c r="H14" s="2"/>
      <c r="I14" s="300"/>
      <c r="J14" s="2"/>
      <c r="K14" s="2"/>
      <c r="L14" s="7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ht="12.75" hidden="1" customHeight="1" x14ac:dyDescent="0.2">
      <c r="A15" s="8" t="s">
        <v>116</v>
      </c>
      <c r="B15" s="8" t="s">
        <v>121</v>
      </c>
      <c r="C15" s="13"/>
      <c r="D15" s="13"/>
      <c r="E15" s="13"/>
      <c r="F15" s="13"/>
      <c r="G15" s="13"/>
      <c r="H15" s="2"/>
      <c r="I15" s="300"/>
      <c r="J15" s="2"/>
      <c r="K15" s="2"/>
      <c r="L15" s="7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ht="18" customHeight="1" x14ac:dyDescent="0.25">
      <c r="A16" s="14" t="s">
        <v>122</v>
      </c>
      <c r="B16" s="22" t="s">
        <v>212</v>
      </c>
      <c r="C16" s="40">
        <f>SUM('3.felh'!C13)</f>
        <v>67335</v>
      </c>
      <c r="D16" s="40">
        <f>SUM('3.felh'!D13)</f>
        <v>67486</v>
      </c>
      <c r="E16" s="40">
        <f>SUM('3.felh'!E13)</f>
        <v>67486</v>
      </c>
      <c r="F16" s="40">
        <f>SUM('3.felh'!F13)</f>
        <v>67335</v>
      </c>
      <c r="G16" s="40">
        <f>SUM('3.felh'!G13)</f>
        <v>67335</v>
      </c>
      <c r="H16" s="2"/>
      <c r="I16" s="300"/>
      <c r="J16" s="2"/>
      <c r="K16" s="2"/>
      <c r="L16" s="7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ht="12.75" hidden="1" customHeight="1" x14ac:dyDescent="0.2">
      <c r="A17" s="8" t="s">
        <v>123</v>
      </c>
      <c r="B17" s="8" t="s">
        <v>130</v>
      </c>
      <c r="C17" s="5"/>
      <c r="D17" s="5"/>
      <c r="E17" s="5"/>
      <c r="F17" s="5"/>
      <c r="G17" s="5"/>
      <c r="H17" s="2"/>
      <c r="I17" s="300"/>
      <c r="J17" s="2"/>
      <c r="K17" s="2"/>
      <c r="L17" s="7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ht="12.75" hidden="1" customHeight="1" x14ac:dyDescent="0.2">
      <c r="A18" s="8" t="s">
        <v>163</v>
      </c>
      <c r="B18" s="8" t="s">
        <v>164</v>
      </c>
      <c r="C18" s="13"/>
      <c r="D18" s="13"/>
      <c r="E18" s="13"/>
      <c r="F18" s="13"/>
      <c r="G18" s="13"/>
      <c r="H18" s="2"/>
      <c r="I18" s="300"/>
      <c r="J18" s="2"/>
      <c r="K18" s="2"/>
      <c r="L18" s="7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2" ht="12.75" hidden="1" customHeight="1" x14ac:dyDescent="0.2">
      <c r="A19" s="8" t="s">
        <v>124</v>
      </c>
      <c r="B19" s="8" t="s">
        <v>127</v>
      </c>
      <c r="C19" s="13"/>
      <c r="D19" s="13"/>
      <c r="E19" s="13"/>
      <c r="F19" s="13"/>
      <c r="G19" s="13"/>
      <c r="H19" s="2"/>
      <c r="I19" s="300"/>
      <c r="J19" s="2"/>
      <c r="K19" s="2"/>
      <c r="L19" s="7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ht="12.75" hidden="1" customHeight="1" x14ac:dyDescent="0.2">
      <c r="A20" s="8" t="s">
        <v>125</v>
      </c>
      <c r="B20" s="8" t="s">
        <v>128</v>
      </c>
      <c r="C20" s="13"/>
      <c r="D20" s="13"/>
      <c r="E20" s="13"/>
      <c r="F20" s="13"/>
      <c r="G20" s="13"/>
      <c r="H20" s="2"/>
      <c r="I20" s="300"/>
      <c r="J20" s="2"/>
      <c r="K20" s="2"/>
      <c r="L20" s="7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ht="12.75" hidden="1" customHeight="1" x14ac:dyDescent="0.2">
      <c r="A21" s="8" t="s">
        <v>126</v>
      </c>
      <c r="B21" s="8" t="s">
        <v>129</v>
      </c>
      <c r="C21" s="13"/>
      <c r="D21" s="13"/>
      <c r="E21" s="13"/>
      <c r="F21" s="13"/>
      <c r="G21" s="13"/>
      <c r="H21" s="2"/>
      <c r="I21" s="300"/>
      <c r="J21" s="2"/>
      <c r="K21" s="2"/>
      <c r="L21" s="7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2" ht="18" customHeight="1" x14ac:dyDescent="0.25">
      <c r="A22" s="14" t="s">
        <v>131</v>
      </c>
      <c r="B22" s="22" t="s">
        <v>95</v>
      </c>
      <c r="C22" s="40">
        <f>SUM('2.működés'!C71)</f>
        <v>538820</v>
      </c>
      <c r="D22" s="40">
        <f>SUM('2.működés'!D71)</f>
        <v>541320</v>
      </c>
      <c r="E22" s="40">
        <f>SUM('2.működés'!E71)</f>
        <v>541320</v>
      </c>
      <c r="F22" s="40">
        <f>SUM('2.működés'!F71)</f>
        <v>541320</v>
      </c>
      <c r="G22" s="40">
        <f>SUM('2.működés'!G71)</f>
        <v>541320</v>
      </c>
      <c r="H22" s="7"/>
      <c r="I22" s="300"/>
      <c r="J22" s="2"/>
      <c r="K22" s="2"/>
      <c r="L22" s="7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2" ht="12.75" hidden="1" customHeight="1" x14ac:dyDescent="0.2">
      <c r="A23" s="8" t="s">
        <v>132</v>
      </c>
      <c r="B23" s="8" t="s">
        <v>138</v>
      </c>
      <c r="C23" s="13"/>
      <c r="D23" s="13"/>
      <c r="E23" s="13"/>
      <c r="F23" s="13"/>
      <c r="G23" s="13"/>
      <c r="H23" s="7"/>
      <c r="I23" s="300"/>
      <c r="J23" s="2"/>
      <c r="K23" s="2"/>
      <c r="L23" s="7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2" ht="12.75" hidden="1" customHeight="1" x14ac:dyDescent="0.2">
      <c r="A24" s="8" t="s">
        <v>133</v>
      </c>
      <c r="B24" s="8" t="s">
        <v>139</v>
      </c>
      <c r="C24" s="13"/>
      <c r="D24" s="13"/>
      <c r="E24" s="13"/>
      <c r="F24" s="13"/>
      <c r="G24" s="13"/>
      <c r="H24" s="7"/>
      <c r="I24" s="300"/>
      <c r="J24" s="2"/>
      <c r="K24" s="2"/>
      <c r="L24" s="7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2" ht="12.75" hidden="1" customHeight="1" x14ac:dyDescent="0.2">
      <c r="A25" s="8" t="s">
        <v>134</v>
      </c>
      <c r="B25" s="19" t="s">
        <v>140</v>
      </c>
      <c r="C25" s="47"/>
      <c r="D25" s="47"/>
      <c r="E25" s="47"/>
      <c r="F25" s="47"/>
      <c r="G25" s="47"/>
      <c r="H25" s="7"/>
      <c r="I25" s="300"/>
      <c r="J25" s="2"/>
      <c r="K25" s="2"/>
      <c r="L25" s="7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2" ht="12.75" hidden="1" customHeight="1" x14ac:dyDescent="0.2">
      <c r="A26" s="8" t="s">
        <v>135</v>
      </c>
      <c r="B26" s="8" t="s">
        <v>167</v>
      </c>
      <c r="C26" s="37"/>
      <c r="D26" s="37"/>
      <c r="E26" s="37"/>
      <c r="F26" s="37"/>
      <c r="G26" s="37"/>
      <c r="H26" s="7"/>
      <c r="I26" s="300"/>
      <c r="J26" s="2"/>
      <c r="K26" s="2"/>
      <c r="L26" s="7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2" s="48" customFormat="1" ht="12.75" hidden="1" customHeight="1" x14ac:dyDescent="0.2">
      <c r="A27" s="8" t="s">
        <v>136</v>
      </c>
      <c r="B27" s="8" t="s">
        <v>168</v>
      </c>
      <c r="C27" s="13"/>
      <c r="D27" s="13"/>
      <c r="E27" s="13"/>
      <c r="F27" s="13"/>
      <c r="G27" s="13"/>
      <c r="H27" s="7"/>
      <c r="I27" s="300"/>
      <c r="J27" s="2"/>
      <c r="K27" s="2"/>
      <c r="L27" s="7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1:42" s="48" customFormat="1" ht="12.75" hidden="1" customHeight="1" x14ac:dyDescent="0.2">
      <c r="A28" s="8" t="s">
        <v>137</v>
      </c>
      <c r="B28" s="8" t="s">
        <v>141</v>
      </c>
      <c r="C28" s="13"/>
      <c r="D28" s="13"/>
      <c r="E28" s="13"/>
      <c r="F28" s="13"/>
      <c r="G28" s="13"/>
      <c r="H28" s="7"/>
      <c r="I28" s="300"/>
      <c r="J28" s="2"/>
      <c r="K28" s="2"/>
      <c r="L28" s="7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1:42" s="48" customFormat="1" ht="18" customHeight="1" x14ac:dyDescent="0.25">
      <c r="A29" s="14" t="s">
        <v>142</v>
      </c>
      <c r="B29" s="22" t="s">
        <v>213</v>
      </c>
      <c r="C29" s="40">
        <f>SUM('2.működés'!C84)</f>
        <v>125200</v>
      </c>
      <c r="D29" s="40">
        <f>SUM('2.működés'!D84)</f>
        <v>125211</v>
      </c>
      <c r="E29" s="40">
        <f>SUM('2.működés'!E84)</f>
        <v>117626</v>
      </c>
      <c r="F29" s="40">
        <f>SUM('2.működés'!F84)</f>
        <v>125211</v>
      </c>
      <c r="G29" s="40">
        <f>SUM('2.működés'!G84)</f>
        <v>125211</v>
      </c>
      <c r="H29" s="7"/>
      <c r="I29" s="300"/>
      <c r="J29" s="2"/>
      <c r="K29" s="2"/>
      <c r="L29" s="7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1:42" ht="13.5" hidden="1" customHeight="1" x14ac:dyDescent="0.2">
      <c r="A30" s="8" t="s">
        <v>145</v>
      </c>
      <c r="B30" s="8" t="s">
        <v>143</v>
      </c>
      <c r="C30" s="13"/>
      <c r="D30" s="13"/>
      <c r="E30" s="13"/>
      <c r="F30" s="13"/>
      <c r="G30" s="13"/>
      <c r="H30" s="7"/>
      <c r="I30" s="300"/>
      <c r="J30" s="2"/>
      <c r="K30" s="2"/>
      <c r="L30" s="7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1:42" s="48" customFormat="1" ht="13.5" hidden="1" customHeight="1" x14ac:dyDescent="0.2">
      <c r="A31" s="8" t="s">
        <v>146</v>
      </c>
      <c r="B31" s="8" t="s">
        <v>144</v>
      </c>
      <c r="C31" s="13"/>
      <c r="D31" s="13"/>
      <c r="E31" s="13"/>
      <c r="F31" s="13"/>
      <c r="G31" s="13"/>
      <c r="H31" s="7"/>
      <c r="I31" s="300"/>
      <c r="J31" s="2"/>
      <c r="K31" s="2"/>
      <c r="L31" s="7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1:42" s="48" customFormat="1" ht="13.5" hidden="1" customHeight="1" x14ac:dyDescent="0.2">
      <c r="A32" s="8" t="s">
        <v>147</v>
      </c>
      <c r="B32" s="8" t="s">
        <v>150</v>
      </c>
      <c r="C32" s="11"/>
      <c r="D32" s="11"/>
      <c r="E32" s="11"/>
      <c r="F32" s="11"/>
      <c r="G32" s="11"/>
      <c r="H32" s="7"/>
      <c r="I32" s="300"/>
      <c r="J32" s="2"/>
      <c r="K32" s="2"/>
      <c r="L32" s="7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13.5" hidden="1" customHeight="1" x14ac:dyDescent="0.2">
      <c r="A33" s="8" t="s">
        <v>148</v>
      </c>
      <c r="B33" s="19" t="s">
        <v>151</v>
      </c>
      <c r="C33" s="8"/>
      <c r="D33" s="8"/>
      <c r="E33" s="8"/>
      <c r="F33" s="8"/>
      <c r="G33" s="8"/>
      <c r="H33" s="7"/>
      <c r="I33" s="300"/>
      <c r="J33" s="2"/>
      <c r="K33" s="2"/>
      <c r="L33" s="7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12.75" hidden="1" customHeight="1" x14ac:dyDescent="0.2">
      <c r="A34" s="8" t="s">
        <v>149</v>
      </c>
      <c r="B34" s="19" t="s">
        <v>152</v>
      </c>
      <c r="C34" s="8"/>
      <c r="D34" s="8"/>
      <c r="E34" s="8"/>
      <c r="F34" s="8"/>
      <c r="G34" s="8"/>
      <c r="H34" s="7"/>
      <c r="I34" s="300"/>
      <c r="J34" s="2"/>
      <c r="K34" s="2"/>
      <c r="L34" s="7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12.75" hidden="1" customHeight="1" x14ac:dyDescent="0.2">
      <c r="A35" s="8" t="s">
        <v>153</v>
      </c>
      <c r="B35" s="19" t="s">
        <v>154</v>
      </c>
      <c r="C35" s="8"/>
      <c r="D35" s="8"/>
      <c r="E35" s="8"/>
      <c r="F35" s="8"/>
      <c r="G35" s="8"/>
      <c r="H35" s="7"/>
      <c r="I35" s="300"/>
      <c r="J35" s="2"/>
      <c r="K35" s="2"/>
      <c r="L35" s="7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  <row r="36" spans="1:42" ht="12.75" hidden="1" customHeight="1" x14ac:dyDescent="0.2">
      <c r="A36" s="8" t="s">
        <v>155</v>
      </c>
      <c r="B36" s="19" t="s">
        <v>156</v>
      </c>
      <c r="C36" s="8"/>
      <c r="D36" s="8"/>
      <c r="E36" s="8"/>
      <c r="F36" s="8"/>
      <c r="G36" s="8"/>
      <c r="H36" s="7"/>
      <c r="I36" s="300"/>
      <c r="J36" s="2"/>
      <c r="K36" s="2"/>
      <c r="L36" s="7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</row>
    <row r="37" spans="1:42" ht="12.75" hidden="1" customHeight="1" x14ac:dyDescent="0.2">
      <c r="A37" s="8" t="s">
        <v>157</v>
      </c>
      <c r="B37" s="19" t="s">
        <v>158</v>
      </c>
      <c r="C37" s="8"/>
      <c r="D37" s="8"/>
      <c r="E37" s="8"/>
      <c r="F37" s="8"/>
      <c r="G37" s="8"/>
      <c r="H37" s="7"/>
      <c r="I37" s="300"/>
      <c r="J37" s="2"/>
      <c r="K37" s="2"/>
      <c r="L37" s="7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</row>
    <row r="38" spans="1:42" ht="12.75" hidden="1" customHeight="1" x14ac:dyDescent="0.2">
      <c r="A38" s="8" t="s">
        <v>159</v>
      </c>
      <c r="B38" s="19" t="s">
        <v>160</v>
      </c>
      <c r="C38" s="8"/>
      <c r="D38" s="8"/>
      <c r="E38" s="8"/>
      <c r="F38" s="8"/>
      <c r="G38" s="8"/>
      <c r="H38" s="7"/>
      <c r="I38" s="300"/>
      <c r="J38" s="2"/>
      <c r="K38" s="2"/>
      <c r="L38" s="7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</row>
    <row r="39" spans="1:42" ht="12.75" hidden="1" customHeight="1" x14ac:dyDescent="0.2">
      <c r="A39" s="8" t="s">
        <v>165</v>
      </c>
      <c r="B39" s="19" t="s">
        <v>166</v>
      </c>
      <c r="C39" s="8"/>
      <c r="D39" s="8"/>
      <c r="E39" s="8"/>
      <c r="F39" s="8"/>
      <c r="G39" s="8"/>
      <c r="H39" s="7"/>
      <c r="I39" s="300"/>
      <c r="J39" s="2"/>
      <c r="K39" s="2"/>
      <c r="L39" s="7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</row>
    <row r="40" spans="1:42" ht="17.25" customHeight="1" x14ac:dyDescent="0.25">
      <c r="A40" s="14" t="s">
        <v>169</v>
      </c>
      <c r="B40" s="22" t="s">
        <v>214</v>
      </c>
      <c r="C40" s="40">
        <f>SUM('3.felh'!C25)</f>
        <v>72700</v>
      </c>
      <c r="D40" s="40">
        <f>SUM('3.felh'!D25)</f>
        <v>98700</v>
      </c>
      <c r="E40" s="40">
        <f>SUM('3.felh'!E25)</f>
        <v>98700</v>
      </c>
      <c r="F40" s="40">
        <f>SUM('3.felh'!F25)</f>
        <v>72700</v>
      </c>
      <c r="G40" s="40">
        <f>SUM('3.felh'!G25)</f>
        <v>72700</v>
      </c>
      <c r="H40" s="2"/>
      <c r="I40" s="300"/>
      <c r="J40" s="2"/>
      <c r="K40" s="2"/>
      <c r="L40" s="7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</row>
    <row r="41" spans="1:42" ht="12.75" hidden="1" customHeight="1" x14ac:dyDescent="0.2">
      <c r="A41" s="8" t="s">
        <v>170</v>
      </c>
      <c r="B41" s="19" t="s">
        <v>175</v>
      </c>
      <c r="C41" s="8"/>
      <c r="D41" s="8"/>
      <c r="E41" s="8"/>
      <c r="F41" s="8"/>
      <c r="G41" s="8"/>
      <c r="H41" s="2"/>
      <c r="I41" s="300"/>
      <c r="J41" s="2"/>
      <c r="K41" s="2"/>
      <c r="L41" s="7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</row>
    <row r="42" spans="1:42" ht="12.75" hidden="1" customHeight="1" x14ac:dyDescent="0.2">
      <c r="A42" s="8" t="s">
        <v>171</v>
      </c>
      <c r="B42" s="19" t="s">
        <v>176</v>
      </c>
      <c r="C42" s="8"/>
      <c r="D42" s="8"/>
      <c r="E42" s="8"/>
      <c r="F42" s="8"/>
      <c r="G42" s="8"/>
      <c r="H42" s="2"/>
      <c r="I42" s="300"/>
      <c r="J42" s="2"/>
      <c r="K42" s="2"/>
      <c r="L42" s="7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42" ht="12.75" hidden="1" customHeight="1" x14ac:dyDescent="0.2">
      <c r="A43" s="8" t="s">
        <v>172</v>
      </c>
      <c r="B43" s="19" t="s">
        <v>177</v>
      </c>
      <c r="C43" s="8"/>
      <c r="D43" s="8"/>
      <c r="E43" s="8"/>
      <c r="F43" s="8"/>
      <c r="G43" s="8"/>
      <c r="H43" s="2"/>
      <c r="I43" s="300"/>
      <c r="J43" s="2"/>
      <c r="K43" s="2"/>
      <c r="L43" s="7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</row>
    <row r="44" spans="1:42" ht="12.75" hidden="1" customHeight="1" x14ac:dyDescent="0.2">
      <c r="A44" s="8" t="s">
        <v>173</v>
      </c>
      <c r="B44" s="19" t="s">
        <v>178</v>
      </c>
      <c r="C44" s="8"/>
      <c r="D44" s="8"/>
      <c r="E44" s="8"/>
      <c r="F44" s="8"/>
      <c r="G44" s="8"/>
      <c r="H44" s="2"/>
      <c r="I44" s="300"/>
      <c r="J44" s="2"/>
      <c r="K44" s="2"/>
      <c r="L44" s="7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</row>
    <row r="45" spans="1:42" ht="12.75" hidden="1" customHeight="1" x14ac:dyDescent="0.2">
      <c r="A45" s="8" t="s">
        <v>174</v>
      </c>
      <c r="B45" s="19" t="s">
        <v>179</v>
      </c>
      <c r="C45" s="8"/>
      <c r="D45" s="8"/>
      <c r="E45" s="8"/>
      <c r="F45" s="8"/>
      <c r="G45" s="8"/>
      <c r="H45" s="2"/>
      <c r="I45" s="300"/>
      <c r="J45" s="2"/>
      <c r="K45" s="2"/>
      <c r="L45" s="7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</row>
    <row r="46" spans="1:42" ht="18" customHeight="1" x14ac:dyDescent="0.25">
      <c r="A46" s="14" t="s">
        <v>180</v>
      </c>
      <c r="B46" s="22" t="s">
        <v>215</v>
      </c>
      <c r="C46" s="40">
        <f>SUM('2.működés'!C96)</f>
        <v>38000</v>
      </c>
      <c r="D46" s="40">
        <f>SUM('2.működés'!D96)</f>
        <v>35893</v>
      </c>
      <c r="E46" s="40">
        <f>SUM('2.működés'!E96)</f>
        <v>35893</v>
      </c>
      <c r="F46" s="40">
        <f>SUM('2.működés'!F96)</f>
        <v>35893</v>
      </c>
      <c r="G46" s="40">
        <f>SUM('2.működés'!G96)</f>
        <v>35893</v>
      </c>
      <c r="H46" s="2"/>
      <c r="I46" s="300"/>
      <c r="J46" s="2"/>
      <c r="K46" s="2"/>
      <c r="L46" s="7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42" ht="12.75" hidden="1" customHeight="1" x14ac:dyDescent="0.2">
      <c r="A47" s="8" t="s">
        <v>186</v>
      </c>
      <c r="B47" s="19" t="s">
        <v>183</v>
      </c>
      <c r="C47" s="8"/>
      <c r="D47" s="8"/>
      <c r="E47" s="8"/>
      <c r="F47" s="8"/>
      <c r="G47" s="8"/>
      <c r="H47" s="2"/>
      <c r="I47" s="300"/>
      <c r="J47" s="2"/>
      <c r="K47" s="2"/>
      <c r="L47" s="7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</row>
    <row r="48" spans="1:42" ht="12.75" hidden="1" customHeight="1" x14ac:dyDescent="0.2">
      <c r="A48" s="8" t="s">
        <v>187</v>
      </c>
      <c r="B48" s="19" t="s">
        <v>184</v>
      </c>
      <c r="C48" s="8"/>
      <c r="D48" s="8"/>
      <c r="E48" s="8"/>
      <c r="F48" s="8"/>
      <c r="G48" s="8"/>
      <c r="H48" s="2"/>
      <c r="I48" s="300"/>
      <c r="J48" s="2"/>
      <c r="K48" s="2"/>
      <c r="L48" s="7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</row>
    <row r="49" spans="1:42" ht="12.75" hidden="1" customHeight="1" x14ac:dyDescent="0.2">
      <c r="A49" s="8" t="s">
        <v>188</v>
      </c>
      <c r="B49" s="19" t="s">
        <v>185</v>
      </c>
      <c r="C49" s="8"/>
      <c r="D49" s="8"/>
      <c r="E49" s="8"/>
      <c r="F49" s="8"/>
      <c r="G49" s="8"/>
      <c r="H49" s="2"/>
      <c r="I49" s="300"/>
      <c r="J49" s="2"/>
      <c r="K49" s="2"/>
      <c r="L49" s="7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</row>
    <row r="50" spans="1:42" ht="18" customHeight="1" x14ac:dyDescent="0.25">
      <c r="A50" s="14" t="s">
        <v>181</v>
      </c>
      <c r="B50" s="22" t="s">
        <v>216</v>
      </c>
      <c r="C50" s="40">
        <f>SUM('3.felh'!C31)</f>
        <v>10300</v>
      </c>
      <c r="D50" s="40">
        <f>SUM('3.felh'!D31)</f>
        <v>20300</v>
      </c>
      <c r="E50" s="40">
        <f>SUM('3.felh'!E31)</f>
        <v>20300</v>
      </c>
      <c r="F50" s="40">
        <f>SUM('3.felh'!F31)</f>
        <v>10300</v>
      </c>
      <c r="G50" s="40">
        <f>SUM('3.felh'!G31)</f>
        <v>10300</v>
      </c>
      <c r="H50" s="2"/>
      <c r="I50" s="300"/>
      <c r="J50" s="2"/>
      <c r="K50" s="2"/>
      <c r="L50" s="7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42" ht="13.5" hidden="1" customHeight="1" x14ac:dyDescent="0.25">
      <c r="A51" s="8" t="s">
        <v>189</v>
      </c>
      <c r="B51" s="19" t="s">
        <v>192</v>
      </c>
      <c r="C51" s="40"/>
      <c r="D51" s="40"/>
      <c r="E51" s="40"/>
      <c r="F51" s="40"/>
      <c r="G51" s="40"/>
      <c r="H51" s="2"/>
      <c r="I51" s="300"/>
      <c r="J51" s="2"/>
      <c r="K51" s="2"/>
      <c r="L51" s="7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ht="13.5" hidden="1" customHeight="1" x14ac:dyDescent="0.25">
      <c r="A52" s="8" t="s">
        <v>190</v>
      </c>
      <c r="B52" s="19" t="s">
        <v>193</v>
      </c>
      <c r="C52" s="40"/>
      <c r="D52" s="40"/>
      <c r="E52" s="40"/>
      <c r="F52" s="40"/>
      <c r="G52" s="40"/>
      <c r="H52" s="2"/>
      <c r="I52" s="300"/>
      <c r="J52" s="2"/>
      <c r="K52" s="2"/>
      <c r="L52" s="7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ht="13.5" hidden="1" customHeight="1" x14ac:dyDescent="0.25">
      <c r="A53" s="8" t="s">
        <v>191</v>
      </c>
      <c r="B53" s="19" t="s">
        <v>194</v>
      </c>
      <c r="C53" s="40"/>
      <c r="D53" s="40"/>
      <c r="E53" s="40"/>
      <c r="F53" s="40"/>
      <c r="G53" s="40"/>
      <c r="H53" s="2"/>
      <c r="I53" s="300"/>
      <c r="J53" s="2"/>
      <c r="K53" s="2"/>
      <c r="L53" s="7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</row>
    <row r="54" spans="1:42" ht="22.5" customHeight="1" x14ac:dyDescent="0.2">
      <c r="A54" s="24" t="s">
        <v>182</v>
      </c>
      <c r="B54" s="167" t="s">
        <v>319</v>
      </c>
      <c r="C54" s="188">
        <f>SUM(C55+C60)</f>
        <v>1979225</v>
      </c>
      <c r="D54" s="188">
        <f>SUM(D55+D60)</f>
        <v>1977918</v>
      </c>
      <c r="E54" s="188">
        <f>SUM(E55+E60)</f>
        <v>1977918</v>
      </c>
      <c r="F54" s="188">
        <f>SUM(F55+F60)</f>
        <v>1977918</v>
      </c>
      <c r="G54" s="188">
        <f>SUM(G55+G60)</f>
        <v>1977918</v>
      </c>
      <c r="H54" s="2"/>
      <c r="I54" s="300"/>
      <c r="J54" s="2"/>
      <c r="K54" s="2"/>
      <c r="L54" s="7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42" ht="13.5" customHeight="1" x14ac:dyDescent="0.25">
      <c r="A55" s="24"/>
      <c r="B55" s="22" t="s">
        <v>399</v>
      </c>
      <c r="C55" s="40">
        <f>SUM(C56)+C59</f>
        <v>1629225</v>
      </c>
      <c r="D55" s="40">
        <f>SUM(D56)+D59</f>
        <v>1627918</v>
      </c>
      <c r="E55" s="40">
        <f>SUM(E56)+E59</f>
        <v>1627918</v>
      </c>
      <c r="F55" s="40">
        <f>SUM(F56)+F59</f>
        <v>1627918</v>
      </c>
      <c r="G55" s="40">
        <f>SUM(G56)+G59</f>
        <v>1627918</v>
      </c>
      <c r="H55" s="2"/>
      <c r="I55" s="300"/>
      <c r="J55" s="2"/>
      <c r="K55" s="2"/>
      <c r="L55" s="7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</row>
    <row r="56" spans="1:42" ht="13.5" customHeight="1" x14ac:dyDescent="0.2">
      <c r="A56" s="8"/>
      <c r="B56" s="29" t="s">
        <v>400</v>
      </c>
      <c r="C56" s="13">
        <f>SUM(C57:C58)</f>
        <v>1629225</v>
      </c>
      <c r="D56" s="13">
        <f>SUM(D57:D58)</f>
        <v>1627918</v>
      </c>
      <c r="E56" s="13">
        <f>SUM(E57:E58)</f>
        <v>1627918</v>
      </c>
      <c r="F56" s="5">
        <f>SUM(F57:F58)</f>
        <v>1627918</v>
      </c>
      <c r="G56" s="5">
        <f>SUM(G57:G58)</f>
        <v>1627918</v>
      </c>
      <c r="H56" s="2"/>
      <c r="I56" s="300"/>
      <c r="J56" s="7"/>
      <c r="K56" s="2"/>
      <c r="L56" s="7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42" x14ac:dyDescent="0.2">
      <c r="A57" s="8"/>
      <c r="B57" s="29" t="s">
        <v>388</v>
      </c>
      <c r="C57" s="13">
        <f>SUM('2.működés'!C105)</f>
        <v>708152</v>
      </c>
      <c r="D57" s="13">
        <f>SUM('2.működés'!D105)</f>
        <v>706845</v>
      </c>
      <c r="E57" s="13">
        <f>SUM('2.működés'!E105)</f>
        <v>706845</v>
      </c>
      <c r="F57" s="13">
        <f>SUM('2.működés'!F105)</f>
        <v>706845</v>
      </c>
      <c r="G57" s="13">
        <f>SUM('2.működés'!G105)</f>
        <v>706845</v>
      </c>
      <c r="H57" s="7"/>
      <c r="I57" s="300"/>
      <c r="J57" s="2"/>
      <c r="K57" s="2"/>
      <c r="L57" s="7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42" x14ac:dyDescent="0.2">
      <c r="A58" s="8"/>
      <c r="B58" s="29" t="s">
        <v>389</v>
      </c>
      <c r="C58" s="13">
        <f>'3.felh'!C37</f>
        <v>921073</v>
      </c>
      <c r="D58" s="13">
        <f>'3.felh'!D37</f>
        <v>921073</v>
      </c>
      <c r="E58" s="13">
        <f>'3.felh'!E37</f>
        <v>921073</v>
      </c>
      <c r="F58" s="13">
        <f>'3.felh'!F37</f>
        <v>921073</v>
      </c>
      <c r="G58" s="13">
        <f>'3.felh'!G37</f>
        <v>921073</v>
      </c>
      <c r="H58" s="7"/>
      <c r="I58" s="300"/>
      <c r="J58" s="2"/>
      <c r="K58" s="2"/>
      <c r="L58" s="7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42" ht="13.5" hidden="1" customHeight="1" x14ac:dyDescent="0.2">
      <c r="A59" s="8"/>
      <c r="B59" s="29" t="s">
        <v>445</v>
      </c>
      <c r="C59" s="13">
        <f>'2.működés'!C110</f>
        <v>0</v>
      </c>
      <c r="D59" s="13">
        <f>'2.működés'!D110</f>
        <v>0</v>
      </c>
      <c r="E59" s="13">
        <f>'2.működés'!E110</f>
        <v>0</v>
      </c>
      <c r="F59" s="13">
        <f>'2.működés'!F110</f>
        <v>0</v>
      </c>
      <c r="G59" s="13">
        <f>'2.működés'!G110</f>
        <v>0</v>
      </c>
      <c r="H59" s="2"/>
      <c r="I59" s="300"/>
      <c r="J59" s="2"/>
      <c r="K59" s="2"/>
      <c r="L59" s="7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42" ht="13.5" customHeight="1" x14ac:dyDescent="0.25">
      <c r="A60" s="8"/>
      <c r="B60" s="22" t="s">
        <v>397</v>
      </c>
      <c r="C60" s="40">
        <f>SUM(C61:C62)</f>
        <v>350000</v>
      </c>
      <c r="D60" s="40">
        <f>SUM(D61:D62)</f>
        <v>350000</v>
      </c>
      <c r="E60" s="40">
        <f>SUM(E61:E62)</f>
        <v>350000</v>
      </c>
      <c r="F60" s="40">
        <f>SUM(F61:F62)</f>
        <v>350000</v>
      </c>
      <c r="G60" s="40">
        <f>SUM(G61:G62)</f>
        <v>350000</v>
      </c>
      <c r="H60" s="2"/>
      <c r="I60" s="300"/>
      <c r="J60" s="2"/>
      <c r="K60" s="2"/>
      <c r="L60" s="7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42" ht="13.5" hidden="1" customHeight="1" x14ac:dyDescent="0.2">
      <c r="A61" s="8"/>
      <c r="B61" s="8" t="s">
        <v>863</v>
      </c>
      <c r="C61" s="13">
        <f>'2.működés'!C112</f>
        <v>0</v>
      </c>
      <c r="D61" s="13">
        <v>0</v>
      </c>
      <c r="E61" s="13">
        <v>0</v>
      </c>
      <c r="F61" s="13">
        <v>0</v>
      </c>
      <c r="G61" s="13">
        <v>0</v>
      </c>
      <c r="H61" s="2"/>
      <c r="I61" s="300"/>
      <c r="J61" s="2"/>
      <c r="K61" s="2"/>
      <c r="L61" s="7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42" ht="13.5" customHeight="1" thickBot="1" x14ac:dyDescent="0.25">
      <c r="A62" s="12"/>
      <c r="B62" s="12" t="s">
        <v>1039</v>
      </c>
      <c r="C62" s="30">
        <f>'3.felh'!C40</f>
        <v>350000</v>
      </c>
      <c r="D62" s="30">
        <f>'3.felh'!D40</f>
        <v>350000</v>
      </c>
      <c r="E62" s="30">
        <f>'3.felh'!E40</f>
        <v>350000</v>
      </c>
      <c r="F62" s="30">
        <f>'3.felh'!F40</f>
        <v>350000</v>
      </c>
      <c r="G62" s="30">
        <f>'3.felh'!G40</f>
        <v>350000</v>
      </c>
      <c r="H62" s="2"/>
      <c r="I62" s="300"/>
      <c r="J62" s="2"/>
      <c r="K62" s="2"/>
      <c r="L62" s="7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42" ht="23.25" customHeight="1" thickBot="1" x14ac:dyDescent="0.4">
      <c r="A63" s="210"/>
      <c r="B63" s="211" t="s">
        <v>342</v>
      </c>
      <c r="C63" s="432">
        <f>SUM(C8+C54)</f>
        <v>3499029</v>
      </c>
      <c r="D63" s="432">
        <f>SUM(D8+D54)</f>
        <v>3539543</v>
      </c>
      <c r="E63" s="432">
        <f>SUM(E8+E54)</f>
        <v>3556111</v>
      </c>
      <c r="F63" s="174">
        <f>SUM(F8+F54)</f>
        <v>3503392</v>
      </c>
      <c r="G63" s="46">
        <f>SUM(G8+G54)</f>
        <v>3503392</v>
      </c>
      <c r="H63" s="455">
        <f>D63-D89</f>
        <v>0</v>
      </c>
      <c r="I63" s="300">
        <f>E63-D63</f>
        <v>16568</v>
      </c>
      <c r="J63" s="2"/>
      <c r="K63" s="7">
        <f>C63-'9.Hivatal'!T86-'9.Hivatal'!T88-'9.Hivatal'!T89-'9.Hivatal'!T90</f>
        <v>3423134</v>
      </c>
      <c r="L63" s="7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42" ht="20.25" customHeight="1" x14ac:dyDescent="0.25">
      <c r="A64" s="143" t="s">
        <v>321</v>
      </c>
      <c r="B64" s="220" t="s">
        <v>311</v>
      </c>
      <c r="C64" s="169">
        <f>SUM(C65+C74)</f>
        <v>3393644</v>
      </c>
      <c r="D64" s="169">
        <f>SUM(D65+D74)</f>
        <v>3434158</v>
      </c>
      <c r="E64" s="169">
        <f>SUM(E65+E74)</f>
        <v>3450726</v>
      </c>
      <c r="F64" s="169" t="e">
        <f>SUM(F65+F74)</f>
        <v>#REF!</v>
      </c>
      <c r="G64" s="169" t="e">
        <f>SUM(G65+G74)</f>
        <v>#REF!</v>
      </c>
      <c r="H64" s="7"/>
      <c r="I64" s="300"/>
      <c r="J64" s="2"/>
      <c r="K64" s="2"/>
      <c r="L64" s="7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ht="18" customHeight="1" x14ac:dyDescent="0.25">
      <c r="A65" s="14" t="s">
        <v>195</v>
      </c>
      <c r="B65" s="22" t="s">
        <v>1047</v>
      </c>
      <c r="C65" s="144">
        <f>C66</f>
        <v>1736677</v>
      </c>
      <c r="D65" s="144">
        <f>D66</f>
        <v>1738730</v>
      </c>
      <c r="E65" s="144">
        <f>E66</f>
        <v>1700179</v>
      </c>
      <c r="F65" s="144" t="e">
        <f>SUM(F66:F72)</f>
        <v>#REF!</v>
      </c>
      <c r="G65" s="144" t="e">
        <f>SUM(G66:G72)</f>
        <v>#REF!</v>
      </c>
      <c r="H65" s="7"/>
      <c r="I65" s="300"/>
      <c r="J65" s="2"/>
      <c r="K65" s="2"/>
      <c r="L65" s="7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2">
      <c r="A66" s="8"/>
      <c r="B66" s="14" t="s">
        <v>1021</v>
      </c>
      <c r="C66" s="81">
        <f>SUM(C67:C71)</f>
        <v>1736677</v>
      </c>
      <c r="D66" s="81">
        <f>SUM(D67:D71)</f>
        <v>1738730</v>
      </c>
      <c r="E66" s="81">
        <f>SUM(E67:E71)</f>
        <v>1700179</v>
      </c>
      <c r="F66" s="81" t="e">
        <f>SUM('8.Önk.'!BD100)</f>
        <v>#REF!</v>
      </c>
      <c r="G66" s="81" t="e">
        <f>SUM('8.Önk.'!BE100)</f>
        <v>#REF!</v>
      </c>
      <c r="H66" s="2"/>
      <c r="I66" s="300"/>
      <c r="J66" s="2"/>
      <c r="K66" s="2"/>
      <c r="L66" s="7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x14ac:dyDescent="0.2">
      <c r="A67" s="8"/>
      <c r="B67" s="8" t="s">
        <v>1022</v>
      </c>
      <c r="C67" s="127">
        <f>'2.működés'!C115</f>
        <v>277035</v>
      </c>
      <c r="D67" s="127">
        <f>'2.működés'!D115</f>
        <v>277292</v>
      </c>
      <c r="E67" s="127">
        <f>'2.működés'!E115</f>
        <v>287677</v>
      </c>
      <c r="F67" s="127"/>
      <c r="G67" s="127"/>
      <c r="H67" s="2"/>
      <c r="I67" s="300"/>
      <c r="J67" s="2"/>
      <c r="K67" s="2"/>
      <c r="L67" s="7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x14ac:dyDescent="0.2">
      <c r="A68" s="8"/>
      <c r="B68" s="8" t="s">
        <v>1023</v>
      </c>
      <c r="C68" s="127">
        <f>'2.működés'!C118</f>
        <v>35306</v>
      </c>
      <c r="D68" s="127">
        <f>'2.működés'!D118</f>
        <v>35361</v>
      </c>
      <c r="E68" s="127">
        <f>'2.működés'!E118</f>
        <v>36638</v>
      </c>
      <c r="F68" s="127"/>
      <c r="G68" s="127"/>
      <c r="H68" s="2"/>
      <c r="I68" s="300"/>
      <c r="J68" s="2"/>
      <c r="K68" s="2"/>
      <c r="L68" s="7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x14ac:dyDescent="0.2">
      <c r="A69" s="8"/>
      <c r="B69" s="8" t="s">
        <v>1024</v>
      </c>
      <c r="C69" s="127">
        <f>'2.működés'!C121</f>
        <v>686565</v>
      </c>
      <c r="D69" s="127">
        <f>'2.működés'!D121</f>
        <v>679077</v>
      </c>
      <c r="E69" s="127">
        <f>'2.működés'!E121</f>
        <v>671719</v>
      </c>
      <c r="F69" s="127"/>
      <c r="G69" s="127"/>
      <c r="H69" s="2"/>
      <c r="I69" s="300"/>
      <c r="J69" s="2"/>
      <c r="K69" s="2"/>
      <c r="L69" s="7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x14ac:dyDescent="0.2">
      <c r="A70" s="8"/>
      <c r="B70" s="8" t="s">
        <v>1025</v>
      </c>
      <c r="C70" s="127">
        <f>'2.működés'!C124</f>
        <v>11500</v>
      </c>
      <c r="D70" s="127">
        <f>'2.működés'!D124</f>
        <v>11500</v>
      </c>
      <c r="E70" s="127">
        <f>'2.működés'!E124</f>
        <v>11500</v>
      </c>
      <c r="F70" s="127"/>
      <c r="G70" s="127"/>
      <c r="H70" s="2"/>
      <c r="I70" s="300"/>
      <c r="J70" s="2"/>
      <c r="K70" s="2"/>
      <c r="L70" s="7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x14ac:dyDescent="0.2">
      <c r="A71" s="8"/>
      <c r="B71" s="8" t="s">
        <v>1026</v>
      </c>
      <c r="C71" s="127">
        <f>'2.működés'!C125</f>
        <v>726271</v>
      </c>
      <c r="D71" s="127">
        <f>'2.működés'!D125</f>
        <v>735500</v>
      </c>
      <c r="E71" s="127">
        <f>'2.működés'!E125</f>
        <v>692645</v>
      </c>
      <c r="F71" s="127"/>
      <c r="G71" s="127"/>
      <c r="H71" s="2"/>
      <c r="I71" s="300"/>
      <c r="J71" s="2"/>
      <c r="K71" s="2"/>
      <c r="L71" s="7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ht="13.5" hidden="1" customHeight="1" thickBot="1" x14ac:dyDescent="0.25">
      <c r="A72" s="8"/>
      <c r="B72" s="8" t="s">
        <v>419</v>
      </c>
      <c r="C72" s="127">
        <v>0</v>
      </c>
      <c r="D72" s="127">
        <v>1</v>
      </c>
      <c r="E72" s="127">
        <v>1</v>
      </c>
      <c r="F72" s="127">
        <f>SUM('9.Hivatal'!U79)</f>
        <v>265165</v>
      </c>
      <c r="G72" s="127">
        <f>SUM('9.Hivatal'!V79)</f>
        <v>265165</v>
      </c>
      <c r="H72" s="2"/>
      <c r="I72" s="300"/>
      <c r="J72" s="2"/>
      <c r="K72" s="2"/>
      <c r="L72" s="7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ht="12.75" hidden="1" customHeight="1" thickBot="1" x14ac:dyDescent="0.25">
      <c r="A73" s="8"/>
      <c r="B73" s="8" t="s">
        <v>398</v>
      </c>
      <c r="C73" s="257"/>
      <c r="D73" s="257"/>
      <c r="E73" s="257"/>
      <c r="F73" s="257"/>
      <c r="G73" s="257"/>
      <c r="H73" s="2"/>
      <c r="I73" s="300"/>
      <c r="J73" s="2"/>
      <c r="K73" s="2"/>
      <c r="L73" s="7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ht="18" customHeight="1" x14ac:dyDescent="0.25">
      <c r="A74" s="14" t="s">
        <v>196</v>
      </c>
      <c r="B74" s="22" t="s">
        <v>1048</v>
      </c>
      <c r="C74" s="34">
        <f>SUM(C75:C77)</f>
        <v>1656967</v>
      </c>
      <c r="D74" s="34">
        <f>SUM(D75:D77)</f>
        <v>1695428</v>
      </c>
      <c r="E74" s="34">
        <f>SUM(E75:E77)</f>
        <v>1750547</v>
      </c>
      <c r="F74" s="34">
        <f>SUM(F75:F77)</f>
        <v>1710053</v>
      </c>
      <c r="G74" s="34">
        <f>SUM(G75:G77)</f>
        <v>1710053</v>
      </c>
      <c r="H74" s="7"/>
      <c r="I74" s="300"/>
      <c r="J74" s="2"/>
      <c r="K74" s="2"/>
      <c r="L74" s="7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s="48" customFormat="1" ht="13.5" customHeight="1" x14ac:dyDescent="0.2">
      <c r="A75" s="8"/>
      <c r="B75" s="8" t="s">
        <v>305</v>
      </c>
      <c r="C75" s="13">
        <f>SUM('3.felh'!C44)</f>
        <v>225350</v>
      </c>
      <c r="D75" s="13">
        <f>SUM('3.felh'!D44)</f>
        <v>248484</v>
      </c>
      <c r="E75" s="13">
        <f>SUM('3.felh'!E44)</f>
        <v>272034</v>
      </c>
      <c r="F75" s="13">
        <f>SUM('3.felh'!F44)</f>
        <v>228900</v>
      </c>
      <c r="G75" s="13">
        <f>SUM('3.felh'!G44)</f>
        <v>228900</v>
      </c>
      <c r="H75" s="2"/>
      <c r="I75" s="300"/>
      <c r="J75" s="2"/>
      <c r="K75" s="2"/>
      <c r="L75" s="7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s="48" customFormat="1" ht="13.5" customHeight="1" x14ac:dyDescent="0.2">
      <c r="A76" s="8"/>
      <c r="B76" s="8" t="s">
        <v>306</v>
      </c>
      <c r="C76" s="13">
        <f>SUM('3.felh'!C66)</f>
        <v>821982</v>
      </c>
      <c r="D76" s="13">
        <f>SUM('3.felh'!D66)</f>
        <v>836629</v>
      </c>
      <c r="E76" s="13">
        <f>SUM('3.felh'!E66)</f>
        <v>628048</v>
      </c>
      <c r="F76" s="13">
        <f>SUM('3.felh'!F66)</f>
        <v>873545</v>
      </c>
      <c r="G76" s="13">
        <f>SUM('3.felh'!G66)</f>
        <v>873545</v>
      </c>
      <c r="H76" s="2"/>
      <c r="I76" s="300"/>
      <c r="J76" s="2"/>
      <c r="K76" s="2"/>
      <c r="L76" s="7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s="48" customFormat="1" ht="13.5" customHeight="1" x14ac:dyDescent="0.2">
      <c r="A77" s="8"/>
      <c r="B77" s="8" t="s">
        <v>307</v>
      </c>
      <c r="C77" s="13">
        <f>SUM(C78:C80)</f>
        <v>609635</v>
      </c>
      <c r="D77" s="13">
        <f>SUM(D78:D80)</f>
        <v>610315</v>
      </c>
      <c r="E77" s="13">
        <f>SUM(E78:E80)</f>
        <v>850465</v>
      </c>
      <c r="F77" s="13">
        <f t="shared" ref="F77:G77" si="0">SUM(F78:F80)</f>
        <v>607608</v>
      </c>
      <c r="G77" s="13">
        <f t="shared" si="0"/>
        <v>607608</v>
      </c>
      <c r="H77" s="2"/>
      <c r="I77" s="300"/>
      <c r="J77" s="2"/>
      <c r="K77" s="2"/>
      <c r="L77" s="7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s="48" customFormat="1" ht="13.5" customHeight="1" x14ac:dyDescent="0.2">
      <c r="A78" s="8"/>
      <c r="B78" s="147" t="s">
        <v>693</v>
      </c>
      <c r="C78" s="71">
        <f>SUM('3.felh'!C88)</f>
        <v>0</v>
      </c>
      <c r="D78" s="71">
        <f>SUM('3.felh'!D88)</f>
        <v>680</v>
      </c>
      <c r="E78" s="71">
        <f>SUM('3.felh'!E88)+'3.felh'!E89+'3.felh'!E90</f>
        <v>850465</v>
      </c>
      <c r="F78" s="13">
        <f>SUM('3.felh'!F88)</f>
        <v>0</v>
      </c>
      <c r="G78" s="13">
        <f>SUM('3.felh'!G88)</f>
        <v>0</v>
      </c>
      <c r="H78" s="2"/>
      <c r="I78" s="300"/>
      <c r="J78" s="2"/>
      <c r="K78" s="2"/>
      <c r="L78" s="7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s="48" customFormat="1" ht="13.5" customHeight="1" thickBot="1" x14ac:dyDescent="0.25">
      <c r="A79" s="8"/>
      <c r="B79" s="147" t="s">
        <v>704</v>
      </c>
      <c r="C79" s="71">
        <v>0</v>
      </c>
      <c r="D79" s="71">
        <v>0</v>
      </c>
      <c r="E79" s="71">
        <v>0</v>
      </c>
      <c r="F79" s="13">
        <v>0</v>
      </c>
      <c r="G79" s="13">
        <v>0</v>
      </c>
      <c r="H79" s="2"/>
      <c r="I79" s="7"/>
      <c r="J79" s="2"/>
      <c r="K79" s="2"/>
      <c r="L79" s="7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s="48" customFormat="1" ht="13.5" customHeight="1" thickBot="1" x14ac:dyDescent="0.25">
      <c r="A80" s="8"/>
      <c r="B80" s="640" t="s">
        <v>1052</v>
      </c>
      <c r="C80" s="641">
        <f>SUM('3.felh'!C92)</f>
        <v>609635</v>
      </c>
      <c r="D80" s="641">
        <f>SUM('3.felh'!D92)</f>
        <v>609635</v>
      </c>
      <c r="E80" s="641">
        <f>SUM('3.felh'!E92)</f>
        <v>0</v>
      </c>
      <c r="F80" s="516">
        <f>SUM('3.felh'!F92)</f>
        <v>607608</v>
      </c>
      <c r="G80" s="516">
        <f>SUM('3.felh'!G92)</f>
        <v>607608</v>
      </c>
      <c r="H80" s="7"/>
      <c r="I80" s="7"/>
      <c r="J80" s="2"/>
      <c r="K80" s="2"/>
      <c r="L80" s="7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s="48" customFormat="1" ht="22.5" customHeight="1" x14ac:dyDescent="0.25">
      <c r="A81" s="14" t="s">
        <v>197</v>
      </c>
      <c r="B81" s="167" t="s">
        <v>320</v>
      </c>
      <c r="C81" s="185">
        <f>SUM(C82+C87+C88)</f>
        <v>105385</v>
      </c>
      <c r="D81" s="185">
        <f>SUM(D82+D87+D88)</f>
        <v>105385</v>
      </c>
      <c r="E81" s="185">
        <f>SUM(E82+E87+E88)</f>
        <v>105385</v>
      </c>
      <c r="F81" s="185">
        <f t="shared" ref="F81:G81" si="1">SUM(F82+F87+F88)</f>
        <v>105385</v>
      </c>
      <c r="G81" s="185">
        <f t="shared" si="1"/>
        <v>105385</v>
      </c>
      <c r="H81" s="2"/>
      <c r="I81" s="7"/>
      <c r="J81" s="2"/>
      <c r="K81" s="2"/>
      <c r="L81" s="7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s="48" customFormat="1" ht="15" customHeight="1" x14ac:dyDescent="0.25">
      <c r="A82" s="14"/>
      <c r="B82" s="184" t="s">
        <v>347</v>
      </c>
      <c r="C82" s="156">
        <f>SUM(C83:C86)</f>
        <v>105385</v>
      </c>
      <c r="D82" s="156">
        <f>SUM(D83:D86)</f>
        <v>105385</v>
      </c>
      <c r="E82" s="156">
        <f>SUM(E83:E86)</f>
        <v>105385</v>
      </c>
      <c r="F82" s="156">
        <f t="shared" ref="F82:G82" si="2">SUM(F84:F86)</f>
        <v>105385</v>
      </c>
      <c r="G82" s="156">
        <f t="shared" si="2"/>
        <v>105385</v>
      </c>
      <c r="H82" s="2"/>
      <c r="I82" s="300"/>
      <c r="J82" s="2"/>
      <c r="K82" s="2"/>
      <c r="L82" s="7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s="48" customFormat="1" ht="13.5" hidden="1" x14ac:dyDescent="0.25">
      <c r="A83" s="8" t="s">
        <v>1006</v>
      </c>
      <c r="B83" s="8" t="s">
        <v>1008</v>
      </c>
      <c r="C83" s="13">
        <v>0</v>
      </c>
      <c r="D83" s="13">
        <v>0</v>
      </c>
      <c r="E83" s="13">
        <v>0</v>
      </c>
      <c r="F83" s="156"/>
      <c r="G83" s="156"/>
      <c r="H83" s="2"/>
      <c r="I83" s="300"/>
      <c r="J83" s="2"/>
      <c r="K83" s="2"/>
      <c r="L83" s="7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s="48" customFormat="1" ht="12.75" customHeight="1" x14ac:dyDescent="0.2">
      <c r="A84" s="8" t="s">
        <v>354</v>
      </c>
      <c r="B84" s="8" t="s">
        <v>374</v>
      </c>
      <c r="C84" s="13">
        <f>SUM('2.működés'!C133)</f>
        <v>19597</v>
      </c>
      <c r="D84" s="13">
        <f>SUM('2.működés'!D133)</f>
        <v>19597</v>
      </c>
      <c r="E84" s="13">
        <f>SUM('2.működés'!E133)</f>
        <v>19597</v>
      </c>
      <c r="F84" s="13">
        <f>SUM('2.működés'!F133)</f>
        <v>19597</v>
      </c>
      <c r="G84" s="13">
        <f>SUM('2.működés'!G133)</f>
        <v>19597</v>
      </c>
      <c r="H84" s="2"/>
      <c r="I84" s="300"/>
      <c r="J84" s="2"/>
      <c r="K84" s="2"/>
      <c r="L84" s="7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s="48" customFormat="1" ht="15.75" hidden="1" x14ac:dyDescent="0.25">
      <c r="A85" s="8"/>
      <c r="B85" s="219" t="s">
        <v>348</v>
      </c>
      <c r="C85" s="41"/>
      <c r="D85" s="41"/>
      <c r="E85" s="41"/>
      <c r="F85" s="41"/>
      <c r="G85" s="41"/>
      <c r="H85" s="2"/>
      <c r="I85" s="300"/>
      <c r="J85" s="2"/>
      <c r="K85" s="2"/>
      <c r="L85" s="7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s="48" customFormat="1" ht="12.75" customHeight="1" x14ac:dyDescent="0.2">
      <c r="A86" s="8" t="s">
        <v>1006</v>
      </c>
      <c r="B86" s="219" t="s">
        <v>721</v>
      </c>
      <c r="C86" s="13">
        <f>SUM('3.felh'!C97)</f>
        <v>85788</v>
      </c>
      <c r="D86" s="13">
        <f>SUM('3.felh'!D97)</f>
        <v>85788</v>
      </c>
      <c r="E86" s="13">
        <f>SUM('3.felh'!E97)</f>
        <v>85788</v>
      </c>
      <c r="F86" s="13">
        <f>SUM('3.felh'!F97)</f>
        <v>85788</v>
      </c>
      <c r="G86" s="13">
        <f>SUM('3.felh'!G97)</f>
        <v>85788</v>
      </c>
      <c r="H86" s="2"/>
      <c r="I86" s="300"/>
      <c r="J86" s="2"/>
      <c r="K86" s="2"/>
      <c r="L86" s="7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s="48" customFormat="1" ht="15" customHeight="1" x14ac:dyDescent="0.25">
      <c r="A87" s="14"/>
      <c r="B87" s="184" t="s">
        <v>349</v>
      </c>
      <c r="C87" s="41">
        <v>0</v>
      </c>
      <c r="D87" s="41">
        <v>0</v>
      </c>
      <c r="E87" s="41">
        <v>0</v>
      </c>
      <c r="F87" s="41">
        <v>0</v>
      </c>
      <c r="G87" s="41">
        <v>0</v>
      </c>
      <c r="H87" s="2"/>
      <c r="I87" s="300"/>
      <c r="J87" s="2"/>
      <c r="K87" s="2"/>
      <c r="L87" s="7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s="48" customFormat="1" ht="15" customHeight="1" thickBot="1" x14ac:dyDescent="0.3">
      <c r="A88" s="21"/>
      <c r="B88" s="181" t="s">
        <v>350</v>
      </c>
      <c r="C88" s="166">
        <v>0</v>
      </c>
      <c r="D88" s="166">
        <v>0</v>
      </c>
      <c r="E88" s="166">
        <v>0</v>
      </c>
      <c r="F88" s="166">
        <v>0</v>
      </c>
      <c r="G88" s="166">
        <v>0</v>
      </c>
      <c r="H88" s="2"/>
      <c r="I88" s="300"/>
      <c r="J88" s="2"/>
      <c r="K88" s="2"/>
      <c r="L88" s="7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ht="21.75" customHeight="1" thickBot="1" x14ac:dyDescent="0.4">
      <c r="A89" s="255"/>
      <c r="B89" s="211" t="s">
        <v>52</v>
      </c>
      <c r="C89" s="432">
        <f>SUM(C64+C81)</f>
        <v>3499029</v>
      </c>
      <c r="D89" s="432">
        <f>SUM(D64+D81)</f>
        <v>3539543</v>
      </c>
      <c r="E89" s="432">
        <f>SUM(E64+E81)</f>
        <v>3556111</v>
      </c>
      <c r="F89" s="174" t="e">
        <f>SUM(F64+F81)</f>
        <v>#REF!</v>
      </c>
      <c r="G89" s="46" t="e">
        <f>SUM(G64+G81)</f>
        <v>#REF!</v>
      </c>
      <c r="H89" s="455">
        <f>D63-D89</f>
        <v>0</v>
      </c>
      <c r="I89" s="300">
        <f>E89-D89</f>
        <v>16568</v>
      </c>
      <c r="J89" s="7">
        <f>H89-H63</f>
        <v>0</v>
      </c>
      <c r="K89" s="2"/>
      <c r="L89" s="7"/>
      <c r="M89" s="7"/>
      <c r="N89" s="7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ht="14.25" customHeight="1" x14ac:dyDescent="0.2">
      <c r="C90" s="7"/>
      <c r="D90" s="7"/>
      <c r="E90" s="7"/>
      <c r="F90" s="7"/>
      <c r="G90" s="7" t="e">
        <f>SUM(G63-G89)</f>
        <v>#REF!</v>
      </c>
      <c r="H90" s="2"/>
      <c r="I90" s="7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ht="15.75" hidden="1" customHeight="1" x14ac:dyDescent="0.2">
      <c r="B91" s="2"/>
      <c r="C91" s="7">
        <f>C63-C89</f>
        <v>0</v>
      </c>
      <c r="D91" s="7"/>
      <c r="E91" s="7"/>
      <c r="F91" s="7"/>
      <c r="G91" s="7" t="e">
        <f>SUM(#REF!+G80)</f>
        <v>#REF!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ht="15.75" hidden="1" customHeight="1" x14ac:dyDescent="0.2">
      <c r="C92" s="7"/>
      <c r="D92" s="7">
        <f>SUM(D63-D89)</f>
        <v>0</v>
      </c>
      <c r="E92" s="7">
        <f>SUM(E63-E89)</f>
        <v>0</v>
      </c>
      <c r="F92" s="7" t="e">
        <f>SUM(F63-F89)</f>
        <v>#REF!</v>
      </c>
      <c r="G92" s="7" t="e">
        <f>SUM(G63-G89)</f>
        <v>#REF!</v>
      </c>
      <c r="H92" s="7"/>
      <c r="I92" s="7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hidden="1" x14ac:dyDescent="0.2">
      <c r="B93" s="225"/>
      <c r="C93" s="7"/>
      <c r="D93" s="2"/>
      <c r="E93" s="88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ht="15" hidden="1" customHeight="1" x14ac:dyDescent="0.2">
      <c r="C94" s="7"/>
      <c r="D94" s="2"/>
      <c r="E94" s="88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hidden="1" x14ac:dyDescent="0.2">
      <c r="D95" s="7"/>
      <c r="E95" s="7">
        <f>E63-E89</f>
        <v>0</v>
      </c>
      <c r="F95" s="7" t="e">
        <f>F63-F89</f>
        <v>#REF!</v>
      </c>
      <c r="G95" s="7" t="e">
        <f>G63-G89</f>
        <v>#REF!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ht="15.75" customHeight="1" x14ac:dyDescent="0.2">
      <c r="B96" s="2"/>
      <c r="C96" s="2"/>
      <c r="D96" s="7"/>
      <c r="E96" s="88"/>
      <c r="F96" s="2"/>
      <c r="G96" s="2"/>
      <c r="H96" s="2"/>
      <c r="I96" s="2"/>
      <c r="J96" s="2"/>
      <c r="K96" s="2"/>
      <c r="L96" s="2"/>
      <c r="M96" s="7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2:42" ht="15.75" customHeight="1" x14ac:dyDescent="0.2">
      <c r="B97" s="2"/>
      <c r="C97" s="2"/>
      <c r="D97" s="2"/>
      <c r="E97" s="88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2:42" ht="15.75" customHeight="1" x14ac:dyDescent="0.2">
      <c r="B98" s="2"/>
      <c r="C98" s="2"/>
      <c r="D98" s="2"/>
      <c r="E98" s="88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2:42" ht="15.75" customHeight="1" x14ac:dyDescent="0.2">
      <c r="B99" s="2"/>
      <c r="C99" s="2"/>
      <c r="D99" s="2"/>
      <c r="E99" s="88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2:42" ht="15.75" customHeight="1" x14ac:dyDescent="0.2">
      <c r="B100" s="2"/>
      <c r="C100" s="2"/>
      <c r="D100" s="2"/>
      <c r="E100" s="88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2:42" ht="15.75" customHeight="1" x14ac:dyDescent="0.2">
      <c r="B101" s="2"/>
      <c r="C101" s="2"/>
      <c r="D101" s="2"/>
      <c r="E101" s="88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2:42" ht="15.75" customHeight="1" x14ac:dyDescent="0.2">
      <c r="B102" s="2"/>
      <c r="C102" s="2"/>
      <c r="D102" s="2"/>
      <c r="E102" s="88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2:42" ht="15.75" customHeight="1" x14ac:dyDescent="0.2">
      <c r="B103" s="2"/>
      <c r="C103" s="2"/>
      <c r="D103" s="2"/>
      <c r="E103" s="88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2:42" ht="15.75" customHeight="1" x14ac:dyDescent="0.2">
      <c r="B104" s="2"/>
      <c r="C104" s="2"/>
      <c r="D104" s="2"/>
      <c r="E104" s="88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2:42" ht="15.75" customHeight="1" x14ac:dyDescent="0.2">
      <c r="B105" s="2"/>
      <c r="C105" s="2"/>
      <c r="D105" s="2"/>
      <c r="E105" s="88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2:42" ht="15.75" customHeight="1" x14ac:dyDescent="0.2">
      <c r="B106" s="2"/>
      <c r="C106" s="2"/>
      <c r="D106" s="2"/>
      <c r="E106" s="88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2:42" ht="15.75" customHeight="1" x14ac:dyDescent="0.2">
      <c r="B107" s="2"/>
      <c r="C107" s="2"/>
      <c r="D107" s="2"/>
      <c r="E107" s="88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2:42" ht="15.75" customHeight="1" x14ac:dyDescent="0.2">
      <c r="B108" s="2"/>
      <c r="C108" s="2"/>
      <c r="D108" s="2"/>
      <c r="E108" s="88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09" spans="2:42" ht="15.75" customHeight="1" x14ac:dyDescent="0.2">
      <c r="B109" s="2"/>
      <c r="C109" s="2"/>
      <c r="D109" s="2"/>
      <c r="E109" s="88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</row>
    <row r="110" spans="2:42" ht="15.75" customHeight="1" x14ac:dyDescent="0.2">
      <c r="B110" s="2"/>
      <c r="C110" s="2"/>
      <c r="D110" s="2"/>
      <c r="E110" s="88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</row>
    <row r="111" spans="2:42" ht="15.75" customHeight="1" x14ac:dyDescent="0.2">
      <c r="B111" s="2"/>
      <c r="C111" s="2"/>
      <c r="D111" s="2"/>
      <c r="E111" s="88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</row>
    <row r="112" spans="2:42" ht="15.75" customHeight="1" x14ac:dyDescent="0.2">
      <c r="B112" s="2"/>
      <c r="C112" s="2"/>
      <c r="D112" s="2"/>
      <c r="E112" s="88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</row>
    <row r="113" spans="2:42" ht="15.75" customHeight="1" x14ac:dyDescent="0.2">
      <c r="B113" s="2"/>
      <c r="C113" s="2"/>
      <c r="D113" s="2"/>
      <c r="E113" s="88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</row>
    <row r="114" spans="2:42" ht="15.75" customHeight="1" x14ac:dyDescent="0.2">
      <c r="B114" s="2"/>
      <c r="C114" s="2"/>
      <c r="D114" s="2"/>
      <c r="E114" s="88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</row>
    <row r="115" spans="2:42" ht="15.75" customHeight="1" x14ac:dyDescent="0.2">
      <c r="B115" s="2"/>
      <c r="C115" s="2"/>
      <c r="D115" s="2"/>
      <c r="E115" s="88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</row>
    <row r="116" spans="2:42" ht="15.75" customHeight="1" x14ac:dyDescent="0.2">
      <c r="B116" s="2"/>
      <c r="C116" s="2"/>
      <c r="D116" s="2"/>
      <c r="E116" s="88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</row>
    <row r="117" spans="2:42" ht="15.75" customHeight="1" x14ac:dyDescent="0.2">
      <c r="B117" s="2"/>
      <c r="C117" s="2"/>
      <c r="D117" s="2"/>
      <c r="E117" s="88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</row>
    <row r="118" spans="2:42" ht="15.75" customHeight="1" x14ac:dyDescent="0.2">
      <c r="B118" s="2"/>
      <c r="C118" s="2"/>
      <c r="D118" s="2"/>
      <c r="E118" s="88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</row>
    <row r="119" spans="2:42" ht="15.75" customHeight="1" x14ac:dyDescent="0.2">
      <c r="B119" s="2"/>
      <c r="C119" s="2"/>
      <c r="D119" s="2"/>
      <c r="E119" s="88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</row>
    <row r="120" spans="2:42" ht="15.75" customHeight="1" x14ac:dyDescent="0.2">
      <c r="B120" s="2"/>
      <c r="C120" s="2"/>
      <c r="D120" s="2"/>
      <c r="E120" s="88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</row>
    <row r="121" spans="2:42" ht="15.75" customHeight="1" x14ac:dyDescent="0.2">
      <c r="B121" s="2"/>
      <c r="C121" s="2"/>
      <c r="D121" s="2"/>
      <c r="E121" s="88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</row>
    <row r="122" spans="2:42" ht="15.75" customHeight="1" x14ac:dyDescent="0.2">
      <c r="B122" s="2"/>
      <c r="C122" s="2"/>
      <c r="D122" s="2"/>
      <c r="E122" s="88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</row>
    <row r="123" spans="2:42" ht="15.75" customHeight="1" x14ac:dyDescent="0.2">
      <c r="B123" s="2"/>
      <c r="C123" s="2"/>
      <c r="D123" s="2"/>
      <c r="E123" s="88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</row>
    <row r="124" spans="2:42" ht="15.75" customHeight="1" x14ac:dyDescent="0.2">
      <c r="B124" s="2"/>
      <c r="C124" s="2"/>
      <c r="D124" s="2"/>
      <c r="E124" s="88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</row>
    <row r="125" spans="2:42" ht="15.75" customHeight="1" x14ac:dyDescent="0.2">
      <c r="B125" s="2"/>
      <c r="C125" s="2"/>
      <c r="D125" s="2"/>
      <c r="E125" s="88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</row>
    <row r="126" spans="2:42" ht="15.75" customHeight="1" x14ac:dyDescent="0.2">
      <c r="B126" s="2"/>
      <c r="C126" s="2"/>
      <c r="D126" s="2"/>
      <c r="E126" s="88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</row>
    <row r="127" spans="2:42" ht="15.75" customHeight="1" x14ac:dyDescent="0.2">
      <c r="B127" s="2"/>
      <c r="C127" s="2"/>
      <c r="D127" s="2"/>
      <c r="E127" s="88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</row>
    <row r="128" spans="2:42" ht="15.75" customHeight="1" x14ac:dyDescent="0.2">
      <c r="B128" s="2"/>
      <c r="C128" s="2"/>
      <c r="D128" s="2"/>
      <c r="E128" s="88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</row>
    <row r="129" spans="2:42" ht="15.75" customHeight="1" x14ac:dyDescent="0.2">
      <c r="B129" s="2"/>
      <c r="C129" s="2"/>
      <c r="D129" s="2"/>
      <c r="E129" s="88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</row>
    <row r="130" spans="2:42" ht="15.75" customHeight="1" x14ac:dyDescent="0.2">
      <c r="B130" s="2"/>
      <c r="C130" s="2"/>
      <c r="D130" s="2"/>
      <c r="E130" s="88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</row>
    <row r="131" spans="2:42" ht="15.75" customHeight="1" x14ac:dyDescent="0.2">
      <c r="B131" s="2"/>
      <c r="C131" s="2"/>
      <c r="D131" s="2"/>
      <c r="E131" s="88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</row>
    <row r="132" spans="2:42" ht="15.75" customHeight="1" x14ac:dyDescent="0.2">
      <c r="B132" s="2"/>
      <c r="C132" s="2"/>
      <c r="D132" s="2"/>
      <c r="E132" s="88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</row>
    <row r="133" spans="2:42" ht="15.75" customHeight="1" x14ac:dyDescent="0.2">
      <c r="B133" s="2"/>
      <c r="C133" s="2"/>
      <c r="D133" s="2"/>
      <c r="E133" s="88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</row>
    <row r="134" spans="2:42" ht="15.75" customHeight="1" x14ac:dyDescent="0.2">
      <c r="B134" s="2"/>
      <c r="C134" s="2"/>
      <c r="D134" s="2"/>
      <c r="E134" s="88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</row>
    <row r="135" spans="2:42" ht="15.75" customHeight="1" x14ac:dyDescent="0.2">
      <c r="B135" s="2"/>
      <c r="C135" s="2"/>
      <c r="D135" s="2"/>
      <c r="E135" s="88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</row>
    <row r="136" spans="2:42" ht="15.75" customHeight="1" x14ac:dyDescent="0.2">
      <c r="B136" s="2"/>
      <c r="C136" s="2"/>
      <c r="D136" s="2"/>
      <c r="E136" s="88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</row>
    <row r="137" spans="2:42" ht="15.75" customHeight="1" x14ac:dyDescent="0.2">
      <c r="B137" s="2"/>
      <c r="C137" s="2"/>
      <c r="D137" s="2"/>
      <c r="E137" s="88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</row>
    <row r="138" spans="2:42" ht="15.75" customHeight="1" x14ac:dyDescent="0.2">
      <c r="B138" s="2"/>
      <c r="C138" s="2"/>
      <c r="D138" s="2"/>
      <c r="E138" s="88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</row>
    <row r="139" spans="2:42" ht="15.75" customHeight="1" x14ac:dyDescent="0.2">
      <c r="B139" s="2"/>
      <c r="C139" s="2"/>
      <c r="D139" s="2"/>
      <c r="E139" s="88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</row>
    <row r="140" spans="2:42" ht="15.75" customHeight="1" x14ac:dyDescent="0.2">
      <c r="B140" s="2"/>
      <c r="C140" s="2"/>
      <c r="D140" s="2"/>
      <c r="E140" s="88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</row>
    <row r="141" spans="2:42" ht="15.75" customHeight="1" x14ac:dyDescent="0.2">
      <c r="B141" s="2"/>
      <c r="C141" s="2"/>
      <c r="D141" s="2"/>
      <c r="E141" s="88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</row>
    <row r="142" spans="2:42" ht="15.75" customHeight="1" x14ac:dyDescent="0.2">
      <c r="B142" s="2"/>
      <c r="C142" s="2"/>
      <c r="D142" s="2"/>
      <c r="E142" s="88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</row>
    <row r="143" spans="2:42" ht="15.75" customHeight="1" x14ac:dyDescent="0.2">
      <c r="B143" s="2"/>
      <c r="C143" s="2"/>
      <c r="D143" s="2"/>
      <c r="E143" s="88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</row>
    <row r="144" spans="2:42" ht="15.75" customHeight="1" x14ac:dyDescent="0.2">
      <c r="B144" s="2"/>
      <c r="C144" s="2"/>
      <c r="D144" s="2"/>
      <c r="E144" s="88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</row>
    <row r="145" spans="2:42" ht="15.75" customHeight="1" x14ac:dyDescent="0.2">
      <c r="B145" s="2"/>
      <c r="C145" s="2"/>
      <c r="D145" s="2"/>
      <c r="E145" s="88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</row>
    <row r="146" spans="2:42" ht="15.75" customHeight="1" x14ac:dyDescent="0.2">
      <c r="B146" s="2"/>
      <c r="C146" s="2"/>
      <c r="D146" s="2"/>
      <c r="E146" s="88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</row>
    <row r="147" spans="2:42" ht="15.75" customHeight="1" x14ac:dyDescent="0.2">
      <c r="B147" s="2"/>
      <c r="C147" s="2"/>
      <c r="D147" s="2"/>
      <c r="E147" s="88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</row>
    <row r="148" spans="2:42" ht="15.75" customHeight="1" x14ac:dyDescent="0.2">
      <c r="B148" s="2"/>
      <c r="C148" s="2"/>
      <c r="D148" s="2"/>
      <c r="E148" s="88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</row>
    <row r="149" spans="2:42" ht="15.75" customHeight="1" x14ac:dyDescent="0.2">
      <c r="B149" s="2"/>
      <c r="C149" s="2"/>
      <c r="D149" s="2"/>
      <c r="E149" s="88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</row>
    <row r="150" spans="2:42" ht="15.75" customHeight="1" x14ac:dyDescent="0.2">
      <c r="B150" s="2"/>
      <c r="C150" s="2"/>
      <c r="D150" s="2"/>
      <c r="E150" s="88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</row>
    <row r="151" spans="2:42" ht="15.75" customHeight="1" x14ac:dyDescent="0.2">
      <c r="B151" s="2"/>
      <c r="C151" s="2"/>
      <c r="D151" s="2"/>
      <c r="E151" s="88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</row>
    <row r="152" spans="2:42" ht="15.75" customHeight="1" x14ac:dyDescent="0.2">
      <c r="B152" s="2"/>
      <c r="C152" s="2"/>
      <c r="D152" s="2"/>
      <c r="E152" s="88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</row>
    <row r="153" spans="2:42" ht="15.75" customHeight="1" x14ac:dyDescent="0.2">
      <c r="B153" s="2"/>
      <c r="C153" s="2"/>
      <c r="D153" s="2"/>
      <c r="E153" s="88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</row>
    <row r="154" spans="2:42" ht="15.75" customHeight="1" x14ac:dyDescent="0.2">
      <c r="B154" s="2"/>
      <c r="C154" s="2"/>
      <c r="D154" s="2"/>
      <c r="E154" s="88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</row>
    <row r="155" spans="2:42" ht="15.75" customHeight="1" x14ac:dyDescent="0.2">
      <c r="B155" s="2"/>
      <c r="C155" s="2"/>
      <c r="D155" s="2"/>
      <c r="E155" s="88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</row>
    <row r="156" spans="2:42" ht="15.75" customHeight="1" x14ac:dyDescent="0.2">
      <c r="B156" s="2"/>
      <c r="C156" s="2"/>
      <c r="D156" s="2"/>
      <c r="E156" s="88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</row>
    <row r="157" spans="2:42" ht="15.75" customHeight="1" x14ac:dyDescent="0.2">
      <c r="B157" s="2"/>
      <c r="C157" s="2"/>
      <c r="D157" s="2"/>
      <c r="E157" s="88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</row>
    <row r="158" spans="2:42" ht="15.75" customHeight="1" x14ac:dyDescent="0.2">
      <c r="B158" s="2"/>
      <c r="C158" s="2"/>
      <c r="D158" s="2"/>
      <c r="E158" s="88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</row>
    <row r="159" spans="2:42" ht="15.75" customHeight="1" x14ac:dyDescent="0.2">
      <c r="B159" s="2"/>
      <c r="C159" s="2"/>
      <c r="D159" s="2"/>
      <c r="E159" s="88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</row>
    <row r="160" spans="2:42" ht="15.75" customHeight="1" x14ac:dyDescent="0.2">
      <c r="B160" s="2"/>
      <c r="C160" s="2"/>
      <c r="D160" s="2"/>
      <c r="E160" s="88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</row>
    <row r="161" spans="2:42" ht="15.75" customHeight="1" x14ac:dyDescent="0.2">
      <c r="B161" s="2"/>
      <c r="C161" s="2"/>
      <c r="D161" s="2"/>
      <c r="E161" s="88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</row>
    <row r="162" spans="2:42" ht="15.75" customHeight="1" x14ac:dyDescent="0.2">
      <c r="B162" s="2"/>
      <c r="C162" s="2"/>
      <c r="D162" s="2"/>
      <c r="E162" s="88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</row>
    <row r="163" spans="2:42" ht="15.75" customHeight="1" x14ac:dyDescent="0.2">
      <c r="B163" s="2"/>
      <c r="C163" s="2"/>
      <c r="D163" s="2"/>
      <c r="E163" s="88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</row>
    <row r="164" spans="2:42" ht="15.75" customHeight="1" x14ac:dyDescent="0.2">
      <c r="B164" s="2"/>
      <c r="C164" s="2"/>
      <c r="D164" s="2"/>
      <c r="E164" s="88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</row>
    <row r="165" spans="2:42" ht="15.75" customHeight="1" x14ac:dyDescent="0.2">
      <c r="B165" s="2"/>
      <c r="C165" s="2"/>
      <c r="D165" s="2"/>
      <c r="E165" s="88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</row>
    <row r="166" spans="2:42" ht="15.75" customHeight="1" x14ac:dyDescent="0.2">
      <c r="B166" s="2"/>
      <c r="C166" s="2"/>
      <c r="D166" s="2"/>
      <c r="E166" s="88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</row>
    <row r="167" spans="2:42" ht="15.75" customHeight="1" x14ac:dyDescent="0.2">
      <c r="B167" s="2"/>
      <c r="C167" s="2"/>
      <c r="D167" s="2"/>
      <c r="E167" s="88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</row>
    <row r="168" spans="2:42" ht="15.75" customHeight="1" x14ac:dyDescent="0.2">
      <c r="B168" s="2"/>
      <c r="C168" s="2"/>
      <c r="D168" s="2"/>
      <c r="E168" s="88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</row>
    <row r="169" spans="2:42" ht="15.75" customHeight="1" x14ac:dyDescent="0.2">
      <c r="B169" s="2"/>
      <c r="C169" s="2"/>
      <c r="D169" s="2"/>
      <c r="E169" s="88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</row>
    <row r="170" spans="2:42" ht="15.75" customHeight="1" x14ac:dyDescent="0.2">
      <c r="B170" s="2"/>
      <c r="C170" s="2"/>
      <c r="D170" s="2"/>
      <c r="E170" s="88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</row>
    <row r="171" spans="2:42" ht="15.75" customHeight="1" x14ac:dyDescent="0.2">
      <c r="B171" s="2"/>
      <c r="C171" s="2"/>
      <c r="D171" s="2"/>
      <c r="E171" s="88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</row>
    <row r="172" spans="2:42" ht="15.75" customHeight="1" x14ac:dyDescent="0.2">
      <c r="B172" s="2"/>
      <c r="C172" s="2"/>
      <c r="D172" s="2"/>
      <c r="E172" s="88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</row>
    <row r="173" spans="2:42" ht="15.75" customHeight="1" x14ac:dyDescent="0.2">
      <c r="B173" s="2"/>
      <c r="C173" s="2"/>
      <c r="D173" s="2"/>
      <c r="E173" s="88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</row>
    <row r="174" spans="2:42" ht="15.75" customHeight="1" x14ac:dyDescent="0.2">
      <c r="B174" s="2"/>
      <c r="C174" s="2"/>
      <c r="D174" s="2"/>
      <c r="E174" s="88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</row>
    <row r="175" spans="2:42" ht="15.75" customHeight="1" x14ac:dyDescent="0.2">
      <c r="B175" s="2"/>
      <c r="C175" s="27"/>
      <c r="D175" s="27"/>
      <c r="E175" s="253"/>
      <c r="F175" s="27"/>
      <c r="G175" s="2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</row>
    <row r="176" spans="2:42" ht="15.75" customHeight="1" x14ac:dyDescent="0.2">
      <c r="B176" s="2"/>
      <c r="C176" s="27"/>
      <c r="D176" s="27"/>
      <c r="E176" s="253"/>
      <c r="F176" s="27"/>
      <c r="G176" s="2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</row>
    <row r="177" spans="2:42" ht="15.75" customHeight="1" x14ac:dyDescent="0.2">
      <c r="B177" s="2"/>
      <c r="C177" s="27"/>
      <c r="D177" s="27"/>
      <c r="E177" s="253"/>
      <c r="F177" s="27"/>
      <c r="G177" s="2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</row>
    <row r="178" spans="2:42" ht="15.75" customHeight="1" x14ac:dyDescent="0.2">
      <c r="B178" s="2"/>
      <c r="C178" s="27"/>
      <c r="D178" s="27"/>
      <c r="E178" s="253"/>
      <c r="F178" s="27"/>
      <c r="G178" s="2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</row>
    <row r="179" spans="2:42" ht="15.75" customHeight="1" x14ac:dyDescent="0.2">
      <c r="B179" s="2"/>
      <c r="C179" s="27"/>
      <c r="D179" s="27"/>
      <c r="E179" s="253"/>
      <c r="F179" s="27"/>
      <c r="G179" s="2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</row>
    <row r="180" spans="2:42" ht="15.75" customHeight="1" x14ac:dyDescent="0.2">
      <c r="B180" s="2"/>
      <c r="C180" s="27"/>
      <c r="D180" s="27"/>
      <c r="E180" s="253"/>
      <c r="F180" s="27"/>
      <c r="G180" s="2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</row>
    <row r="181" spans="2:42" ht="15.75" customHeight="1" x14ac:dyDescent="0.2">
      <c r="B181" s="2"/>
      <c r="C181" s="27"/>
      <c r="D181" s="27"/>
      <c r="E181" s="253"/>
      <c r="F181" s="27"/>
      <c r="G181" s="2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</row>
    <row r="182" spans="2:42" ht="15.75" customHeight="1" x14ac:dyDescent="0.2">
      <c r="B182" s="2"/>
      <c r="C182" s="27"/>
      <c r="D182" s="27"/>
      <c r="E182" s="253"/>
      <c r="F182" s="27"/>
      <c r="G182" s="2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</row>
    <row r="183" spans="2:42" ht="15.75" customHeight="1" x14ac:dyDescent="0.2">
      <c r="B183" s="2"/>
      <c r="C183" s="27"/>
      <c r="D183" s="27"/>
      <c r="E183" s="253"/>
      <c r="F183" s="27"/>
      <c r="G183" s="2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</row>
    <row r="184" spans="2:42" ht="15.75" customHeight="1" x14ac:dyDescent="0.2">
      <c r="B184" s="2"/>
      <c r="C184" s="27"/>
      <c r="D184" s="27"/>
      <c r="E184" s="253"/>
      <c r="F184" s="27"/>
      <c r="G184" s="2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</row>
    <row r="185" spans="2:42" ht="15.75" customHeight="1" x14ac:dyDescent="0.2">
      <c r="B185" s="2"/>
      <c r="C185" s="27"/>
      <c r="D185" s="27"/>
      <c r="E185" s="253"/>
      <c r="F185" s="27"/>
      <c r="G185" s="2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</row>
    <row r="186" spans="2:42" ht="15.75" customHeight="1" x14ac:dyDescent="0.2">
      <c r="B186" s="2"/>
      <c r="C186" s="27"/>
      <c r="D186" s="27"/>
      <c r="E186" s="253"/>
      <c r="F186" s="27"/>
      <c r="G186" s="2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</row>
    <row r="187" spans="2:42" ht="15.75" customHeight="1" x14ac:dyDescent="0.2">
      <c r="B187" s="2"/>
      <c r="C187" s="27"/>
      <c r="D187" s="27"/>
      <c r="E187" s="253"/>
      <c r="F187" s="27"/>
      <c r="G187" s="2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</row>
    <row r="188" spans="2:42" ht="15.75" customHeight="1" x14ac:dyDescent="0.2">
      <c r="B188" s="2"/>
      <c r="C188" s="27"/>
      <c r="D188" s="27"/>
      <c r="E188" s="253"/>
      <c r="F188" s="27"/>
      <c r="G188" s="2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</row>
    <row r="189" spans="2:42" ht="15.75" customHeight="1" x14ac:dyDescent="0.2">
      <c r="B189" s="2"/>
      <c r="C189" s="27"/>
      <c r="D189" s="27"/>
      <c r="E189" s="253"/>
      <c r="F189" s="27"/>
      <c r="G189" s="2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</row>
    <row r="190" spans="2:42" ht="15.75" customHeight="1" x14ac:dyDescent="0.2">
      <c r="B190" s="2"/>
      <c r="C190" s="27"/>
      <c r="D190" s="27"/>
      <c r="E190" s="253"/>
      <c r="F190" s="27"/>
      <c r="G190" s="2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</row>
    <row r="191" spans="2:42" ht="15.75" customHeight="1" x14ac:dyDescent="0.2">
      <c r="B191" s="2"/>
      <c r="C191" s="27"/>
      <c r="D191" s="27"/>
      <c r="E191" s="253"/>
      <c r="F191" s="27"/>
      <c r="G191" s="2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</row>
    <row r="192" spans="2:42" ht="15.75" customHeight="1" x14ac:dyDescent="0.2">
      <c r="B192" s="2"/>
      <c r="C192" s="27"/>
      <c r="D192" s="27"/>
      <c r="E192" s="253"/>
      <c r="F192" s="27"/>
      <c r="G192" s="2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</row>
    <row r="193" spans="2:42" ht="15.75" customHeight="1" x14ac:dyDescent="0.2">
      <c r="B193" s="2"/>
      <c r="C193" s="27"/>
      <c r="D193" s="27"/>
      <c r="E193" s="253"/>
      <c r="F193" s="27"/>
      <c r="G193" s="2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</row>
    <row r="194" spans="2:42" ht="15.75" customHeight="1" x14ac:dyDescent="0.2">
      <c r="B194" s="2"/>
      <c r="C194" s="27"/>
      <c r="D194" s="27"/>
      <c r="E194" s="253"/>
      <c r="F194" s="27"/>
      <c r="G194" s="2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</row>
    <row r="195" spans="2:42" ht="15.75" customHeight="1" x14ac:dyDescent="0.2">
      <c r="B195" s="2"/>
      <c r="C195" s="27"/>
      <c r="D195" s="27"/>
      <c r="E195" s="253"/>
      <c r="F195" s="27"/>
      <c r="G195" s="2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</row>
    <row r="196" spans="2:42" ht="15.75" customHeight="1" x14ac:dyDescent="0.2">
      <c r="B196" s="2"/>
      <c r="C196" s="27"/>
      <c r="D196" s="27"/>
      <c r="E196" s="253"/>
      <c r="F196" s="27"/>
      <c r="G196" s="2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</row>
    <row r="197" spans="2:42" ht="15.75" customHeight="1" x14ac:dyDescent="0.2">
      <c r="B197" s="2"/>
      <c r="C197" s="27"/>
      <c r="D197" s="27"/>
      <c r="E197" s="253"/>
      <c r="F197" s="27"/>
      <c r="G197" s="2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</row>
    <row r="198" spans="2:42" ht="15.75" customHeight="1" x14ac:dyDescent="0.2">
      <c r="B198" s="2"/>
      <c r="C198" s="27"/>
      <c r="D198" s="27"/>
      <c r="E198" s="253"/>
      <c r="F198" s="27"/>
      <c r="G198" s="2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</row>
    <row r="199" spans="2:42" ht="15.75" customHeight="1" x14ac:dyDescent="0.2">
      <c r="B199" s="2"/>
      <c r="C199" s="27"/>
      <c r="D199" s="27"/>
      <c r="E199" s="253"/>
      <c r="F199" s="27"/>
      <c r="G199" s="2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</row>
    <row r="200" spans="2:42" ht="15.75" customHeight="1" x14ac:dyDescent="0.2">
      <c r="B200" s="2"/>
      <c r="C200" s="27"/>
      <c r="D200" s="27"/>
      <c r="E200" s="253"/>
      <c r="F200" s="27"/>
      <c r="G200" s="2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</row>
    <row r="201" spans="2:42" ht="15.75" customHeight="1" x14ac:dyDescent="0.2">
      <c r="B201" s="2"/>
      <c r="C201" s="27"/>
      <c r="D201" s="27"/>
      <c r="E201" s="253"/>
      <c r="F201" s="27"/>
      <c r="G201" s="2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</row>
    <row r="202" spans="2:42" ht="15.75" customHeight="1" x14ac:dyDescent="0.2">
      <c r="B202" s="2"/>
      <c r="C202" s="27"/>
      <c r="D202" s="27"/>
      <c r="E202" s="253"/>
      <c r="F202" s="27"/>
      <c r="G202" s="2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</row>
    <row r="203" spans="2:42" ht="15.75" customHeight="1" x14ac:dyDescent="0.2">
      <c r="B203" s="2"/>
      <c r="C203" s="27"/>
      <c r="D203" s="27"/>
      <c r="E203" s="253"/>
      <c r="F203" s="27"/>
      <c r="G203" s="2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</row>
    <row r="204" spans="2:42" ht="15.75" customHeight="1" x14ac:dyDescent="0.2">
      <c r="B204" s="2"/>
      <c r="C204" s="27"/>
      <c r="D204" s="27"/>
      <c r="E204" s="253"/>
      <c r="F204" s="27"/>
      <c r="G204" s="2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</row>
    <row r="205" spans="2:42" ht="15.75" customHeight="1" x14ac:dyDescent="0.2">
      <c r="B205" s="2"/>
      <c r="C205" s="27"/>
      <c r="D205" s="27"/>
      <c r="E205" s="253"/>
      <c r="F205" s="27"/>
      <c r="G205" s="2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</row>
    <row r="206" spans="2:42" ht="15.75" customHeight="1" x14ac:dyDescent="0.2">
      <c r="B206" s="2"/>
      <c r="C206" s="27"/>
      <c r="D206" s="27"/>
      <c r="E206" s="253"/>
      <c r="F206" s="27"/>
      <c r="G206" s="2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</row>
    <row r="207" spans="2:42" ht="15.75" customHeight="1" x14ac:dyDescent="0.2">
      <c r="B207" s="2"/>
      <c r="C207" s="27"/>
      <c r="D207" s="27"/>
      <c r="E207" s="253"/>
      <c r="F207" s="27"/>
      <c r="G207" s="2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</row>
    <row r="208" spans="2:42" ht="15.75" customHeight="1" x14ac:dyDescent="0.2">
      <c r="B208" s="2"/>
      <c r="C208" s="27"/>
      <c r="D208" s="27"/>
      <c r="E208" s="253"/>
      <c r="F208" s="27"/>
      <c r="G208" s="2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</row>
    <row r="209" spans="2:42" ht="15.75" customHeight="1" x14ac:dyDescent="0.2">
      <c r="B209" s="2"/>
      <c r="C209" s="27"/>
      <c r="D209" s="27"/>
      <c r="E209" s="253"/>
      <c r="F209" s="27"/>
      <c r="G209" s="2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</row>
    <row r="210" spans="2:42" ht="15.75" customHeight="1" x14ac:dyDescent="0.2">
      <c r="B210" s="2"/>
      <c r="C210" s="27"/>
      <c r="D210" s="27"/>
      <c r="E210" s="253"/>
      <c r="F210" s="27"/>
      <c r="G210" s="2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</row>
    <row r="211" spans="2:42" ht="15.75" customHeight="1" x14ac:dyDescent="0.2">
      <c r="B211" s="2"/>
      <c r="C211" s="27"/>
      <c r="D211" s="27"/>
      <c r="E211" s="253"/>
      <c r="F211" s="27"/>
      <c r="G211" s="2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</row>
    <row r="212" spans="2:42" ht="15.75" customHeight="1" x14ac:dyDescent="0.2">
      <c r="B212" s="2"/>
      <c r="C212" s="27"/>
      <c r="D212" s="27"/>
      <c r="E212" s="253"/>
      <c r="F212" s="27"/>
      <c r="G212" s="2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</row>
    <row r="213" spans="2:42" ht="15.75" customHeight="1" x14ac:dyDescent="0.2">
      <c r="B213" s="2"/>
      <c r="C213" s="27"/>
      <c r="D213" s="27"/>
      <c r="E213" s="253"/>
      <c r="F213" s="27"/>
      <c r="G213" s="2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</row>
    <row r="214" spans="2:42" ht="15.75" customHeight="1" x14ac:dyDescent="0.2">
      <c r="B214" s="2"/>
      <c r="C214" s="27"/>
      <c r="D214" s="27"/>
      <c r="E214" s="253"/>
      <c r="F214" s="27"/>
      <c r="G214" s="2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</row>
    <row r="215" spans="2:42" ht="15.75" customHeight="1" x14ac:dyDescent="0.2">
      <c r="B215" s="2"/>
      <c r="C215" s="27"/>
      <c r="D215" s="27"/>
      <c r="E215" s="253"/>
      <c r="F215" s="27"/>
      <c r="G215" s="2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</row>
    <row r="216" spans="2:42" ht="15.75" customHeight="1" x14ac:dyDescent="0.2">
      <c r="B216" s="2"/>
      <c r="C216" s="27"/>
      <c r="D216" s="27"/>
      <c r="E216" s="253"/>
      <c r="F216" s="27"/>
      <c r="G216" s="2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</row>
    <row r="217" spans="2:42" ht="15.75" customHeight="1" x14ac:dyDescent="0.2">
      <c r="B217" s="2"/>
      <c r="C217" s="27"/>
      <c r="D217" s="27"/>
      <c r="E217" s="253"/>
      <c r="F217" s="27"/>
      <c r="G217" s="2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</row>
    <row r="218" spans="2:42" ht="15.75" customHeight="1" x14ac:dyDescent="0.2">
      <c r="B218" s="2"/>
      <c r="C218" s="27"/>
      <c r="D218" s="27"/>
      <c r="E218" s="253"/>
      <c r="F218" s="27"/>
      <c r="G218" s="27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</row>
    <row r="219" spans="2:42" ht="15.75" customHeight="1" x14ac:dyDescent="0.2">
      <c r="B219" s="2"/>
      <c r="C219" s="27"/>
      <c r="D219" s="27"/>
      <c r="E219" s="253"/>
      <c r="F219" s="27"/>
      <c r="G219" s="27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</row>
    <row r="220" spans="2:42" ht="15.75" customHeight="1" x14ac:dyDescent="0.2">
      <c r="B220" s="2"/>
      <c r="C220" s="27"/>
      <c r="D220" s="27"/>
      <c r="E220" s="253"/>
      <c r="F220" s="27"/>
      <c r="G220" s="27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</row>
    <row r="221" spans="2:42" ht="15.75" customHeight="1" x14ac:dyDescent="0.2">
      <c r="B221" s="2"/>
      <c r="C221" s="27"/>
      <c r="D221" s="27"/>
      <c r="E221" s="253"/>
      <c r="F221" s="27"/>
      <c r="G221" s="27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</row>
    <row r="222" spans="2:42" ht="15.75" customHeight="1" x14ac:dyDescent="0.2">
      <c r="B222" s="2"/>
      <c r="C222" s="27"/>
      <c r="D222" s="27"/>
      <c r="E222" s="253"/>
      <c r="F222" s="27"/>
      <c r="G222" s="27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</row>
    <row r="223" spans="2:42" ht="15.75" customHeight="1" x14ac:dyDescent="0.2">
      <c r="B223" s="2"/>
      <c r="C223" s="27"/>
      <c r="D223" s="27"/>
      <c r="E223" s="253"/>
      <c r="F223" s="27"/>
      <c r="G223" s="27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</row>
    <row r="224" spans="2:42" ht="15.75" customHeight="1" x14ac:dyDescent="0.2">
      <c r="B224" s="2"/>
      <c r="C224" s="27"/>
      <c r="D224" s="27"/>
      <c r="E224" s="253"/>
      <c r="F224" s="27"/>
      <c r="G224" s="27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</row>
    <row r="225" spans="2:42" ht="15.75" customHeight="1" x14ac:dyDescent="0.2">
      <c r="B225" s="2"/>
      <c r="C225" s="27"/>
      <c r="D225" s="27"/>
      <c r="E225" s="253"/>
      <c r="F225" s="27"/>
      <c r="G225" s="27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</row>
    <row r="226" spans="2:42" ht="15.75" customHeight="1" x14ac:dyDescent="0.2">
      <c r="B226" s="2"/>
      <c r="C226" s="27"/>
      <c r="D226" s="27"/>
      <c r="E226" s="253"/>
      <c r="F226" s="27"/>
      <c r="G226" s="27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</row>
    <row r="227" spans="2:42" ht="15.75" customHeight="1" x14ac:dyDescent="0.2">
      <c r="B227" s="2"/>
      <c r="C227" s="27"/>
      <c r="D227" s="27"/>
      <c r="E227" s="253"/>
      <c r="F227" s="27"/>
      <c r="G227" s="27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</row>
    <row r="228" spans="2:42" ht="15.75" customHeight="1" x14ac:dyDescent="0.2">
      <c r="B228" s="2"/>
      <c r="C228" s="27"/>
      <c r="D228" s="27"/>
      <c r="E228" s="253"/>
      <c r="F228" s="27"/>
      <c r="G228" s="27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</row>
    <row r="229" spans="2:42" ht="15.75" customHeight="1" x14ac:dyDescent="0.2">
      <c r="B229" s="2"/>
      <c r="C229" s="27"/>
      <c r="D229" s="27"/>
      <c r="E229" s="253"/>
      <c r="F229" s="27"/>
      <c r="G229" s="27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</row>
    <row r="230" spans="2:42" ht="15.75" customHeight="1" x14ac:dyDescent="0.2">
      <c r="B230" s="2"/>
      <c r="C230" s="27"/>
      <c r="D230" s="27"/>
      <c r="E230" s="253"/>
      <c r="F230" s="27"/>
      <c r="G230" s="27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</row>
    <row r="231" spans="2:42" ht="15.75" customHeight="1" x14ac:dyDescent="0.2">
      <c r="B231" s="2"/>
      <c r="C231" s="27"/>
      <c r="D231" s="27"/>
      <c r="E231" s="253"/>
      <c r="F231" s="27"/>
      <c r="G231" s="27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</row>
    <row r="232" spans="2:42" ht="15.75" customHeight="1" x14ac:dyDescent="0.2">
      <c r="B232" s="2"/>
      <c r="C232" s="27"/>
      <c r="D232" s="27"/>
      <c r="E232" s="253"/>
      <c r="F232" s="27"/>
      <c r="G232" s="27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</row>
    <row r="233" spans="2:42" ht="15.75" customHeight="1" x14ac:dyDescent="0.2">
      <c r="B233" s="2"/>
      <c r="C233" s="27"/>
      <c r="D233" s="27"/>
      <c r="E233" s="253"/>
      <c r="F233" s="27"/>
      <c r="G233" s="27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</row>
    <row r="234" spans="2:42" ht="15.75" customHeight="1" x14ac:dyDescent="0.2">
      <c r="B234" s="2"/>
      <c r="C234" s="27"/>
      <c r="D234" s="27"/>
      <c r="E234" s="253"/>
      <c r="F234" s="27"/>
      <c r="G234" s="27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</row>
    <row r="235" spans="2:42" ht="15.75" customHeight="1" x14ac:dyDescent="0.2">
      <c r="B235" s="2"/>
      <c r="C235" s="27"/>
      <c r="D235" s="27"/>
      <c r="E235" s="253"/>
      <c r="F235" s="27"/>
      <c r="G235" s="27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</row>
    <row r="236" spans="2:42" ht="15.75" customHeight="1" x14ac:dyDescent="0.2">
      <c r="B236" s="2"/>
      <c r="C236" s="27"/>
      <c r="D236" s="27"/>
      <c r="E236" s="253"/>
      <c r="F236" s="27"/>
      <c r="G236" s="27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</row>
    <row r="237" spans="2:42" ht="15.75" customHeight="1" x14ac:dyDescent="0.2">
      <c r="B237" s="2"/>
      <c r="C237" s="27"/>
      <c r="D237" s="27"/>
      <c r="E237" s="253"/>
      <c r="F237" s="27"/>
      <c r="G237" s="27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</row>
    <row r="238" spans="2:42" ht="15.75" customHeight="1" x14ac:dyDescent="0.2">
      <c r="B238" s="2"/>
      <c r="C238" s="27"/>
      <c r="D238" s="27"/>
      <c r="E238" s="253"/>
      <c r="F238" s="27"/>
      <c r="G238" s="27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</row>
    <row r="239" spans="2:42" ht="15.75" customHeight="1" x14ac:dyDescent="0.2">
      <c r="B239" s="2"/>
      <c r="C239" s="27"/>
      <c r="D239" s="27"/>
      <c r="E239" s="253"/>
      <c r="F239" s="27"/>
      <c r="G239" s="27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</row>
    <row r="240" spans="2:42" ht="15.75" customHeight="1" x14ac:dyDescent="0.2">
      <c r="B240" s="2"/>
      <c r="C240" s="27"/>
      <c r="D240" s="27"/>
      <c r="E240" s="253"/>
      <c r="F240" s="27"/>
      <c r="G240" s="27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</row>
    <row r="241" spans="2:42" ht="15.75" customHeight="1" x14ac:dyDescent="0.2">
      <c r="B241" s="2"/>
      <c r="C241" s="27"/>
      <c r="D241" s="27"/>
      <c r="E241" s="253"/>
      <c r="F241" s="27"/>
      <c r="G241" s="27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</row>
    <row r="242" spans="2:42" ht="15.75" customHeight="1" x14ac:dyDescent="0.2">
      <c r="B242" s="2"/>
      <c r="C242" s="27"/>
      <c r="D242" s="27"/>
      <c r="E242" s="253"/>
      <c r="F242" s="27"/>
      <c r="G242" s="27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</row>
    <row r="243" spans="2:42" ht="15.75" customHeight="1" x14ac:dyDescent="0.2">
      <c r="B243" s="2"/>
      <c r="C243" s="27"/>
      <c r="D243" s="27"/>
      <c r="E243" s="253"/>
      <c r="F243" s="27"/>
      <c r="G243" s="27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</row>
    <row r="244" spans="2:42" ht="15.75" customHeight="1" x14ac:dyDescent="0.2">
      <c r="B244" s="2"/>
      <c r="C244" s="27"/>
      <c r="D244" s="27"/>
      <c r="E244" s="253"/>
      <c r="F244" s="27"/>
      <c r="G244" s="27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</row>
    <row r="245" spans="2:42" ht="15.75" customHeight="1" x14ac:dyDescent="0.2">
      <c r="B245" s="2"/>
      <c r="C245" s="27"/>
      <c r="D245" s="27"/>
      <c r="E245" s="253"/>
      <c r="F245" s="27"/>
      <c r="G245" s="27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</row>
    <row r="246" spans="2:42" ht="15.75" customHeight="1" x14ac:dyDescent="0.2">
      <c r="B246" s="2"/>
      <c r="C246" s="27"/>
      <c r="D246" s="27"/>
      <c r="E246" s="253"/>
      <c r="F246" s="27"/>
      <c r="G246" s="27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</row>
    <row r="247" spans="2:42" ht="15.75" customHeight="1" x14ac:dyDescent="0.2">
      <c r="B247" s="2"/>
      <c r="C247" s="27"/>
      <c r="D247" s="27"/>
      <c r="E247" s="253"/>
      <c r="F247" s="27"/>
      <c r="G247" s="27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</row>
    <row r="248" spans="2:42" ht="15.75" customHeight="1" x14ac:dyDescent="0.2">
      <c r="B248" s="2"/>
      <c r="C248" s="27"/>
      <c r="D248" s="27"/>
      <c r="E248" s="253"/>
      <c r="F248" s="27"/>
      <c r="G248" s="27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</row>
    <row r="249" spans="2:42" ht="15.75" customHeight="1" x14ac:dyDescent="0.2">
      <c r="B249" s="2"/>
      <c r="C249" s="27"/>
      <c r="D249" s="27"/>
      <c r="E249" s="253"/>
      <c r="F249" s="27"/>
      <c r="G249" s="27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</row>
    <row r="250" spans="2:42" ht="15.75" customHeight="1" x14ac:dyDescent="0.2">
      <c r="B250" s="2"/>
      <c r="C250" s="27"/>
      <c r="D250" s="27"/>
      <c r="E250" s="253"/>
      <c r="F250" s="27"/>
      <c r="G250" s="27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</row>
    <row r="251" spans="2:42" ht="15.75" customHeight="1" x14ac:dyDescent="0.2">
      <c r="B251" s="2"/>
      <c r="C251" s="27"/>
      <c r="D251" s="27"/>
      <c r="E251" s="253"/>
      <c r="F251" s="27"/>
      <c r="G251" s="27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</row>
    <row r="252" spans="2:42" ht="15.75" customHeight="1" x14ac:dyDescent="0.2">
      <c r="B252" s="2"/>
      <c r="C252" s="27"/>
      <c r="D252" s="27"/>
      <c r="E252" s="253"/>
      <c r="F252" s="27"/>
      <c r="G252" s="27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</row>
    <row r="253" spans="2:42" ht="15.75" customHeight="1" x14ac:dyDescent="0.2">
      <c r="B253" s="2"/>
      <c r="C253" s="27"/>
      <c r="D253" s="27"/>
      <c r="E253" s="253"/>
      <c r="F253" s="27"/>
      <c r="G253" s="27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</row>
    <row r="254" spans="2:42" ht="15.75" customHeight="1" x14ac:dyDescent="0.2">
      <c r="B254" s="2"/>
      <c r="C254" s="27"/>
      <c r="D254" s="27"/>
      <c r="E254" s="253"/>
      <c r="F254" s="27"/>
      <c r="G254" s="27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</row>
    <row r="255" spans="2:42" ht="15.75" customHeight="1" x14ac:dyDescent="0.2">
      <c r="B255" s="2"/>
      <c r="C255" s="27"/>
      <c r="D255" s="27"/>
      <c r="E255" s="253"/>
      <c r="F255" s="27"/>
      <c r="G255" s="27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</row>
    <row r="256" spans="2:42" ht="15.75" customHeight="1" x14ac:dyDescent="0.2">
      <c r="B256" s="2"/>
      <c r="C256" s="27"/>
      <c r="D256" s="27"/>
      <c r="E256" s="253"/>
      <c r="F256" s="27"/>
      <c r="G256" s="27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</row>
    <row r="257" spans="2:42" ht="15.75" customHeight="1" x14ac:dyDescent="0.2">
      <c r="B257" s="2"/>
      <c r="C257" s="27"/>
      <c r="D257" s="27"/>
      <c r="E257" s="253"/>
      <c r="F257" s="27"/>
      <c r="G257" s="27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</row>
    <row r="258" spans="2:42" ht="15.75" customHeight="1" x14ac:dyDescent="0.2">
      <c r="B258" s="2"/>
      <c r="C258" s="27"/>
      <c r="D258" s="27"/>
      <c r="E258" s="253"/>
      <c r="F258" s="27"/>
      <c r="G258" s="27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</row>
    <row r="259" spans="2:42" ht="15.75" customHeight="1" x14ac:dyDescent="0.2">
      <c r="B259" s="2"/>
      <c r="C259" s="27"/>
      <c r="D259" s="27"/>
      <c r="E259" s="253"/>
      <c r="F259" s="27"/>
      <c r="G259" s="27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</row>
    <row r="260" spans="2:42" ht="15.75" customHeight="1" x14ac:dyDescent="0.2">
      <c r="B260" s="2"/>
      <c r="C260" s="27"/>
      <c r="D260" s="27"/>
      <c r="E260" s="253"/>
      <c r="F260" s="27"/>
      <c r="G260" s="27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</row>
    <row r="261" spans="2:42" ht="15.75" customHeight="1" x14ac:dyDescent="0.2">
      <c r="B261" s="2"/>
      <c r="C261" s="27"/>
      <c r="D261" s="27"/>
      <c r="E261" s="253"/>
      <c r="F261" s="27"/>
      <c r="G261" s="27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</row>
    <row r="262" spans="2:42" ht="15.75" customHeight="1" x14ac:dyDescent="0.2">
      <c r="B262" s="2"/>
      <c r="C262" s="27"/>
      <c r="D262" s="27"/>
      <c r="E262" s="253"/>
      <c r="F262" s="27"/>
      <c r="G262" s="27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</row>
    <row r="263" spans="2:42" ht="15.75" customHeight="1" x14ac:dyDescent="0.2">
      <c r="B263" s="2"/>
      <c r="C263" s="27"/>
      <c r="D263" s="27"/>
      <c r="E263" s="253"/>
      <c r="F263" s="27"/>
      <c r="G263" s="27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</row>
    <row r="264" spans="2:42" ht="15.75" customHeight="1" x14ac:dyDescent="0.2">
      <c r="B264" s="2"/>
      <c r="C264" s="27"/>
      <c r="D264" s="27"/>
      <c r="E264" s="253"/>
      <c r="F264" s="27"/>
      <c r="G264" s="27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</row>
    <row r="265" spans="2:42" ht="15.75" customHeight="1" x14ac:dyDescent="0.2">
      <c r="B265" s="2"/>
      <c r="C265" s="27"/>
      <c r="D265" s="27"/>
      <c r="E265" s="253"/>
      <c r="F265" s="27"/>
      <c r="G265" s="27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</row>
    <row r="266" spans="2:42" ht="15.75" customHeight="1" x14ac:dyDescent="0.2">
      <c r="B266" s="2"/>
      <c r="C266" s="27"/>
      <c r="D266" s="27"/>
      <c r="E266" s="253"/>
      <c r="F266" s="27"/>
      <c r="G266" s="27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</row>
    <row r="267" spans="2:42" ht="15.75" customHeight="1" x14ac:dyDescent="0.2">
      <c r="B267" s="2"/>
      <c r="C267" s="27"/>
      <c r="D267" s="27"/>
      <c r="E267" s="253"/>
      <c r="F267" s="27"/>
      <c r="G267" s="27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</row>
    <row r="268" spans="2:42" ht="15.75" customHeight="1" x14ac:dyDescent="0.2">
      <c r="B268" s="2"/>
      <c r="C268" s="27"/>
      <c r="D268" s="27"/>
      <c r="E268" s="253"/>
      <c r="F268" s="27"/>
      <c r="G268" s="27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</row>
    <row r="269" spans="2:42" ht="15.75" customHeight="1" x14ac:dyDescent="0.2">
      <c r="B269" s="2"/>
      <c r="C269" s="27"/>
      <c r="D269" s="27"/>
      <c r="E269" s="253"/>
      <c r="F269" s="27"/>
      <c r="G269" s="27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</row>
    <row r="270" spans="2:42" ht="15.75" customHeight="1" x14ac:dyDescent="0.2">
      <c r="B270" s="2"/>
      <c r="C270" s="27"/>
      <c r="D270" s="27"/>
      <c r="E270" s="253"/>
      <c r="F270" s="27"/>
      <c r="G270" s="27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</row>
    <row r="271" spans="2:42" ht="15.75" customHeight="1" x14ac:dyDescent="0.2">
      <c r="B271" s="2"/>
      <c r="C271" s="27"/>
      <c r="D271" s="27"/>
      <c r="E271" s="253"/>
      <c r="F271" s="27"/>
      <c r="G271" s="27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</row>
    <row r="272" spans="2:42" ht="15.75" customHeight="1" x14ac:dyDescent="0.2">
      <c r="B272" s="2"/>
      <c r="C272" s="27"/>
      <c r="D272" s="27"/>
      <c r="E272" s="253"/>
      <c r="F272" s="27"/>
      <c r="G272" s="27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</row>
    <row r="273" spans="2:42" ht="15.75" customHeight="1" x14ac:dyDescent="0.2">
      <c r="B273" s="2"/>
      <c r="C273" s="27"/>
      <c r="D273" s="27"/>
      <c r="E273" s="253"/>
      <c r="F273" s="27"/>
      <c r="G273" s="27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</row>
    <row r="274" spans="2:42" ht="15.75" customHeight="1" x14ac:dyDescent="0.2">
      <c r="B274" s="2"/>
      <c r="C274" s="27"/>
      <c r="D274" s="27"/>
      <c r="E274" s="253"/>
      <c r="F274" s="27"/>
      <c r="G274" s="27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</row>
    <row r="275" spans="2:42" ht="15.75" customHeight="1" x14ac:dyDescent="0.2">
      <c r="B275" s="2"/>
      <c r="C275" s="27"/>
      <c r="D275" s="27"/>
      <c r="E275" s="253"/>
      <c r="F275" s="27"/>
      <c r="G275" s="27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</row>
    <row r="276" spans="2:42" ht="15.75" customHeight="1" x14ac:dyDescent="0.2">
      <c r="B276" s="2"/>
      <c r="C276" s="27"/>
      <c r="D276" s="27"/>
      <c r="E276" s="253"/>
      <c r="F276" s="27"/>
      <c r="G276" s="27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</row>
    <row r="277" spans="2:42" ht="15.75" customHeight="1" x14ac:dyDescent="0.2">
      <c r="B277" s="2"/>
      <c r="C277" s="27"/>
      <c r="D277" s="27"/>
      <c r="E277" s="253"/>
      <c r="F277" s="27"/>
      <c r="G277" s="27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</row>
    <row r="278" spans="2:42" ht="15.75" customHeight="1" x14ac:dyDescent="0.2">
      <c r="B278" s="2"/>
      <c r="C278" s="27"/>
      <c r="D278" s="27"/>
      <c r="E278" s="253"/>
      <c r="F278" s="27"/>
      <c r="G278" s="27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</row>
    <row r="279" spans="2:42" ht="15.75" customHeight="1" x14ac:dyDescent="0.2">
      <c r="B279" s="2"/>
      <c r="C279" s="27"/>
      <c r="D279" s="27"/>
      <c r="E279" s="253"/>
      <c r="F279" s="27"/>
      <c r="G279" s="27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</row>
    <row r="280" spans="2:42" ht="15.75" customHeight="1" x14ac:dyDescent="0.2">
      <c r="B280" s="2"/>
      <c r="C280" s="27"/>
      <c r="D280" s="27"/>
      <c r="E280" s="253"/>
      <c r="F280" s="27"/>
      <c r="G280" s="27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</row>
    <row r="281" spans="2:42" ht="15.75" customHeight="1" x14ac:dyDescent="0.2">
      <c r="B281" s="2"/>
      <c r="C281" s="27"/>
      <c r="D281" s="27"/>
      <c r="E281" s="253"/>
      <c r="F281" s="27"/>
      <c r="G281" s="27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</row>
    <row r="282" spans="2:42" ht="15.75" customHeight="1" x14ac:dyDescent="0.2">
      <c r="B282" s="2"/>
      <c r="C282" s="27"/>
      <c r="D282" s="27"/>
      <c r="E282" s="253"/>
      <c r="F282" s="27"/>
      <c r="G282" s="27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</row>
    <row r="283" spans="2:42" ht="15.75" customHeight="1" x14ac:dyDescent="0.2">
      <c r="B283" s="2"/>
      <c r="C283" s="27"/>
      <c r="D283" s="27"/>
      <c r="E283" s="253"/>
      <c r="F283" s="27"/>
      <c r="G283" s="27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</row>
    <row r="284" spans="2:42" ht="15.75" customHeight="1" x14ac:dyDescent="0.2">
      <c r="B284" s="2"/>
      <c r="C284" s="27"/>
      <c r="D284" s="27"/>
      <c r="E284" s="253"/>
      <c r="F284" s="27"/>
      <c r="G284" s="27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</row>
    <row r="285" spans="2:42" ht="15.75" customHeight="1" x14ac:dyDescent="0.2">
      <c r="B285" s="2"/>
      <c r="C285" s="27"/>
      <c r="D285" s="27"/>
      <c r="E285" s="253"/>
      <c r="F285" s="27"/>
      <c r="G285" s="27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</row>
    <row r="286" spans="2:42" ht="15.75" customHeight="1" x14ac:dyDescent="0.2">
      <c r="B286" s="2"/>
      <c r="C286" s="27"/>
      <c r="D286" s="27"/>
      <c r="E286" s="253"/>
      <c r="F286" s="27"/>
      <c r="G286" s="2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</row>
    <row r="287" spans="2:42" ht="15.75" customHeight="1" x14ac:dyDescent="0.2">
      <c r="B287" s="2"/>
      <c r="C287" s="27"/>
      <c r="D287" s="27"/>
      <c r="E287" s="253"/>
      <c r="F287" s="27"/>
      <c r="G287" s="2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</row>
    <row r="288" spans="2:42" ht="15.75" customHeight="1" x14ac:dyDescent="0.2">
      <c r="B288" s="2"/>
      <c r="C288" s="27"/>
      <c r="D288" s="27"/>
      <c r="E288" s="253"/>
      <c r="F288" s="27"/>
      <c r="G288" s="2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</row>
    <row r="289" spans="2:42" ht="15.75" customHeight="1" x14ac:dyDescent="0.2">
      <c r="B289" s="2"/>
      <c r="C289" s="27"/>
      <c r="D289" s="27"/>
      <c r="E289" s="253"/>
      <c r="F289" s="27"/>
      <c r="G289" s="2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</row>
    <row r="290" spans="2:42" ht="15.75" customHeight="1" x14ac:dyDescent="0.2">
      <c r="B290" s="2"/>
      <c r="C290" s="27"/>
      <c r="D290" s="27"/>
      <c r="E290" s="253"/>
      <c r="F290" s="27"/>
      <c r="G290" s="2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</row>
    <row r="291" spans="2:42" ht="15.75" customHeight="1" x14ac:dyDescent="0.2">
      <c r="B291" s="2"/>
      <c r="C291" s="27"/>
      <c r="D291" s="27"/>
      <c r="E291" s="253"/>
      <c r="F291" s="27"/>
      <c r="G291" s="2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</row>
    <row r="292" spans="2:42" ht="15.75" customHeight="1" x14ac:dyDescent="0.2">
      <c r="B292" s="2"/>
      <c r="C292" s="27"/>
      <c r="D292" s="27"/>
      <c r="E292" s="253"/>
      <c r="F292" s="27"/>
      <c r="G292" s="2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</row>
    <row r="293" spans="2:42" ht="15.75" customHeight="1" x14ac:dyDescent="0.2">
      <c r="B293" s="2"/>
      <c r="C293" s="27"/>
      <c r="D293" s="27"/>
      <c r="E293" s="253"/>
      <c r="F293" s="27"/>
      <c r="G293" s="2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</row>
    <row r="294" spans="2:42" ht="15.75" customHeight="1" x14ac:dyDescent="0.2">
      <c r="B294" s="2"/>
      <c r="C294" s="27"/>
      <c r="D294" s="27"/>
      <c r="E294" s="253"/>
      <c r="F294" s="27"/>
      <c r="G294" s="2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</row>
    <row r="295" spans="2:42" ht="15.75" customHeight="1" x14ac:dyDescent="0.2">
      <c r="B295" s="2"/>
      <c r="C295" s="27"/>
      <c r="D295" s="27"/>
      <c r="E295" s="253"/>
      <c r="F295" s="27"/>
      <c r="G295" s="2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</row>
    <row r="296" spans="2:42" ht="15.75" customHeight="1" x14ac:dyDescent="0.2">
      <c r="B296" s="2"/>
      <c r="C296" s="27"/>
      <c r="D296" s="27"/>
      <c r="E296" s="253"/>
      <c r="F296" s="27"/>
      <c r="G296" s="2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</row>
    <row r="297" spans="2:42" ht="15.75" customHeight="1" x14ac:dyDescent="0.2">
      <c r="B297" s="2"/>
      <c r="C297" s="27"/>
      <c r="D297" s="27"/>
      <c r="E297" s="253"/>
      <c r="F297" s="27"/>
      <c r="G297" s="2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</row>
    <row r="298" spans="2:42" ht="15.75" customHeight="1" x14ac:dyDescent="0.2">
      <c r="B298" s="2"/>
      <c r="C298" s="27"/>
      <c r="D298" s="27"/>
      <c r="E298" s="253"/>
      <c r="F298" s="27"/>
      <c r="G298" s="2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2:42" ht="15.75" customHeight="1" x14ac:dyDescent="0.2">
      <c r="B299" s="2"/>
      <c r="C299" s="27"/>
      <c r="D299" s="27"/>
      <c r="E299" s="253"/>
      <c r="F299" s="27"/>
      <c r="G299" s="2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</row>
    <row r="300" spans="2:42" ht="15.75" customHeight="1" x14ac:dyDescent="0.2">
      <c r="B300" s="2"/>
      <c r="C300" s="27"/>
      <c r="D300" s="27"/>
      <c r="E300" s="253"/>
      <c r="F300" s="27"/>
      <c r="G300" s="2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</row>
    <row r="301" spans="2:42" ht="15.75" customHeight="1" x14ac:dyDescent="0.2">
      <c r="B301" s="2"/>
      <c r="C301" s="27"/>
      <c r="D301" s="27"/>
      <c r="E301" s="253"/>
      <c r="F301" s="27"/>
      <c r="G301" s="2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</row>
    <row r="302" spans="2:42" ht="15.75" customHeight="1" x14ac:dyDescent="0.2">
      <c r="B302" s="2"/>
      <c r="C302" s="27"/>
      <c r="D302" s="27"/>
      <c r="E302" s="253"/>
      <c r="F302" s="27"/>
      <c r="G302" s="2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</row>
    <row r="303" spans="2:42" ht="15.75" customHeight="1" x14ac:dyDescent="0.2">
      <c r="B303" s="2"/>
      <c r="C303" s="27"/>
      <c r="D303" s="27"/>
      <c r="E303" s="253"/>
      <c r="F303" s="27"/>
      <c r="G303" s="2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</row>
    <row r="304" spans="2:42" ht="15.75" customHeight="1" x14ac:dyDescent="0.2">
      <c r="B304" s="2"/>
      <c r="C304" s="27"/>
      <c r="D304" s="27"/>
      <c r="E304" s="253"/>
      <c r="F304" s="27"/>
      <c r="G304" s="2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</row>
    <row r="305" spans="2:42" ht="15.75" customHeight="1" x14ac:dyDescent="0.2">
      <c r="B305" s="2"/>
      <c r="C305" s="27"/>
      <c r="D305" s="27"/>
      <c r="E305" s="253"/>
      <c r="F305" s="27"/>
      <c r="G305" s="2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</row>
    <row r="306" spans="2:42" ht="15.75" customHeight="1" x14ac:dyDescent="0.2">
      <c r="B306" s="2"/>
      <c r="C306" s="27"/>
      <c r="D306" s="27"/>
      <c r="E306" s="253"/>
      <c r="F306" s="27"/>
      <c r="G306" s="2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</row>
    <row r="307" spans="2:42" ht="15.75" customHeight="1" x14ac:dyDescent="0.2">
      <c r="B307" s="2"/>
      <c r="C307" s="27"/>
      <c r="D307" s="27"/>
      <c r="E307" s="253"/>
      <c r="F307" s="27"/>
      <c r="G307" s="2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</row>
    <row r="308" spans="2:42" ht="15.75" customHeight="1" x14ac:dyDescent="0.2">
      <c r="B308" s="2"/>
      <c r="C308" s="27"/>
      <c r="D308" s="27"/>
      <c r="E308" s="253"/>
      <c r="F308" s="27"/>
      <c r="G308" s="2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</row>
    <row r="309" spans="2:42" ht="15.75" customHeight="1" x14ac:dyDescent="0.2">
      <c r="B309" s="2"/>
      <c r="C309" s="27"/>
      <c r="D309" s="27"/>
      <c r="E309" s="253"/>
      <c r="F309" s="27"/>
      <c r="G309" s="2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</row>
    <row r="310" spans="2:42" ht="15.75" customHeight="1" x14ac:dyDescent="0.2">
      <c r="B310" s="2"/>
      <c r="C310" s="27"/>
      <c r="D310" s="27"/>
      <c r="E310" s="253"/>
      <c r="F310" s="27"/>
      <c r="G310" s="2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</row>
    <row r="311" spans="2:42" ht="15.75" customHeight="1" x14ac:dyDescent="0.2">
      <c r="B311" s="2"/>
      <c r="C311" s="27"/>
      <c r="D311" s="27"/>
      <c r="E311" s="253"/>
      <c r="F311" s="27"/>
      <c r="G311" s="2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</row>
    <row r="312" spans="2:42" ht="15.75" customHeight="1" x14ac:dyDescent="0.2">
      <c r="B312" s="2"/>
      <c r="C312" s="27"/>
      <c r="D312" s="27"/>
      <c r="E312" s="253"/>
      <c r="F312" s="27"/>
      <c r="G312" s="2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</row>
    <row r="313" spans="2:42" ht="15.75" customHeight="1" x14ac:dyDescent="0.2">
      <c r="B313" s="2"/>
      <c r="C313" s="27"/>
      <c r="D313" s="27"/>
      <c r="E313" s="253"/>
      <c r="F313" s="27"/>
      <c r="G313" s="2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</row>
    <row r="314" spans="2:42" ht="15.75" customHeight="1" x14ac:dyDescent="0.2">
      <c r="B314" s="2"/>
      <c r="C314" s="27"/>
      <c r="D314" s="27"/>
      <c r="E314" s="253"/>
      <c r="F314" s="27"/>
      <c r="G314" s="2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</row>
    <row r="315" spans="2:42" ht="15.75" customHeight="1" x14ac:dyDescent="0.2">
      <c r="B315" s="2"/>
      <c r="C315" s="27"/>
      <c r="D315" s="27"/>
      <c r="E315" s="253"/>
      <c r="F315" s="27"/>
      <c r="G315" s="2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</row>
    <row r="316" spans="2:42" ht="15.75" customHeight="1" x14ac:dyDescent="0.2">
      <c r="B316" s="2"/>
      <c r="C316" s="27"/>
      <c r="D316" s="27"/>
      <c r="E316" s="253"/>
      <c r="F316" s="27"/>
      <c r="G316" s="2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</row>
    <row r="317" spans="2:42" ht="15.75" customHeight="1" x14ac:dyDescent="0.2">
      <c r="B317" s="2"/>
      <c r="C317" s="27"/>
      <c r="D317" s="27"/>
      <c r="E317" s="253"/>
      <c r="F317" s="27"/>
      <c r="G317" s="2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</row>
    <row r="318" spans="2:42" ht="15.75" customHeight="1" x14ac:dyDescent="0.2">
      <c r="B318" s="2"/>
      <c r="C318" s="27"/>
      <c r="D318" s="27"/>
      <c r="E318" s="253"/>
      <c r="F318" s="27"/>
      <c r="G318" s="2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</row>
    <row r="319" spans="2:42" ht="15.75" customHeight="1" x14ac:dyDescent="0.2">
      <c r="B319" s="2"/>
      <c r="C319" s="27"/>
      <c r="D319" s="27"/>
      <c r="E319" s="253"/>
      <c r="F319" s="27"/>
      <c r="G319" s="2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</row>
    <row r="320" spans="2:42" ht="15.75" customHeight="1" x14ac:dyDescent="0.2">
      <c r="B320" s="2"/>
      <c r="C320" s="27"/>
      <c r="D320" s="27"/>
      <c r="E320" s="253"/>
      <c r="F320" s="27"/>
      <c r="G320" s="2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</row>
    <row r="321" spans="2:42" ht="15.75" customHeight="1" x14ac:dyDescent="0.2">
      <c r="B321" s="2"/>
      <c r="C321" s="27"/>
      <c r="D321" s="27"/>
      <c r="E321" s="253"/>
      <c r="F321" s="27"/>
      <c r="G321" s="2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</row>
    <row r="322" spans="2:42" ht="15.75" customHeight="1" x14ac:dyDescent="0.2">
      <c r="B322" s="2"/>
      <c r="C322" s="27"/>
      <c r="D322" s="27"/>
      <c r="E322" s="253"/>
      <c r="F322" s="27"/>
      <c r="G322" s="2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</row>
    <row r="323" spans="2:42" ht="15.75" customHeight="1" x14ac:dyDescent="0.2">
      <c r="B323" s="2"/>
      <c r="C323" s="27"/>
      <c r="D323" s="27"/>
      <c r="E323" s="253"/>
      <c r="F323" s="27"/>
      <c r="G323" s="2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</row>
    <row r="324" spans="2:42" ht="15.75" customHeight="1" x14ac:dyDescent="0.2">
      <c r="B324" s="2"/>
      <c r="C324" s="27"/>
      <c r="D324" s="27"/>
      <c r="E324" s="253"/>
      <c r="F324" s="27"/>
      <c r="G324" s="27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</row>
    <row r="325" spans="2:42" ht="15.75" customHeight="1" x14ac:dyDescent="0.2">
      <c r="B325" s="2"/>
      <c r="C325" s="27"/>
      <c r="D325" s="27"/>
      <c r="E325" s="253"/>
      <c r="F325" s="27"/>
      <c r="G325" s="27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</row>
    <row r="326" spans="2:42" ht="15.75" customHeight="1" x14ac:dyDescent="0.2">
      <c r="B326" s="2"/>
      <c r="C326" s="27"/>
      <c r="D326" s="27"/>
      <c r="E326" s="253"/>
      <c r="F326" s="27"/>
      <c r="G326" s="2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</row>
    <row r="327" spans="2:42" ht="15.75" customHeight="1" x14ac:dyDescent="0.2">
      <c r="B327" s="2"/>
      <c r="C327" s="27"/>
      <c r="D327" s="27"/>
      <c r="E327" s="253"/>
      <c r="F327" s="27"/>
      <c r="G327" s="2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</row>
    <row r="328" spans="2:42" ht="15.75" customHeight="1" x14ac:dyDescent="0.2">
      <c r="B328" s="2"/>
      <c r="C328" s="27"/>
      <c r="D328" s="27"/>
      <c r="E328" s="253"/>
      <c r="F328" s="27"/>
      <c r="G328" s="2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</row>
    <row r="329" spans="2:42" ht="15.75" customHeight="1" x14ac:dyDescent="0.2">
      <c r="B329" s="2"/>
      <c r="C329" s="27"/>
      <c r="D329" s="27"/>
      <c r="E329" s="253"/>
      <c r="F329" s="27"/>
      <c r="G329" s="27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</row>
    <row r="330" spans="2:42" ht="15.75" customHeight="1" x14ac:dyDescent="0.2">
      <c r="B330" s="2"/>
      <c r="C330" s="27"/>
      <c r="D330" s="27"/>
      <c r="E330" s="253"/>
      <c r="F330" s="27"/>
      <c r="G330" s="2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</row>
    <row r="331" spans="2:42" ht="15.75" customHeight="1" x14ac:dyDescent="0.2">
      <c r="B331" s="2"/>
      <c r="C331" s="27"/>
      <c r="D331" s="27"/>
      <c r="E331" s="253"/>
      <c r="F331" s="27"/>
      <c r="G331" s="2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</row>
    <row r="332" spans="2:42" ht="15.75" customHeight="1" x14ac:dyDescent="0.2">
      <c r="B332" s="2"/>
      <c r="C332" s="27"/>
      <c r="D332" s="27"/>
      <c r="E332" s="253"/>
      <c r="F332" s="27"/>
      <c r="G332" s="2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</row>
    <row r="333" spans="2:42" ht="15.75" customHeight="1" x14ac:dyDescent="0.2">
      <c r="B333" s="2"/>
      <c r="C333" s="27"/>
      <c r="D333" s="27"/>
      <c r="E333" s="253"/>
      <c r="F333" s="27"/>
      <c r="G333" s="2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</row>
    <row r="334" spans="2:42" ht="15.75" customHeight="1" x14ac:dyDescent="0.2">
      <c r="B334" s="2"/>
      <c r="C334" s="27"/>
      <c r="D334" s="27"/>
      <c r="E334" s="253"/>
      <c r="F334" s="27"/>
      <c r="G334" s="2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</row>
    <row r="335" spans="2:42" ht="15.75" customHeight="1" x14ac:dyDescent="0.2">
      <c r="B335" s="2"/>
      <c r="C335" s="27"/>
      <c r="D335" s="27"/>
      <c r="E335" s="253"/>
      <c r="F335" s="27"/>
      <c r="G335" s="2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</row>
    <row r="336" spans="2:42" ht="15.75" customHeight="1" x14ac:dyDescent="0.2">
      <c r="B336" s="2"/>
      <c r="C336" s="27"/>
      <c r="D336" s="27"/>
      <c r="E336" s="253"/>
      <c r="F336" s="27"/>
      <c r="G336" s="2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</row>
    <row r="337" spans="2:42" ht="15.75" customHeight="1" x14ac:dyDescent="0.2">
      <c r="B337" s="2"/>
      <c r="C337" s="27"/>
      <c r="D337" s="27"/>
      <c r="E337" s="253"/>
      <c r="F337" s="27"/>
      <c r="G337" s="2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</row>
    <row r="338" spans="2:42" ht="15.75" customHeight="1" x14ac:dyDescent="0.2">
      <c r="B338" s="2"/>
      <c r="C338" s="27"/>
      <c r="D338" s="27"/>
      <c r="E338" s="253"/>
      <c r="F338" s="27"/>
      <c r="G338" s="2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</row>
    <row r="339" spans="2:42" ht="15.75" customHeight="1" x14ac:dyDescent="0.2">
      <c r="B339" s="2"/>
      <c r="C339" s="27"/>
      <c r="D339" s="27"/>
      <c r="E339" s="253"/>
      <c r="F339" s="27"/>
      <c r="G339" s="2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</row>
    <row r="340" spans="2:42" ht="15.75" customHeight="1" x14ac:dyDescent="0.2">
      <c r="B340" s="2"/>
      <c r="C340" s="27"/>
      <c r="D340" s="27"/>
      <c r="E340" s="253"/>
      <c r="F340" s="27"/>
      <c r="G340" s="2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</row>
    <row r="341" spans="2:42" ht="15.75" customHeight="1" x14ac:dyDescent="0.2">
      <c r="B341" s="2"/>
      <c r="C341" s="27"/>
      <c r="D341" s="27"/>
      <c r="E341" s="253"/>
      <c r="F341" s="27"/>
      <c r="G341" s="2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</row>
    <row r="342" spans="2:42" ht="15.75" customHeight="1" x14ac:dyDescent="0.2">
      <c r="B342" s="2"/>
      <c r="C342" s="27"/>
      <c r="D342" s="27"/>
      <c r="E342" s="253"/>
      <c r="F342" s="27"/>
      <c r="G342" s="27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</row>
    <row r="343" spans="2:42" ht="15.75" customHeight="1" x14ac:dyDescent="0.2">
      <c r="B343" s="2"/>
      <c r="C343" s="27"/>
      <c r="D343" s="27"/>
      <c r="E343" s="253"/>
      <c r="F343" s="27"/>
      <c r="G343" s="27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</row>
    <row r="344" spans="2:42" ht="15.75" customHeight="1" x14ac:dyDescent="0.2">
      <c r="B344" s="2"/>
      <c r="C344" s="27"/>
      <c r="D344" s="27"/>
      <c r="E344" s="253"/>
      <c r="F344" s="27"/>
      <c r="G344" s="27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</row>
    <row r="345" spans="2:42" ht="15.75" customHeight="1" x14ac:dyDescent="0.2">
      <c r="B345" s="2"/>
      <c r="C345" s="27"/>
      <c r="D345" s="27"/>
      <c r="E345" s="253"/>
      <c r="F345" s="27"/>
      <c r="G345" s="27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</row>
    <row r="346" spans="2:42" ht="15.75" customHeight="1" x14ac:dyDescent="0.2">
      <c r="B346" s="2"/>
      <c r="C346" s="27"/>
      <c r="D346" s="27"/>
      <c r="E346" s="253"/>
      <c r="F346" s="27"/>
      <c r="G346" s="27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</row>
    <row r="347" spans="2:42" ht="15.75" customHeight="1" x14ac:dyDescent="0.2">
      <c r="B347" s="2"/>
      <c r="C347" s="27"/>
      <c r="D347" s="27"/>
      <c r="E347" s="253"/>
      <c r="F347" s="27"/>
      <c r="G347" s="27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</row>
    <row r="348" spans="2:42" ht="15.75" customHeight="1" x14ac:dyDescent="0.2">
      <c r="B348" s="2"/>
      <c r="C348" s="27"/>
      <c r="D348" s="27"/>
      <c r="E348" s="253"/>
      <c r="F348" s="27"/>
      <c r="G348" s="27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</row>
    <row r="349" spans="2:42" ht="15.75" customHeight="1" x14ac:dyDescent="0.2">
      <c r="B349" s="2"/>
      <c r="C349" s="27"/>
      <c r="D349" s="27"/>
      <c r="E349" s="253"/>
      <c r="F349" s="27"/>
      <c r="G349" s="27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</row>
    <row r="350" spans="2:42" ht="15.75" customHeight="1" x14ac:dyDescent="0.2">
      <c r="B350" s="2"/>
      <c r="C350" s="27"/>
      <c r="D350" s="27"/>
      <c r="E350" s="253"/>
      <c r="F350" s="27"/>
      <c r="G350" s="27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</row>
    <row r="351" spans="2:42" ht="15.75" customHeight="1" x14ac:dyDescent="0.2">
      <c r="B351" s="2"/>
      <c r="C351" s="27"/>
      <c r="D351" s="27"/>
      <c r="E351" s="253"/>
      <c r="F351" s="27"/>
      <c r="G351" s="27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</row>
    <row r="352" spans="2:42" ht="15.75" customHeight="1" x14ac:dyDescent="0.2">
      <c r="B352" s="2"/>
      <c r="C352" s="27"/>
      <c r="D352" s="27"/>
      <c r="E352" s="253"/>
      <c r="F352" s="27"/>
      <c r="G352" s="27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</row>
    <row r="353" spans="2:42" ht="15.75" customHeight="1" x14ac:dyDescent="0.2">
      <c r="B353" s="2"/>
      <c r="C353" s="27"/>
      <c r="D353" s="27"/>
      <c r="E353" s="253"/>
      <c r="F353" s="27"/>
      <c r="G353" s="27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</row>
    <row r="354" spans="2:42" ht="15.75" customHeight="1" x14ac:dyDescent="0.2">
      <c r="B354" s="2"/>
      <c r="C354" s="27"/>
      <c r="D354" s="27"/>
      <c r="E354" s="253"/>
      <c r="F354" s="27"/>
      <c r="G354" s="27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</row>
    <row r="355" spans="2:42" ht="15.75" customHeight="1" x14ac:dyDescent="0.2">
      <c r="B355" s="2"/>
      <c r="C355" s="27"/>
      <c r="D355" s="27"/>
      <c r="E355" s="253"/>
      <c r="F355" s="27"/>
      <c r="G355" s="27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</row>
    <row r="356" spans="2:42" ht="15.75" customHeight="1" x14ac:dyDescent="0.2">
      <c r="B356" s="2"/>
      <c r="C356" s="27"/>
      <c r="D356" s="27"/>
      <c r="E356" s="253"/>
      <c r="F356" s="27"/>
      <c r="G356" s="27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</row>
    <row r="357" spans="2:42" ht="15.75" customHeight="1" x14ac:dyDescent="0.2">
      <c r="B357" s="2"/>
      <c r="C357" s="27"/>
      <c r="D357" s="27"/>
      <c r="E357" s="253"/>
      <c r="F357" s="27"/>
      <c r="G357" s="27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</row>
    <row r="358" spans="2:42" ht="15.75" customHeight="1" x14ac:dyDescent="0.2">
      <c r="B358" s="2"/>
      <c r="C358" s="27"/>
      <c r="D358" s="27"/>
      <c r="E358" s="253"/>
      <c r="F358" s="27"/>
      <c r="G358" s="27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</row>
    <row r="359" spans="2:42" ht="15.75" customHeight="1" x14ac:dyDescent="0.2">
      <c r="B359" s="2"/>
      <c r="C359" s="27"/>
      <c r="D359" s="27"/>
      <c r="E359" s="253"/>
      <c r="F359" s="27"/>
      <c r="G359" s="27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</row>
    <row r="360" spans="2:42" ht="15.75" customHeight="1" x14ac:dyDescent="0.2">
      <c r="B360" s="2"/>
      <c r="C360" s="27"/>
      <c r="D360" s="27"/>
      <c r="E360" s="253"/>
      <c r="F360" s="27"/>
      <c r="G360" s="27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</row>
    <row r="361" spans="2:42" ht="15.75" customHeight="1" x14ac:dyDescent="0.2">
      <c r="B361" s="2"/>
      <c r="C361" s="27"/>
      <c r="D361" s="27"/>
      <c r="E361" s="253"/>
      <c r="F361" s="27"/>
      <c r="G361" s="27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</row>
    <row r="362" spans="2:42" ht="15.75" customHeight="1" x14ac:dyDescent="0.2">
      <c r="B362" s="2"/>
      <c r="C362" s="27"/>
      <c r="D362" s="27"/>
      <c r="E362" s="253"/>
      <c r="F362" s="27"/>
      <c r="G362" s="2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</row>
    <row r="363" spans="2:42" ht="15.75" customHeight="1" x14ac:dyDescent="0.2">
      <c r="B363" s="2"/>
      <c r="C363" s="27"/>
      <c r="D363" s="27"/>
      <c r="E363" s="253"/>
      <c r="F363" s="27"/>
      <c r="G363" s="2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</row>
    <row r="364" spans="2:42" ht="15.75" customHeight="1" x14ac:dyDescent="0.2">
      <c r="B364" s="2"/>
      <c r="C364" s="27"/>
      <c r="D364" s="27"/>
      <c r="E364" s="253"/>
      <c r="F364" s="27"/>
      <c r="G364" s="2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</row>
    <row r="365" spans="2:42" ht="15.75" customHeight="1" x14ac:dyDescent="0.2">
      <c r="B365" s="2"/>
      <c r="C365" s="27"/>
      <c r="D365" s="27"/>
      <c r="E365" s="253"/>
      <c r="F365" s="27"/>
      <c r="G365" s="2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</row>
    <row r="366" spans="2:42" ht="15.75" customHeight="1" x14ac:dyDescent="0.2">
      <c r="B366" s="2"/>
      <c r="C366" s="27"/>
      <c r="D366" s="27"/>
      <c r="E366" s="253"/>
      <c r="F366" s="27"/>
      <c r="G366" s="2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</row>
    <row r="367" spans="2:42" ht="15.75" customHeight="1" x14ac:dyDescent="0.2">
      <c r="B367" s="2"/>
      <c r="C367" s="27"/>
      <c r="D367" s="27"/>
      <c r="E367" s="253"/>
      <c r="F367" s="27"/>
      <c r="G367" s="2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</row>
    <row r="368" spans="2:42" ht="15.75" customHeight="1" x14ac:dyDescent="0.2">
      <c r="B368" s="2"/>
      <c r="C368" s="27"/>
      <c r="D368" s="27"/>
      <c r="E368" s="253"/>
      <c r="F368" s="27"/>
      <c r="G368" s="2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</row>
    <row r="369" spans="2:42" ht="15.75" customHeight="1" x14ac:dyDescent="0.2">
      <c r="B369" s="2"/>
      <c r="C369" s="27"/>
      <c r="D369" s="27"/>
      <c r="E369" s="253"/>
      <c r="F369" s="27"/>
      <c r="G369" s="2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</row>
    <row r="370" spans="2:42" ht="15.75" customHeight="1" x14ac:dyDescent="0.2">
      <c r="B370" s="2"/>
      <c r="C370" s="27"/>
      <c r="D370" s="27"/>
      <c r="E370" s="253"/>
      <c r="F370" s="27"/>
      <c r="G370" s="2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</row>
    <row r="371" spans="2:42" ht="15.75" customHeight="1" x14ac:dyDescent="0.2">
      <c r="B371" s="2"/>
      <c r="C371" s="27"/>
      <c r="D371" s="27"/>
      <c r="E371" s="253"/>
      <c r="F371" s="27"/>
      <c r="G371" s="2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</row>
    <row r="372" spans="2:42" ht="15.75" customHeight="1" x14ac:dyDescent="0.2">
      <c r="B372" s="2"/>
      <c r="C372" s="27"/>
      <c r="D372" s="27"/>
      <c r="E372" s="253"/>
      <c r="F372" s="27"/>
      <c r="G372" s="2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</row>
    <row r="373" spans="2:42" ht="15.75" customHeight="1" x14ac:dyDescent="0.2">
      <c r="B373" s="2"/>
      <c r="C373" s="27"/>
      <c r="D373" s="27"/>
      <c r="E373" s="253"/>
      <c r="F373" s="27"/>
      <c r="G373" s="2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</row>
    <row r="374" spans="2:42" ht="15.75" customHeight="1" x14ac:dyDescent="0.2">
      <c r="B374" s="2"/>
      <c r="C374" s="27"/>
      <c r="D374" s="27"/>
      <c r="E374" s="253"/>
      <c r="F374" s="27"/>
      <c r="G374" s="2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</row>
    <row r="375" spans="2:42" ht="15.75" customHeight="1" x14ac:dyDescent="0.2">
      <c r="B375" s="2"/>
      <c r="C375" s="27"/>
      <c r="D375" s="27"/>
      <c r="E375" s="253"/>
      <c r="F375" s="27"/>
      <c r="G375" s="2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</row>
    <row r="376" spans="2:42" ht="15.75" customHeight="1" x14ac:dyDescent="0.2">
      <c r="B376" s="2"/>
      <c r="C376" s="27"/>
      <c r="D376" s="27"/>
      <c r="E376" s="253"/>
      <c r="F376" s="27"/>
      <c r="G376" s="2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</row>
    <row r="377" spans="2:42" ht="15.75" customHeight="1" x14ac:dyDescent="0.2">
      <c r="B377" s="2"/>
      <c r="C377" s="27"/>
      <c r="D377" s="27"/>
      <c r="E377" s="253"/>
      <c r="F377" s="27"/>
      <c r="G377" s="2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</row>
    <row r="378" spans="2:42" ht="15.75" customHeight="1" x14ac:dyDescent="0.2">
      <c r="B378" s="2"/>
      <c r="C378" s="27"/>
      <c r="D378" s="27"/>
      <c r="E378" s="253"/>
      <c r="F378" s="27"/>
      <c r="G378" s="2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</row>
    <row r="379" spans="2:42" ht="15.75" customHeight="1" x14ac:dyDescent="0.2">
      <c r="B379" s="2"/>
      <c r="C379" s="27"/>
      <c r="D379" s="27"/>
      <c r="E379" s="253"/>
      <c r="F379" s="27"/>
      <c r="G379" s="2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</row>
    <row r="380" spans="2:42" ht="15.75" customHeight="1" x14ac:dyDescent="0.2">
      <c r="B380" s="2"/>
      <c r="C380" s="27"/>
      <c r="D380" s="27"/>
      <c r="E380" s="253"/>
      <c r="F380" s="27"/>
      <c r="G380" s="2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</row>
    <row r="381" spans="2:42" ht="15.75" customHeight="1" x14ac:dyDescent="0.2">
      <c r="B381" s="2"/>
      <c r="C381" s="27"/>
      <c r="D381" s="27"/>
      <c r="E381" s="253"/>
      <c r="F381" s="27"/>
      <c r="G381" s="2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</row>
    <row r="382" spans="2:42" ht="15.75" customHeight="1" x14ac:dyDescent="0.2">
      <c r="B382" s="2"/>
      <c r="C382" s="27"/>
      <c r="D382" s="27"/>
      <c r="E382" s="253"/>
      <c r="F382" s="27"/>
      <c r="G382" s="2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</row>
    <row r="383" spans="2:42" ht="15.75" customHeight="1" x14ac:dyDescent="0.2">
      <c r="B383" s="2"/>
      <c r="C383" s="27"/>
      <c r="D383" s="27"/>
      <c r="E383" s="253"/>
      <c r="F383" s="27"/>
      <c r="G383" s="2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</row>
    <row r="384" spans="2:42" ht="15.75" customHeight="1" x14ac:dyDescent="0.2">
      <c r="B384" s="2"/>
      <c r="C384" s="27"/>
      <c r="D384" s="27"/>
      <c r="E384" s="253"/>
      <c r="F384" s="27"/>
      <c r="G384" s="2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</row>
    <row r="385" spans="2:42" ht="15.75" customHeight="1" x14ac:dyDescent="0.2">
      <c r="B385" s="2"/>
      <c r="C385" s="27"/>
      <c r="D385" s="27"/>
      <c r="E385" s="253"/>
      <c r="F385" s="27"/>
      <c r="G385" s="2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</row>
    <row r="386" spans="2:42" ht="15.75" customHeight="1" x14ac:dyDescent="0.2">
      <c r="B386" s="2"/>
      <c r="C386" s="27"/>
      <c r="D386" s="27"/>
      <c r="E386" s="253"/>
      <c r="F386" s="27"/>
      <c r="G386" s="2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</row>
    <row r="387" spans="2:42" ht="15.75" customHeight="1" x14ac:dyDescent="0.2">
      <c r="B387" s="2"/>
      <c r="C387" s="27"/>
      <c r="D387" s="27"/>
      <c r="E387" s="253"/>
      <c r="F387" s="27"/>
      <c r="G387" s="2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</row>
    <row r="388" spans="2:42" ht="15.75" customHeight="1" x14ac:dyDescent="0.2">
      <c r="B388" s="2"/>
      <c r="C388" s="27"/>
      <c r="D388" s="27"/>
      <c r="E388" s="253"/>
      <c r="F388" s="27"/>
      <c r="G388" s="2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</row>
    <row r="389" spans="2:42" ht="15.75" customHeight="1" x14ac:dyDescent="0.2">
      <c r="B389" s="2"/>
      <c r="C389" s="27"/>
      <c r="D389" s="27"/>
      <c r="E389" s="253"/>
      <c r="F389" s="27"/>
      <c r="G389" s="2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</row>
    <row r="390" spans="2:42" ht="15.75" customHeight="1" x14ac:dyDescent="0.2">
      <c r="B390" s="2"/>
      <c r="C390" s="27"/>
      <c r="D390" s="27"/>
      <c r="E390" s="253"/>
      <c r="F390" s="27"/>
      <c r="G390" s="2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</row>
    <row r="391" spans="2:42" ht="15.75" customHeight="1" x14ac:dyDescent="0.2">
      <c r="B391" s="2"/>
      <c r="C391" s="27"/>
      <c r="D391" s="27"/>
      <c r="E391" s="253"/>
      <c r="F391" s="27"/>
      <c r="G391" s="2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</row>
    <row r="392" spans="2:42" ht="15.75" customHeight="1" x14ac:dyDescent="0.2">
      <c r="B392" s="2"/>
      <c r="C392" s="27"/>
      <c r="D392" s="27"/>
      <c r="E392" s="253"/>
      <c r="F392" s="27"/>
      <c r="G392" s="2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</row>
    <row r="393" spans="2:42" ht="15.75" customHeight="1" x14ac:dyDescent="0.2">
      <c r="B393" s="2"/>
      <c r="C393" s="27"/>
      <c r="D393" s="27"/>
      <c r="E393" s="253"/>
      <c r="F393" s="27"/>
      <c r="G393" s="2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</row>
    <row r="394" spans="2:42" ht="15.75" customHeight="1" x14ac:dyDescent="0.2">
      <c r="B394" s="2"/>
      <c r="C394" s="27"/>
      <c r="D394" s="27"/>
      <c r="E394" s="253"/>
      <c r="F394" s="27"/>
      <c r="G394" s="2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</row>
    <row r="395" spans="2:42" ht="15.75" customHeight="1" x14ac:dyDescent="0.2">
      <c r="B395" s="2"/>
      <c r="C395" s="27"/>
      <c r="D395" s="27"/>
      <c r="E395" s="253"/>
      <c r="F395" s="27"/>
      <c r="G395" s="2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</row>
    <row r="396" spans="2:42" ht="15.75" customHeight="1" x14ac:dyDescent="0.2">
      <c r="B396" s="2"/>
      <c r="C396" s="27"/>
      <c r="D396" s="27"/>
      <c r="E396" s="253"/>
      <c r="F396" s="27"/>
      <c r="G396" s="27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</row>
    <row r="397" spans="2:42" ht="15.75" customHeight="1" x14ac:dyDescent="0.2">
      <c r="B397" s="2"/>
      <c r="C397" s="27"/>
      <c r="D397" s="27"/>
      <c r="E397" s="253"/>
      <c r="F397" s="27"/>
      <c r="G397" s="27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</row>
    <row r="398" spans="2:42" ht="15.75" customHeight="1" x14ac:dyDescent="0.2">
      <c r="B398" s="2"/>
      <c r="C398" s="27"/>
      <c r="D398" s="27"/>
      <c r="E398" s="253"/>
      <c r="F398" s="27"/>
      <c r="G398" s="27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</row>
    <row r="399" spans="2:42" ht="15.75" customHeight="1" x14ac:dyDescent="0.2">
      <c r="B399" s="2"/>
      <c r="C399" s="27"/>
      <c r="D399" s="27"/>
      <c r="E399" s="253"/>
      <c r="F399" s="27"/>
      <c r="G399" s="27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</row>
    <row r="400" spans="2:42" ht="15.75" customHeight="1" x14ac:dyDescent="0.2">
      <c r="B400" s="2"/>
      <c r="C400" s="27"/>
      <c r="D400" s="27"/>
      <c r="E400" s="253"/>
      <c r="F400" s="27"/>
      <c r="G400" s="27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</row>
    <row r="401" spans="2:42" ht="15.75" customHeight="1" x14ac:dyDescent="0.2">
      <c r="B401" s="2"/>
      <c r="C401" s="27"/>
      <c r="D401" s="27"/>
      <c r="E401" s="253"/>
      <c r="F401" s="27"/>
      <c r="G401" s="27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</row>
    <row r="402" spans="2:42" ht="15.75" customHeight="1" x14ac:dyDescent="0.2">
      <c r="B402" s="2"/>
      <c r="C402" s="27"/>
      <c r="D402" s="27"/>
      <c r="E402" s="253"/>
      <c r="F402" s="27"/>
      <c r="G402" s="27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</row>
    <row r="403" spans="2:42" ht="15.75" customHeight="1" x14ac:dyDescent="0.2">
      <c r="B403" s="2"/>
      <c r="C403" s="27"/>
      <c r="D403" s="27"/>
      <c r="E403" s="253"/>
      <c r="F403" s="27"/>
      <c r="G403" s="27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</row>
    <row r="404" spans="2:42" ht="15.75" customHeight="1" x14ac:dyDescent="0.2">
      <c r="B404" s="2"/>
      <c r="C404" s="27"/>
      <c r="D404" s="27"/>
      <c r="E404" s="253"/>
      <c r="F404" s="27"/>
      <c r="G404" s="27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</row>
    <row r="405" spans="2:42" ht="15.75" customHeight="1" x14ac:dyDescent="0.2">
      <c r="B405" s="2"/>
      <c r="C405" s="27"/>
      <c r="D405" s="27"/>
      <c r="E405" s="253"/>
      <c r="F405" s="27"/>
      <c r="G405" s="27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</row>
    <row r="406" spans="2:42" ht="15.75" customHeight="1" x14ac:dyDescent="0.2">
      <c r="B406" s="2"/>
      <c r="C406" s="27"/>
      <c r="D406" s="27"/>
      <c r="E406" s="253"/>
      <c r="F406" s="27"/>
      <c r="G406" s="27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</row>
    <row r="407" spans="2:42" ht="15.75" customHeight="1" x14ac:dyDescent="0.2">
      <c r="B407" s="2"/>
      <c r="C407" s="27"/>
      <c r="D407" s="27"/>
      <c r="E407" s="253"/>
      <c r="F407" s="27"/>
      <c r="G407" s="27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</row>
    <row r="408" spans="2:42" ht="15.75" customHeight="1" x14ac:dyDescent="0.2">
      <c r="B408" s="2"/>
      <c r="C408" s="27"/>
      <c r="D408" s="27"/>
      <c r="E408" s="253"/>
      <c r="F408" s="27"/>
      <c r="G408" s="27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</row>
    <row r="409" spans="2:42" ht="15.75" customHeight="1" x14ac:dyDescent="0.2">
      <c r="B409" s="2"/>
      <c r="C409" s="27"/>
      <c r="D409" s="27"/>
      <c r="E409" s="253"/>
      <c r="F409" s="27"/>
      <c r="G409" s="27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</row>
    <row r="410" spans="2:42" ht="15.75" customHeight="1" x14ac:dyDescent="0.2">
      <c r="B410" s="2"/>
      <c r="C410" s="27"/>
      <c r="D410" s="27"/>
      <c r="E410" s="253"/>
      <c r="F410" s="27"/>
      <c r="G410" s="27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</row>
    <row r="411" spans="2:42" ht="15.75" customHeight="1" x14ac:dyDescent="0.2">
      <c r="B411" s="2"/>
      <c r="C411" s="27"/>
      <c r="D411" s="27"/>
      <c r="E411" s="253"/>
      <c r="F411" s="27"/>
      <c r="G411" s="27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</row>
    <row r="412" spans="2:42" ht="15.75" customHeight="1" x14ac:dyDescent="0.2">
      <c r="B412" s="2"/>
      <c r="C412" s="27"/>
      <c r="D412" s="27"/>
      <c r="E412" s="253"/>
      <c r="F412" s="27"/>
      <c r="G412" s="27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</row>
    <row r="413" spans="2:42" ht="15.75" customHeight="1" x14ac:dyDescent="0.2">
      <c r="B413" s="2"/>
      <c r="C413" s="27"/>
      <c r="D413" s="27"/>
      <c r="E413" s="253"/>
      <c r="F413" s="27"/>
      <c r="G413" s="27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</row>
    <row r="414" spans="2:42" ht="15.75" customHeight="1" x14ac:dyDescent="0.2">
      <c r="B414" s="2"/>
      <c r="C414" s="27"/>
      <c r="D414" s="27"/>
      <c r="E414" s="253"/>
      <c r="F414" s="27"/>
      <c r="G414" s="27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</row>
    <row r="415" spans="2:42" ht="15.75" customHeight="1" x14ac:dyDescent="0.2">
      <c r="B415" s="2"/>
      <c r="C415" s="27"/>
      <c r="D415" s="27"/>
      <c r="E415" s="253"/>
      <c r="F415" s="27"/>
      <c r="G415" s="27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</row>
    <row r="416" spans="2:42" ht="15.75" customHeight="1" x14ac:dyDescent="0.2">
      <c r="B416" s="2"/>
      <c r="C416" s="27"/>
      <c r="D416" s="27"/>
      <c r="E416" s="253"/>
      <c r="F416" s="27"/>
      <c r="G416" s="27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</row>
    <row r="417" spans="2:42" ht="15.75" customHeight="1" x14ac:dyDescent="0.2">
      <c r="B417" s="2"/>
      <c r="C417" s="27"/>
      <c r="D417" s="27"/>
      <c r="E417" s="253"/>
      <c r="F417" s="27"/>
      <c r="G417" s="27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</row>
    <row r="418" spans="2:42" ht="15.75" customHeight="1" x14ac:dyDescent="0.2">
      <c r="B418" s="2"/>
      <c r="C418" s="27"/>
      <c r="D418" s="27"/>
      <c r="E418" s="253"/>
      <c r="F418" s="27"/>
      <c r="G418" s="27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</row>
    <row r="419" spans="2:42" ht="15.75" customHeight="1" x14ac:dyDescent="0.2">
      <c r="B419" s="2"/>
      <c r="C419" s="27"/>
      <c r="D419" s="27"/>
      <c r="E419" s="253"/>
      <c r="F419" s="27"/>
      <c r="G419" s="27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</row>
    <row r="420" spans="2:42" ht="15.75" customHeight="1" x14ac:dyDescent="0.2">
      <c r="B420" s="2"/>
      <c r="C420" s="27"/>
      <c r="D420" s="27"/>
      <c r="E420" s="253"/>
      <c r="F420" s="27"/>
      <c r="G420" s="27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</row>
    <row r="421" spans="2:42" ht="15.75" customHeight="1" x14ac:dyDescent="0.2">
      <c r="B421" s="2"/>
      <c r="C421" s="27"/>
      <c r="D421" s="27"/>
      <c r="E421" s="253"/>
      <c r="F421" s="27"/>
      <c r="G421" s="27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</row>
    <row r="422" spans="2:42" ht="15.75" customHeight="1" x14ac:dyDescent="0.2">
      <c r="B422" s="2"/>
      <c r="C422" s="27"/>
      <c r="D422" s="27"/>
      <c r="E422" s="253"/>
      <c r="F422" s="27"/>
      <c r="G422" s="27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</row>
    <row r="423" spans="2:42" ht="15.75" customHeight="1" x14ac:dyDescent="0.2">
      <c r="B423" s="2"/>
      <c r="C423" s="27"/>
      <c r="D423" s="27"/>
      <c r="E423" s="253"/>
      <c r="F423" s="27"/>
      <c r="G423" s="27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</row>
    <row r="424" spans="2:42" ht="15.75" customHeight="1" x14ac:dyDescent="0.2">
      <c r="B424" s="2"/>
      <c r="C424" s="27"/>
      <c r="D424" s="27"/>
      <c r="E424" s="253"/>
      <c r="F424" s="27"/>
      <c r="G424" s="27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</row>
    <row r="425" spans="2:42" ht="15.75" customHeight="1" x14ac:dyDescent="0.2">
      <c r="B425" s="2"/>
      <c r="C425" s="27"/>
      <c r="D425" s="27"/>
      <c r="E425" s="253"/>
      <c r="F425" s="27"/>
      <c r="G425" s="27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</row>
    <row r="426" spans="2:42" ht="15.75" customHeight="1" x14ac:dyDescent="0.2">
      <c r="B426" s="2"/>
      <c r="C426" s="27"/>
      <c r="D426" s="27"/>
      <c r="E426" s="253"/>
      <c r="F426" s="27"/>
      <c r="G426" s="27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</row>
    <row r="427" spans="2:42" ht="15.75" customHeight="1" x14ac:dyDescent="0.2">
      <c r="B427" s="2"/>
      <c r="C427" s="27"/>
      <c r="D427" s="27"/>
      <c r="E427" s="253"/>
      <c r="F427" s="27"/>
      <c r="G427" s="27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</row>
    <row r="428" spans="2:42" ht="15.75" customHeight="1" x14ac:dyDescent="0.2">
      <c r="B428" s="2"/>
      <c r="C428" s="27"/>
      <c r="D428" s="27"/>
      <c r="E428" s="253"/>
      <c r="F428" s="27"/>
      <c r="G428" s="27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</row>
    <row r="429" spans="2:42" ht="15.75" customHeight="1" x14ac:dyDescent="0.2">
      <c r="B429" s="2"/>
      <c r="C429" s="27"/>
      <c r="D429" s="27"/>
      <c r="E429" s="253"/>
      <c r="F429" s="27"/>
      <c r="G429" s="27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</row>
    <row r="430" spans="2:42" ht="15.75" customHeight="1" x14ac:dyDescent="0.2">
      <c r="B430" s="2"/>
      <c r="C430" s="27"/>
      <c r="D430" s="27"/>
      <c r="E430" s="253"/>
      <c r="F430" s="27"/>
      <c r="G430" s="2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</row>
    <row r="431" spans="2:42" ht="15.75" customHeight="1" x14ac:dyDescent="0.2">
      <c r="B431" s="2"/>
      <c r="C431" s="27"/>
      <c r="D431" s="27"/>
      <c r="E431" s="253"/>
      <c r="F431" s="27"/>
      <c r="G431" s="2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</row>
    <row r="432" spans="2:42" ht="15.75" customHeight="1" x14ac:dyDescent="0.2">
      <c r="B432" s="2"/>
      <c r="C432" s="27"/>
      <c r="D432" s="27"/>
      <c r="E432" s="253"/>
      <c r="F432" s="27"/>
      <c r="G432" s="27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</row>
    <row r="433" spans="2:42" ht="15.75" customHeight="1" x14ac:dyDescent="0.2">
      <c r="B433" s="2"/>
      <c r="C433" s="27"/>
      <c r="D433" s="27"/>
      <c r="E433" s="253"/>
      <c r="F433" s="27"/>
      <c r="G433" s="27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</row>
    <row r="434" spans="2:42" ht="15.75" customHeight="1" x14ac:dyDescent="0.2">
      <c r="B434" s="2"/>
      <c r="C434" s="27"/>
      <c r="D434" s="27"/>
      <c r="E434" s="253"/>
      <c r="F434" s="27"/>
      <c r="G434" s="27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</row>
    <row r="435" spans="2:42" ht="15.75" customHeight="1" x14ac:dyDescent="0.2">
      <c r="B435" s="2"/>
      <c r="C435" s="27"/>
      <c r="D435" s="27"/>
      <c r="E435" s="253"/>
      <c r="F435" s="27"/>
      <c r="G435" s="27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</row>
    <row r="436" spans="2:42" ht="15.75" customHeight="1" x14ac:dyDescent="0.2">
      <c r="B436" s="2"/>
      <c r="C436" s="27"/>
      <c r="D436" s="27"/>
      <c r="E436" s="253"/>
      <c r="F436" s="27"/>
      <c r="G436" s="27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</row>
    <row r="437" spans="2:42" ht="15.75" customHeight="1" x14ac:dyDescent="0.2">
      <c r="B437" s="2"/>
      <c r="C437" s="27"/>
      <c r="D437" s="27"/>
      <c r="E437" s="253"/>
      <c r="F437" s="27"/>
      <c r="G437" s="27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</row>
    <row r="438" spans="2:42" ht="15.75" customHeight="1" x14ac:dyDescent="0.2">
      <c r="B438" s="2"/>
      <c r="C438" s="27"/>
      <c r="D438" s="27"/>
      <c r="E438" s="253"/>
      <c r="F438" s="27"/>
      <c r="G438" s="27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</row>
    <row r="439" spans="2:42" ht="15.75" customHeight="1" x14ac:dyDescent="0.2">
      <c r="B439" s="2"/>
      <c r="C439" s="27"/>
      <c r="D439" s="27"/>
      <c r="E439" s="253"/>
      <c r="F439" s="27"/>
      <c r="G439" s="27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</row>
    <row r="440" spans="2:42" ht="15.75" customHeight="1" x14ac:dyDescent="0.2">
      <c r="B440" s="2"/>
      <c r="C440" s="27"/>
      <c r="D440" s="27"/>
      <c r="E440" s="253"/>
      <c r="F440" s="27"/>
      <c r="G440" s="27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</row>
    <row r="441" spans="2:42" ht="15.75" customHeight="1" x14ac:dyDescent="0.2">
      <c r="B441" s="2"/>
      <c r="C441" s="27"/>
      <c r="D441" s="27"/>
      <c r="E441" s="253"/>
      <c r="F441" s="27"/>
      <c r="G441" s="27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</row>
    <row r="442" spans="2:42" ht="15.75" customHeight="1" x14ac:dyDescent="0.2">
      <c r="B442" s="2"/>
      <c r="C442" s="27"/>
      <c r="D442" s="27"/>
      <c r="E442" s="253"/>
      <c r="F442" s="27"/>
      <c r="G442" s="27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</row>
    <row r="443" spans="2:42" ht="15.75" customHeight="1" x14ac:dyDescent="0.2">
      <c r="B443" s="2"/>
      <c r="C443" s="27"/>
      <c r="D443" s="27"/>
      <c r="E443" s="253"/>
      <c r="F443" s="27"/>
      <c r="G443" s="27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</row>
    <row r="444" spans="2:42" ht="15.75" customHeight="1" x14ac:dyDescent="0.2">
      <c r="B444" s="2"/>
      <c r="C444" s="27"/>
      <c r="D444" s="27"/>
      <c r="E444" s="253"/>
      <c r="F444" s="27"/>
      <c r="G444" s="27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</row>
    <row r="445" spans="2:42" ht="15.75" customHeight="1" x14ac:dyDescent="0.2">
      <c r="B445" s="2"/>
      <c r="C445" s="27"/>
      <c r="D445" s="27"/>
      <c r="E445" s="253"/>
      <c r="F445" s="27"/>
      <c r="G445" s="27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</row>
    <row r="446" spans="2:42" ht="15.75" customHeight="1" x14ac:dyDescent="0.2">
      <c r="B446" s="2"/>
      <c r="C446" s="27"/>
      <c r="D446" s="27"/>
      <c r="E446" s="253"/>
      <c r="F446" s="27"/>
      <c r="G446" s="27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</row>
    <row r="447" spans="2:42" ht="15.75" customHeight="1" x14ac:dyDescent="0.2">
      <c r="B447" s="2"/>
      <c r="C447" s="27"/>
      <c r="D447" s="27"/>
      <c r="E447" s="253"/>
      <c r="F447" s="27"/>
      <c r="G447" s="27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</row>
    <row r="448" spans="2:42" ht="15.75" customHeight="1" x14ac:dyDescent="0.2">
      <c r="B448" s="2"/>
      <c r="C448" s="27"/>
      <c r="D448" s="27"/>
      <c r="E448" s="253"/>
      <c r="F448" s="27"/>
      <c r="G448" s="27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</row>
    <row r="449" spans="2:42" ht="15.75" customHeight="1" x14ac:dyDescent="0.2">
      <c r="B449" s="2"/>
      <c r="C449" s="27"/>
      <c r="D449" s="27"/>
      <c r="E449" s="253"/>
      <c r="F449" s="27"/>
      <c r="G449" s="27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</row>
    <row r="450" spans="2:42" ht="15.75" customHeight="1" x14ac:dyDescent="0.2">
      <c r="B450" s="2"/>
      <c r="C450" s="27"/>
      <c r="D450" s="27"/>
      <c r="E450" s="253"/>
      <c r="F450" s="27"/>
      <c r="G450" s="27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</row>
    <row r="451" spans="2:42" ht="15.75" customHeight="1" x14ac:dyDescent="0.2">
      <c r="B451" s="2"/>
      <c r="C451" s="27"/>
      <c r="D451" s="27"/>
      <c r="E451" s="253"/>
      <c r="F451" s="27"/>
      <c r="G451" s="27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</row>
    <row r="452" spans="2:42" ht="15.75" customHeight="1" x14ac:dyDescent="0.2">
      <c r="B452" s="2"/>
      <c r="C452" s="27"/>
      <c r="D452" s="27"/>
      <c r="E452" s="253"/>
      <c r="F452" s="27"/>
      <c r="G452" s="27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</row>
    <row r="453" spans="2:42" ht="15.75" customHeight="1" x14ac:dyDescent="0.2">
      <c r="B453" s="2"/>
      <c r="C453" s="27"/>
      <c r="D453" s="27"/>
      <c r="E453" s="253"/>
      <c r="F453" s="27"/>
      <c r="G453" s="27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</row>
    <row r="454" spans="2:42" ht="15.75" customHeight="1" x14ac:dyDescent="0.2">
      <c r="B454" s="2"/>
      <c r="C454" s="27"/>
      <c r="D454" s="27"/>
      <c r="E454" s="253"/>
      <c r="F454" s="27"/>
      <c r="G454" s="27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</row>
    <row r="455" spans="2:42" ht="15.75" customHeight="1" x14ac:dyDescent="0.2">
      <c r="B455" s="2"/>
      <c r="C455" s="27"/>
      <c r="D455" s="27"/>
      <c r="E455" s="253"/>
      <c r="F455" s="27"/>
      <c r="G455" s="27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</row>
    <row r="456" spans="2:42" ht="15.75" customHeight="1" x14ac:dyDescent="0.2">
      <c r="B456" s="2"/>
      <c r="C456" s="27"/>
      <c r="D456" s="27"/>
      <c r="E456" s="253"/>
      <c r="F456" s="27"/>
      <c r="G456" s="27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</row>
    <row r="457" spans="2:42" ht="15.75" customHeight="1" x14ac:dyDescent="0.2">
      <c r="B457" s="2"/>
      <c r="C457" s="27"/>
      <c r="D457" s="27"/>
      <c r="E457" s="253"/>
      <c r="F457" s="27"/>
      <c r="G457" s="27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</row>
    <row r="458" spans="2:42" ht="15.75" customHeight="1" x14ac:dyDescent="0.2">
      <c r="B458" s="2"/>
      <c r="C458" s="27"/>
      <c r="D458" s="27"/>
      <c r="E458" s="253"/>
      <c r="F458" s="27"/>
      <c r="G458" s="27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</row>
    <row r="459" spans="2:42" ht="15.75" customHeight="1" x14ac:dyDescent="0.2">
      <c r="B459" s="2"/>
      <c r="C459" s="27"/>
      <c r="D459" s="27"/>
      <c r="E459" s="253"/>
      <c r="F459" s="27"/>
      <c r="G459" s="27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</row>
    <row r="460" spans="2:42" ht="15.75" customHeight="1" x14ac:dyDescent="0.2">
      <c r="B460" s="2"/>
      <c r="C460" s="27"/>
      <c r="D460" s="27"/>
      <c r="E460" s="253"/>
      <c r="F460" s="27"/>
      <c r="G460" s="27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</row>
    <row r="461" spans="2:42" ht="15.75" customHeight="1" x14ac:dyDescent="0.2">
      <c r="B461" s="2"/>
      <c r="C461" s="27"/>
      <c r="D461" s="27"/>
      <c r="E461" s="253"/>
      <c r="F461" s="27"/>
      <c r="G461" s="27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</row>
    <row r="462" spans="2:42" ht="15.75" customHeight="1" x14ac:dyDescent="0.2">
      <c r="B462" s="2"/>
      <c r="C462" s="27"/>
      <c r="D462" s="27"/>
      <c r="E462" s="253"/>
      <c r="F462" s="27"/>
      <c r="G462" s="27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</row>
    <row r="463" spans="2:42" ht="15.75" customHeight="1" x14ac:dyDescent="0.2">
      <c r="B463" s="2"/>
      <c r="C463" s="27"/>
      <c r="D463" s="27"/>
      <c r="E463" s="253"/>
      <c r="F463" s="27"/>
      <c r="G463" s="27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</row>
    <row r="464" spans="2:42" ht="15.75" customHeight="1" x14ac:dyDescent="0.2">
      <c r="B464" s="2"/>
      <c r="C464" s="27"/>
      <c r="D464" s="27"/>
      <c r="E464" s="253"/>
      <c r="F464" s="27"/>
      <c r="G464" s="27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</row>
    <row r="465" spans="2:42" ht="15.75" customHeight="1" x14ac:dyDescent="0.2">
      <c r="B465" s="2"/>
      <c r="C465" s="27"/>
      <c r="D465" s="27"/>
      <c r="E465" s="253"/>
      <c r="F465" s="27"/>
      <c r="G465" s="27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</row>
    <row r="466" spans="2:42" ht="15.75" customHeight="1" x14ac:dyDescent="0.2">
      <c r="B466" s="2"/>
      <c r="C466" s="27"/>
      <c r="D466" s="27"/>
      <c r="E466" s="253"/>
      <c r="F466" s="27"/>
      <c r="G466" s="2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</row>
    <row r="467" spans="2:42" ht="15.75" customHeight="1" x14ac:dyDescent="0.2">
      <c r="B467" s="2"/>
      <c r="C467" s="27"/>
      <c r="D467" s="27"/>
      <c r="E467" s="253"/>
      <c r="F467" s="27"/>
      <c r="G467" s="27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</row>
    <row r="468" spans="2:42" ht="15.75" customHeight="1" x14ac:dyDescent="0.2">
      <c r="B468" s="2"/>
      <c r="C468" s="27"/>
      <c r="D468" s="27"/>
      <c r="E468" s="253"/>
      <c r="F468" s="27"/>
      <c r="G468" s="27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</row>
    <row r="469" spans="2:42" ht="15.75" customHeight="1" x14ac:dyDescent="0.2">
      <c r="B469" s="2"/>
      <c r="C469" s="27"/>
      <c r="D469" s="27"/>
      <c r="E469" s="253"/>
      <c r="F469" s="27"/>
      <c r="G469" s="27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</row>
    <row r="470" spans="2:42" ht="15.75" customHeight="1" x14ac:dyDescent="0.2">
      <c r="B470" s="2"/>
      <c r="C470" s="27"/>
      <c r="D470" s="27"/>
      <c r="E470" s="253"/>
      <c r="F470" s="27"/>
      <c r="G470" s="27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</row>
    <row r="471" spans="2:42" ht="15.75" customHeight="1" x14ac:dyDescent="0.2">
      <c r="B471" s="2"/>
      <c r="C471" s="27"/>
      <c r="D471" s="27"/>
      <c r="E471" s="253"/>
      <c r="F471" s="27"/>
      <c r="G471" s="27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</row>
    <row r="472" spans="2:42" ht="15.75" customHeight="1" x14ac:dyDescent="0.2">
      <c r="B472" s="2"/>
      <c r="C472" s="27"/>
      <c r="D472" s="27"/>
      <c r="E472" s="253"/>
      <c r="F472" s="27"/>
      <c r="G472" s="27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</row>
    <row r="473" spans="2:42" ht="15.75" customHeight="1" x14ac:dyDescent="0.2">
      <c r="B473" s="2"/>
      <c r="C473" s="27"/>
      <c r="D473" s="27"/>
      <c r="E473" s="253"/>
      <c r="F473" s="27"/>
      <c r="G473" s="27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</row>
    <row r="474" spans="2:42" ht="15.75" customHeight="1" x14ac:dyDescent="0.2">
      <c r="B474" s="2"/>
      <c r="C474" s="27"/>
      <c r="D474" s="27"/>
      <c r="E474" s="253"/>
      <c r="F474" s="27"/>
      <c r="G474" s="27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</row>
    <row r="475" spans="2:42" ht="15.75" customHeight="1" x14ac:dyDescent="0.2">
      <c r="B475" s="2"/>
      <c r="C475" s="27"/>
      <c r="D475" s="27"/>
      <c r="E475" s="253"/>
      <c r="F475" s="27"/>
      <c r="G475" s="27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</row>
    <row r="476" spans="2:42" ht="15.75" customHeight="1" x14ac:dyDescent="0.2">
      <c r="B476" s="2"/>
      <c r="C476" s="27"/>
      <c r="D476" s="27"/>
      <c r="E476" s="253"/>
      <c r="F476" s="27"/>
      <c r="G476" s="27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</row>
    <row r="477" spans="2:42" ht="15.75" customHeight="1" x14ac:dyDescent="0.2">
      <c r="B477" s="2"/>
      <c r="C477" s="27"/>
      <c r="D477" s="27"/>
      <c r="E477" s="253"/>
      <c r="F477" s="27"/>
      <c r="G477" s="27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</row>
    <row r="478" spans="2:42" ht="15.75" customHeight="1" x14ac:dyDescent="0.2">
      <c r="B478" s="2"/>
      <c r="C478" s="27"/>
      <c r="D478" s="27"/>
      <c r="E478" s="253"/>
      <c r="F478" s="27"/>
      <c r="G478" s="27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</row>
    <row r="479" spans="2:42" ht="15.75" customHeight="1" x14ac:dyDescent="0.2">
      <c r="B479" s="2"/>
      <c r="C479" s="27"/>
      <c r="D479" s="27"/>
      <c r="E479" s="253"/>
      <c r="F479" s="27"/>
      <c r="G479" s="27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</row>
    <row r="480" spans="2:42" ht="15.75" customHeight="1" x14ac:dyDescent="0.2">
      <c r="B480" s="2"/>
      <c r="C480" s="27"/>
      <c r="D480" s="27"/>
      <c r="E480" s="253"/>
      <c r="F480" s="27"/>
      <c r="G480" s="27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</row>
    <row r="481" spans="2:42" ht="15.75" customHeight="1" x14ac:dyDescent="0.2">
      <c r="B481" s="2"/>
      <c r="C481" s="27"/>
      <c r="D481" s="27"/>
      <c r="E481" s="253"/>
      <c r="F481" s="27"/>
      <c r="G481" s="27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</row>
    <row r="482" spans="2:42" ht="15.75" customHeight="1" x14ac:dyDescent="0.2">
      <c r="B482" s="2"/>
      <c r="C482" s="27"/>
      <c r="D482" s="27"/>
      <c r="E482" s="253"/>
      <c r="F482" s="27"/>
      <c r="G482" s="2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</row>
    <row r="483" spans="2:42" ht="15.75" customHeight="1" x14ac:dyDescent="0.2">
      <c r="B483" s="2"/>
      <c r="C483" s="27"/>
      <c r="D483" s="27"/>
      <c r="E483" s="253"/>
      <c r="F483" s="27"/>
      <c r="G483" s="2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</row>
    <row r="484" spans="2:42" ht="15.75" customHeight="1" x14ac:dyDescent="0.2">
      <c r="B484" s="2"/>
      <c r="C484" s="27"/>
      <c r="D484" s="27"/>
      <c r="E484" s="253"/>
      <c r="F484" s="27"/>
      <c r="G484" s="2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</row>
    <row r="485" spans="2:42" ht="15.75" customHeight="1" x14ac:dyDescent="0.2">
      <c r="B485" s="2"/>
      <c r="C485" s="27"/>
      <c r="D485" s="27"/>
      <c r="E485" s="253"/>
      <c r="F485" s="27"/>
      <c r="G485" s="2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</row>
    <row r="486" spans="2:42" ht="15.75" customHeight="1" x14ac:dyDescent="0.2">
      <c r="B486" s="2"/>
      <c r="C486" s="27"/>
      <c r="D486" s="27"/>
      <c r="E486" s="253"/>
      <c r="F486" s="27"/>
      <c r="G486" s="27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</row>
    <row r="487" spans="2:42" ht="15.75" customHeight="1" x14ac:dyDescent="0.2">
      <c r="B487" s="2"/>
      <c r="C487" s="27"/>
      <c r="D487" s="27"/>
      <c r="E487" s="253"/>
      <c r="F487" s="27"/>
      <c r="G487" s="27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</row>
    <row r="488" spans="2:42" ht="15.75" customHeight="1" x14ac:dyDescent="0.2">
      <c r="B488" s="2"/>
      <c r="C488" s="27"/>
      <c r="D488" s="27"/>
      <c r="E488" s="253"/>
      <c r="F488" s="27"/>
      <c r="G488" s="27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</row>
    <row r="489" spans="2:42" ht="15.75" customHeight="1" x14ac:dyDescent="0.2">
      <c r="B489" s="2"/>
      <c r="C489" s="27"/>
      <c r="D489" s="27"/>
      <c r="E489" s="253"/>
      <c r="F489" s="27"/>
      <c r="G489" s="27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</row>
    <row r="490" spans="2:42" ht="15.75" customHeight="1" x14ac:dyDescent="0.2">
      <c r="B490" s="2"/>
      <c r="C490" s="27"/>
      <c r="D490" s="27"/>
      <c r="E490" s="253"/>
      <c r="F490" s="27"/>
      <c r="G490" s="27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</row>
    <row r="491" spans="2:42" ht="15.75" customHeight="1" x14ac:dyDescent="0.2">
      <c r="B491" s="2"/>
      <c r="C491" s="27"/>
      <c r="D491" s="27"/>
      <c r="E491" s="253"/>
      <c r="F491" s="27"/>
      <c r="G491" s="27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</row>
    <row r="492" spans="2:42" ht="15.75" customHeight="1" x14ac:dyDescent="0.2">
      <c r="B492" s="2"/>
      <c r="C492" s="27"/>
      <c r="D492" s="27"/>
      <c r="E492" s="253"/>
      <c r="F492" s="27"/>
      <c r="G492" s="27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</row>
    <row r="493" spans="2:42" ht="15.75" customHeight="1" x14ac:dyDescent="0.2">
      <c r="B493" s="2"/>
      <c r="C493" s="27"/>
      <c r="D493" s="27"/>
      <c r="E493" s="253"/>
      <c r="F493" s="27"/>
      <c r="G493" s="27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</row>
    <row r="494" spans="2:42" ht="15.75" customHeight="1" x14ac:dyDescent="0.2">
      <c r="B494" s="2"/>
      <c r="C494" s="27"/>
      <c r="D494" s="27"/>
      <c r="E494" s="253"/>
      <c r="F494" s="27"/>
      <c r="G494" s="27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</row>
    <row r="495" spans="2:42" ht="15.75" customHeight="1" x14ac:dyDescent="0.2">
      <c r="B495" s="2"/>
      <c r="C495" s="27"/>
      <c r="D495" s="27"/>
      <c r="E495" s="253"/>
      <c r="F495" s="27"/>
      <c r="G495" s="27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</row>
    <row r="496" spans="2:42" ht="15.75" customHeight="1" x14ac:dyDescent="0.2">
      <c r="B496" s="2"/>
      <c r="C496" s="27"/>
      <c r="D496" s="27"/>
      <c r="E496" s="253"/>
      <c r="F496" s="27"/>
      <c r="G496" s="27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</row>
    <row r="497" spans="2:42" ht="15.75" customHeight="1" x14ac:dyDescent="0.2">
      <c r="B497" s="2"/>
      <c r="C497" s="27"/>
      <c r="D497" s="27"/>
      <c r="E497" s="253"/>
      <c r="F497" s="27"/>
      <c r="G497" s="27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</row>
    <row r="498" spans="2:42" ht="15.75" customHeight="1" x14ac:dyDescent="0.2">
      <c r="B498" s="2"/>
      <c r="C498" s="27"/>
      <c r="D498" s="27"/>
      <c r="E498" s="253"/>
      <c r="F498" s="27"/>
      <c r="G498" s="27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</row>
    <row r="499" spans="2:42" ht="15.75" customHeight="1" x14ac:dyDescent="0.2">
      <c r="B499" s="2"/>
      <c r="C499" s="27"/>
      <c r="D499" s="27"/>
      <c r="E499" s="253"/>
      <c r="F499" s="27"/>
      <c r="G499" s="27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</row>
    <row r="500" spans="2:42" ht="15.75" customHeight="1" x14ac:dyDescent="0.2">
      <c r="B500" s="2"/>
      <c r="C500" s="27"/>
      <c r="D500" s="27"/>
      <c r="E500" s="253"/>
      <c r="F500" s="27"/>
      <c r="G500" s="27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</row>
    <row r="501" spans="2:42" ht="15.75" customHeight="1" x14ac:dyDescent="0.2">
      <c r="B501" s="2"/>
      <c r="C501" s="27"/>
      <c r="D501" s="27"/>
      <c r="E501" s="253"/>
      <c r="F501" s="27"/>
      <c r="G501" s="2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</row>
    <row r="502" spans="2:42" ht="15.75" customHeight="1" x14ac:dyDescent="0.2">
      <c r="B502" s="2"/>
      <c r="C502" s="27"/>
      <c r="D502" s="27"/>
      <c r="E502" s="253"/>
      <c r="F502" s="27"/>
      <c r="G502" s="2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</row>
    <row r="503" spans="2:42" ht="15.75" customHeight="1" x14ac:dyDescent="0.2">
      <c r="B503" s="2"/>
      <c r="C503" s="27"/>
      <c r="D503" s="27"/>
      <c r="E503" s="253"/>
      <c r="F503" s="27"/>
      <c r="G503" s="2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</row>
    <row r="504" spans="2:42" ht="15.75" customHeight="1" x14ac:dyDescent="0.2">
      <c r="B504" s="2"/>
      <c r="C504" s="27"/>
      <c r="D504" s="27"/>
      <c r="E504" s="253"/>
      <c r="F504" s="27"/>
      <c r="G504" s="27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</row>
    <row r="505" spans="2:42" ht="15.75" customHeight="1" x14ac:dyDescent="0.2">
      <c r="B505" s="2"/>
      <c r="C505" s="27"/>
      <c r="D505" s="27"/>
      <c r="E505" s="253"/>
      <c r="F505" s="27"/>
      <c r="G505" s="27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</row>
    <row r="506" spans="2:42" ht="15.75" customHeight="1" x14ac:dyDescent="0.2">
      <c r="B506" s="2"/>
      <c r="C506" s="27"/>
      <c r="D506" s="27"/>
      <c r="E506" s="253"/>
      <c r="F506" s="27"/>
      <c r="G506" s="27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</row>
    <row r="507" spans="2:42" ht="15.75" customHeight="1" x14ac:dyDescent="0.2">
      <c r="B507" s="2"/>
      <c r="C507" s="27"/>
      <c r="D507" s="27"/>
      <c r="E507" s="253"/>
      <c r="F507" s="27"/>
      <c r="G507" s="27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</row>
    <row r="508" spans="2:42" ht="15.75" customHeight="1" x14ac:dyDescent="0.2">
      <c r="B508" s="2"/>
      <c r="C508" s="27"/>
      <c r="D508" s="27"/>
      <c r="E508" s="253"/>
      <c r="F508" s="27"/>
      <c r="G508" s="27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</row>
    <row r="509" spans="2:42" ht="15.75" customHeight="1" x14ac:dyDescent="0.2">
      <c r="B509" s="2"/>
      <c r="C509" s="27"/>
      <c r="D509" s="27"/>
      <c r="E509" s="253"/>
      <c r="F509" s="27"/>
      <c r="G509" s="27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</row>
    <row r="510" spans="2:42" ht="15.75" customHeight="1" x14ac:dyDescent="0.2">
      <c r="B510" s="2"/>
      <c r="C510" s="27"/>
      <c r="D510" s="27"/>
      <c r="E510" s="253"/>
      <c r="F510" s="27"/>
      <c r="G510" s="27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</row>
    <row r="511" spans="2:42" ht="15.75" customHeight="1" x14ac:dyDescent="0.2">
      <c r="B511" s="2"/>
      <c r="C511" s="27"/>
      <c r="D511" s="27"/>
      <c r="E511" s="253"/>
      <c r="F511" s="27"/>
      <c r="G511" s="27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</row>
    <row r="512" spans="2:42" ht="15.75" customHeight="1" x14ac:dyDescent="0.2">
      <c r="B512" s="2"/>
      <c r="C512" s="27"/>
      <c r="D512" s="27"/>
      <c r="E512" s="253"/>
      <c r="F512" s="27"/>
      <c r="G512" s="27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</row>
    <row r="513" spans="2:42" ht="15.75" customHeight="1" x14ac:dyDescent="0.2">
      <c r="B513" s="2"/>
      <c r="C513" s="27"/>
      <c r="D513" s="27"/>
      <c r="E513" s="253"/>
      <c r="F513" s="27"/>
      <c r="G513" s="27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</row>
    <row r="514" spans="2:42" ht="15.75" customHeight="1" x14ac:dyDescent="0.2">
      <c r="B514" s="2"/>
      <c r="C514" s="27"/>
      <c r="D514" s="27"/>
      <c r="E514" s="253"/>
      <c r="F514" s="27"/>
      <c r="G514" s="27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</row>
    <row r="515" spans="2:42" ht="15.75" customHeight="1" x14ac:dyDescent="0.2">
      <c r="B515" s="2"/>
      <c r="C515" s="27"/>
      <c r="D515" s="27"/>
      <c r="E515" s="253"/>
      <c r="F515" s="27"/>
      <c r="G515" s="27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</row>
    <row r="516" spans="2:42" ht="15.75" customHeight="1" x14ac:dyDescent="0.2">
      <c r="B516" s="2"/>
      <c r="C516" s="27"/>
      <c r="D516" s="27"/>
      <c r="E516" s="253"/>
      <c r="F516" s="27"/>
      <c r="G516" s="27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</row>
    <row r="517" spans="2:42" ht="15.75" customHeight="1" x14ac:dyDescent="0.2">
      <c r="B517" s="2"/>
      <c r="C517" s="27"/>
      <c r="D517" s="27"/>
      <c r="E517" s="253"/>
      <c r="F517" s="27"/>
      <c r="G517" s="27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</row>
    <row r="518" spans="2:42" ht="15.75" customHeight="1" x14ac:dyDescent="0.2">
      <c r="B518" s="2"/>
      <c r="C518" s="27"/>
      <c r="D518" s="27"/>
      <c r="E518" s="253"/>
      <c r="F518" s="27"/>
      <c r="G518" s="27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</row>
    <row r="519" spans="2:42" ht="15.75" customHeight="1" x14ac:dyDescent="0.2">
      <c r="B519" s="2"/>
      <c r="C519" s="27"/>
      <c r="D519" s="27"/>
      <c r="E519" s="253"/>
      <c r="F519" s="27"/>
      <c r="G519" s="27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</row>
    <row r="520" spans="2:42" ht="15.75" customHeight="1" x14ac:dyDescent="0.2">
      <c r="B520" s="2"/>
      <c r="C520" s="27"/>
      <c r="D520" s="27"/>
      <c r="E520" s="253"/>
      <c r="F520" s="27"/>
      <c r="G520" s="27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</row>
    <row r="521" spans="2:42" ht="15.75" customHeight="1" x14ac:dyDescent="0.2">
      <c r="B521" s="2"/>
      <c r="C521" s="27"/>
      <c r="D521" s="27"/>
      <c r="E521" s="253"/>
      <c r="F521" s="27"/>
      <c r="G521" s="27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</row>
    <row r="522" spans="2:42" ht="15.75" customHeight="1" x14ac:dyDescent="0.2">
      <c r="B522" s="2"/>
      <c r="C522" s="27"/>
      <c r="D522" s="27"/>
      <c r="E522" s="253"/>
      <c r="F522" s="27"/>
      <c r="G522" s="27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</row>
    <row r="523" spans="2:42" ht="15.75" customHeight="1" x14ac:dyDescent="0.2">
      <c r="B523" s="2"/>
      <c r="C523" s="27"/>
      <c r="D523" s="27"/>
      <c r="E523" s="253"/>
      <c r="F523" s="27"/>
      <c r="G523" s="27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</row>
    <row r="524" spans="2:42" ht="15.75" customHeight="1" x14ac:dyDescent="0.2">
      <c r="B524" s="2"/>
      <c r="C524" s="27"/>
      <c r="D524" s="27"/>
      <c r="E524" s="253"/>
      <c r="F524" s="27"/>
      <c r="G524" s="27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</row>
    <row r="525" spans="2:42" ht="15.75" customHeight="1" x14ac:dyDescent="0.2">
      <c r="B525" s="2"/>
      <c r="C525" s="27"/>
      <c r="D525" s="27"/>
      <c r="E525" s="253"/>
      <c r="F525" s="27"/>
      <c r="G525" s="27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</row>
    <row r="526" spans="2:42" ht="15.75" customHeight="1" x14ac:dyDescent="0.2">
      <c r="B526" s="2"/>
      <c r="C526" s="27"/>
      <c r="D526" s="27"/>
      <c r="E526" s="253"/>
      <c r="F526" s="27"/>
      <c r="G526" s="27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</row>
    <row r="527" spans="2:42" ht="15.75" customHeight="1" x14ac:dyDescent="0.2">
      <c r="B527" s="2"/>
      <c r="C527" s="27"/>
      <c r="D527" s="27"/>
      <c r="E527" s="253"/>
      <c r="F527" s="27"/>
      <c r="G527" s="27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</row>
    <row r="528" spans="2:42" ht="15.75" customHeight="1" x14ac:dyDescent="0.2">
      <c r="B528" s="2"/>
      <c r="C528" s="27"/>
      <c r="D528" s="27"/>
      <c r="E528" s="253"/>
      <c r="F528" s="27"/>
      <c r="G528" s="27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</row>
    <row r="529" spans="2:42" ht="15.75" customHeight="1" x14ac:dyDescent="0.2">
      <c r="B529" s="2"/>
      <c r="C529" s="27"/>
      <c r="D529" s="27"/>
      <c r="E529" s="253"/>
      <c r="F529" s="27"/>
      <c r="G529" s="27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</row>
    <row r="530" spans="2:42" ht="15.75" customHeight="1" x14ac:dyDescent="0.2">
      <c r="B530" s="2"/>
      <c r="C530" s="27"/>
      <c r="D530" s="27"/>
      <c r="E530" s="253"/>
      <c r="F530" s="27"/>
      <c r="G530" s="27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</row>
    <row r="531" spans="2:42" ht="15.75" customHeight="1" x14ac:dyDescent="0.2">
      <c r="B531" s="2"/>
      <c r="C531" s="27"/>
      <c r="D531" s="27"/>
      <c r="E531" s="253"/>
      <c r="F531" s="27"/>
      <c r="G531" s="27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</row>
    <row r="532" spans="2:42" ht="15.75" customHeight="1" x14ac:dyDescent="0.2">
      <c r="B532" s="2"/>
      <c r="C532" s="27"/>
      <c r="D532" s="27"/>
      <c r="E532" s="253"/>
      <c r="F532" s="27"/>
      <c r="G532" s="27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</row>
    <row r="533" spans="2:42" ht="15.75" customHeight="1" x14ac:dyDescent="0.2">
      <c r="B533" s="2"/>
      <c r="C533" s="27"/>
      <c r="D533" s="27"/>
      <c r="E533" s="253"/>
      <c r="F533" s="27"/>
      <c r="G533" s="27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</row>
    <row r="534" spans="2:42" ht="15.75" customHeight="1" x14ac:dyDescent="0.2">
      <c r="B534" s="2"/>
      <c r="C534" s="27"/>
      <c r="D534" s="27"/>
      <c r="E534" s="253"/>
      <c r="F534" s="27"/>
      <c r="G534" s="27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</row>
    <row r="535" spans="2:42" ht="15.75" customHeight="1" x14ac:dyDescent="0.2">
      <c r="B535" s="2"/>
      <c r="C535" s="27"/>
      <c r="D535" s="27"/>
      <c r="E535" s="253"/>
      <c r="F535" s="27"/>
      <c r="G535" s="27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</row>
    <row r="536" spans="2:42" ht="15.75" customHeight="1" x14ac:dyDescent="0.2">
      <c r="B536" s="2"/>
      <c r="C536" s="27"/>
      <c r="D536" s="27"/>
      <c r="E536" s="253"/>
      <c r="F536" s="27"/>
      <c r="G536" s="2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</row>
    <row r="537" spans="2:42" ht="15.75" customHeight="1" x14ac:dyDescent="0.2">
      <c r="B537" s="2"/>
      <c r="C537" s="27"/>
      <c r="D537" s="27"/>
      <c r="E537" s="253"/>
      <c r="F537" s="27"/>
      <c r="G537" s="27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</row>
    <row r="538" spans="2:42" ht="15.75" customHeight="1" x14ac:dyDescent="0.2">
      <c r="B538" s="2"/>
      <c r="C538" s="27"/>
      <c r="D538" s="27"/>
      <c r="E538" s="253"/>
      <c r="F538" s="27"/>
      <c r="G538" s="27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</row>
    <row r="539" spans="2:42" ht="15.75" customHeight="1" x14ac:dyDescent="0.2">
      <c r="B539" s="2"/>
      <c r="C539" s="27"/>
      <c r="D539" s="27"/>
      <c r="E539" s="253"/>
      <c r="F539" s="27"/>
      <c r="G539" s="27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</row>
    <row r="540" spans="2:42" ht="15.75" customHeight="1" x14ac:dyDescent="0.2">
      <c r="B540" s="2"/>
      <c r="C540" s="27"/>
      <c r="D540" s="27"/>
      <c r="E540" s="253"/>
      <c r="F540" s="27"/>
      <c r="G540" s="27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</row>
    <row r="541" spans="2:42" ht="15.75" customHeight="1" x14ac:dyDescent="0.2">
      <c r="B541" s="2"/>
      <c r="C541" s="27"/>
      <c r="D541" s="27"/>
      <c r="E541" s="253"/>
      <c r="F541" s="27"/>
      <c r="G541" s="27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</row>
    <row r="542" spans="2:42" ht="15.75" customHeight="1" x14ac:dyDescent="0.2">
      <c r="B542" s="2"/>
      <c r="C542" s="27"/>
      <c r="D542" s="27"/>
      <c r="E542" s="253"/>
      <c r="F542" s="27"/>
      <c r="G542" s="27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</row>
    <row r="543" spans="2:42" ht="15.75" customHeight="1" x14ac:dyDescent="0.2">
      <c r="B543" s="2"/>
      <c r="C543" s="27"/>
      <c r="D543" s="27"/>
      <c r="E543" s="253"/>
      <c r="F543" s="27"/>
      <c r="G543" s="27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</row>
    <row r="544" spans="2:42" ht="15.75" customHeight="1" x14ac:dyDescent="0.2">
      <c r="B544" s="2"/>
      <c r="C544" s="27"/>
      <c r="D544" s="27"/>
      <c r="E544" s="253"/>
      <c r="F544" s="27"/>
      <c r="G544" s="27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</row>
    <row r="545" spans="2:42" ht="15.75" customHeight="1" x14ac:dyDescent="0.2">
      <c r="B545" s="2"/>
      <c r="C545" s="27"/>
      <c r="D545" s="27"/>
      <c r="E545" s="253"/>
      <c r="F545" s="27"/>
      <c r="G545" s="27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</row>
    <row r="546" spans="2:42" ht="15.75" customHeight="1" x14ac:dyDescent="0.2">
      <c r="B546" s="2"/>
      <c r="C546" s="27"/>
      <c r="D546" s="27"/>
      <c r="E546" s="253"/>
      <c r="F546" s="27"/>
      <c r="G546" s="27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</row>
    <row r="547" spans="2:42" ht="15.75" customHeight="1" x14ac:dyDescent="0.2">
      <c r="B547" s="2"/>
      <c r="C547" s="27"/>
      <c r="D547" s="27"/>
      <c r="E547" s="253"/>
      <c r="F547" s="27"/>
      <c r="G547" s="27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</row>
    <row r="548" spans="2:42" ht="15.75" customHeight="1" x14ac:dyDescent="0.2">
      <c r="B548" s="2"/>
      <c r="C548" s="27"/>
      <c r="D548" s="27"/>
      <c r="E548" s="253"/>
      <c r="F548" s="27"/>
      <c r="G548" s="27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</row>
    <row r="549" spans="2:42" ht="15.75" customHeight="1" x14ac:dyDescent="0.2">
      <c r="B549" s="2"/>
      <c r="C549" s="27"/>
      <c r="D549" s="27"/>
      <c r="E549" s="253"/>
      <c r="F549" s="27"/>
      <c r="G549" s="27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</row>
    <row r="550" spans="2:42" ht="15.75" customHeight="1" x14ac:dyDescent="0.2">
      <c r="B550" s="2"/>
      <c r="C550" s="27"/>
      <c r="D550" s="27"/>
      <c r="E550" s="253"/>
      <c r="F550" s="27"/>
      <c r="G550" s="27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</row>
    <row r="551" spans="2:42" ht="15.75" customHeight="1" x14ac:dyDescent="0.2">
      <c r="B551" s="2"/>
      <c r="C551" s="27"/>
      <c r="D551" s="27"/>
      <c r="E551" s="253"/>
      <c r="F551" s="27"/>
      <c r="G551" s="27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</row>
    <row r="552" spans="2:42" ht="15.75" customHeight="1" x14ac:dyDescent="0.2">
      <c r="B552" s="2"/>
      <c r="C552" s="27"/>
      <c r="D552" s="27"/>
      <c r="E552" s="253"/>
      <c r="F552" s="27"/>
      <c r="G552" s="27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</row>
    <row r="553" spans="2:42" ht="15.75" customHeight="1" x14ac:dyDescent="0.2">
      <c r="B553" s="2"/>
      <c r="C553" s="27"/>
      <c r="D553" s="27"/>
      <c r="E553" s="253"/>
      <c r="F553" s="27"/>
      <c r="G553" s="27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</row>
    <row r="554" spans="2:42" ht="15.75" customHeight="1" x14ac:dyDescent="0.2">
      <c r="B554" s="2"/>
      <c r="C554" s="27"/>
      <c r="D554" s="27"/>
      <c r="E554" s="253"/>
      <c r="F554" s="27"/>
      <c r="G554" s="27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</row>
    <row r="555" spans="2:42" ht="15.75" customHeight="1" x14ac:dyDescent="0.2">
      <c r="B555" s="2"/>
      <c r="C555" s="27"/>
      <c r="D555" s="27"/>
      <c r="E555" s="253"/>
      <c r="F555" s="27"/>
      <c r="G555" s="27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</row>
    <row r="556" spans="2:42" ht="15.75" customHeight="1" x14ac:dyDescent="0.2">
      <c r="B556" s="2"/>
      <c r="C556" s="27"/>
      <c r="D556" s="27"/>
      <c r="E556" s="253"/>
      <c r="F556" s="27"/>
      <c r="G556" s="27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</row>
    <row r="557" spans="2:42" ht="15.75" customHeight="1" x14ac:dyDescent="0.2">
      <c r="B557" s="2"/>
      <c r="C557" s="27"/>
      <c r="D557" s="27"/>
      <c r="E557" s="253"/>
      <c r="F557" s="27"/>
      <c r="G557" s="27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</row>
    <row r="558" spans="2:42" ht="15.75" customHeight="1" x14ac:dyDescent="0.2">
      <c r="B558" s="2"/>
      <c r="C558" s="27"/>
      <c r="D558" s="27"/>
      <c r="E558" s="253"/>
      <c r="F558" s="27"/>
      <c r="G558" s="27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</row>
    <row r="559" spans="2:42" ht="15.75" customHeight="1" x14ac:dyDescent="0.2">
      <c r="B559" s="2"/>
      <c r="C559" s="27"/>
      <c r="D559" s="27"/>
      <c r="E559" s="253"/>
      <c r="F559" s="27"/>
      <c r="G559" s="27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</row>
    <row r="560" spans="2:42" ht="15.75" customHeight="1" x14ac:dyDescent="0.2">
      <c r="B560" s="2"/>
      <c r="C560" s="27"/>
      <c r="D560" s="27"/>
      <c r="E560" s="253"/>
      <c r="F560" s="27"/>
      <c r="G560" s="2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</row>
    <row r="561" spans="2:42" ht="15.75" customHeight="1" x14ac:dyDescent="0.2">
      <c r="B561" s="2"/>
      <c r="C561" s="27"/>
      <c r="D561" s="27"/>
      <c r="E561" s="253"/>
      <c r="F561" s="27"/>
      <c r="G561" s="2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</row>
    <row r="562" spans="2:42" ht="15.75" customHeight="1" x14ac:dyDescent="0.2">
      <c r="B562" s="2"/>
      <c r="C562" s="27"/>
      <c r="D562" s="27"/>
      <c r="E562" s="253"/>
      <c r="F562" s="27"/>
      <c r="G562" s="2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</row>
    <row r="563" spans="2:42" ht="15.75" customHeight="1" x14ac:dyDescent="0.2">
      <c r="B563" s="2"/>
      <c r="C563" s="27"/>
      <c r="D563" s="27"/>
      <c r="E563" s="253"/>
      <c r="F563" s="27"/>
      <c r="G563" s="2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</row>
    <row r="564" spans="2:42" ht="15.75" customHeight="1" x14ac:dyDescent="0.2">
      <c r="B564" s="2"/>
      <c r="C564" s="27"/>
      <c r="D564" s="27"/>
      <c r="E564" s="253"/>
      <c r="F564" s="27"/>
      <c r="G564" s="2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</row>
    <row r="565" spans="2:42" ht="15.75" customHeight="1" x14ac:dyDescent="0.2">
      <c r="B565" s="2"/>
      <c r="C565" s="27"/>
      <c r="D565" s="27"/>
      <c r="E565" s="253"/>
      <c r="F565" s="27"/>
      <c r="G565" s="2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</row>
    <row r="566" spans="2:42" ht="15.75" customHeight="1" x14ac:dyDescent="0.2">
      <c r="B566" s="2"/>
      <c r="C566" s="27"/>
      <c r="D566" s="27"/>
      <c r="E566" s="253"/>
      <c r="F566" s="27"/>
      <c r="G566" s="2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</row>
    <row r="567" spans="2:42" ht="15.75" customHeight="1" x14ac:dyDescent="0.2">
      <c r="B567" s="2"/>
      <c r="C567" s="27"/>
      <c r="D567" s="27"/>
      <c r="E567" s="253"/>
      <c r="F567" s="27"/>
      <c r="G567" s="2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</row>
    <row r="568" spans="2:42" ht="15.75" customHeight="1" x14ac:dyDescent="0.2">
      <c r="B568" s="2"/>
      <c r="C568" s="27"/>
      <c r="D568" s="27"/>
      <c r="E568" s="253"/>
      <c r="F568" s="27"/>
      <c r="G568" s="2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</row>
    <row r="569" spans="2:42" ht="15.75" customHeight="1" x14ac:dyDescent="0.2">
      <c r="B569" s="2"/>
      <c r="C569" s="27"/>
      <c r="D569" s="27"/>
      <c r="E569" s="253"/>
      <c r="F569" s="27"/>
      <c r="G569" s="2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</row>
    <row r="570" spans="2:42" ht="15.75" customHeight="1" x14ac:dyDescent="0.2">
      <c r="B570" s="2"/>
      <c r="C570" s="27"/>
      <c r="D570" s="27"/>
      <c r="E570" s="253"/>
      <c r="F570" s="27"/>
      <c r="G570" s="2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</row>
    <row r="571" spans="2:42" ht="15.75" customHeight="1" x14ac:dyDescent="0.2">
      <c r="B571" s="2"/>
      <c r="C571" s="27"/>
      <c r="D571" s="27"/>
      <c r="E571" s="253"/>
      <c r="F571" s="27"/>
      <c r="G571" s="2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</row>
    <row r="572" spans="2:42" ht="15.75" customHeight="1" x14ac:dyDescent="0.2">
      <c r="B572" s="2"/>
      <c r="C572" s="27"/>
      <c r="D572" s="27"/>
      <c r="E572" s="253"/>
      <c r="F572" s="27"/>
      <c r="G572" s="2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</row>
    <row r="573" spans="2:42" ht="15.75" customHeight="1" x14ac:dyDescent="0.2">
      <c r="B573" s="2"/>
      <c r="C573" s="27"/>
      <c r="D573" s="27"/>
      <c r="E573" s="253"/>
      <c r="F573" s="27"/>
      <c r="G573" s="2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</row>
    <row r="574" spans="2:42" ht="15.75" customHeight="1" x14ac:dyDescent="0.2">
      <c r="B574" s="2"/>
      <c r="C574" s="27"/>
      <c r="D574" s="27"/>
      <c r="E574" s="253"/>
      <c r="F574" s="27"/>
      <c r="G574" s="2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</row>
    <row r="575" spans="2:42" ht="15.75" customHeight="1" x14ac:dyDescent="0.2">
      <c r="B575" s="2"/>
      <c r="C575" s="27"/>
      <c r="D575" s="27"/>
      <c r="E575" s="253"/>
      <c r="F575" s="27"/>
      <c r="G575" s="2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</row>
    <row r="576" spans="2:42" ht="15.75" customHeight="1" x14ac:dyDescent="0.2">
      <c r="B576" s="2"/>
      <c r="C576" s="27"/>
      <c r="D576" s="27"/>
      <c r="E576" s="253"/>
      <c r="F576" s="27"/>
      <c r="G576" s="27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</row>
    <row r="577" spans="2:42" ht="15.75" customHeight="1" x14ac:dyDescent="0.2">
      <c r="B577" s="2"/>
      <c r="C577" s="27"/>
      <c r="D577" s="27"/>
      <c r="E577" s="253"/>
      <c r="F577" s="27"/>
      <c r="G577" s="27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</row>
    <row r="578" spans="2:42" ht="15.75" customHeight="1" x14ac:dyDescent="0.2">
      <c r="B578" s="2"/>
      <c r="C578" s="27"/>
      <c r="D578" s="27"/>
      <c r="E578" s="253"/>
      <c r="F578" s="27"/>
      <c r="G578" s="27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</row>
    <row r="579" spans="2:42" ht="15.75" customHeight="1" x14ac:dyDescent="0.2">
      <c r="B579" s="2"/>
      <c r="C579" s="27"/>
      <c r="D579" s="27"/>
      <c r="E579" s="253"/>
      <c r="F579" s="27"/>
      <c r="G579" s="27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</row>
    <row r="580" spans="2:42" ht="15.75" customHeight="1" x14ac:dyDescent="0.2">
      <c r="B580" s="2"/>
      <c r="C580" s="27"/>
      <c r="D580" s="27"/>
      <c r="E580" s="253"/>
      <c r="F580" s="27"/>
      <c r="G580" s="27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</row>
    <row r="581" spans="2:42" ht="15.75" customHeight="1" x14ac:dyDescent="0.2">
      <c r="B581" s="2"/>
      <c r="C581" s="27"/>
      <c r="D581" s="27"/>
      <c r="E581" s="253"/>
      <c r="F581" s="27"/>
      <c r="G581" s="27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</row>
    <row r="582" spans="2:42" ht="15.75" customHeight="1" x14ac:dyDescent="0.2">
      <c r="B582" s="2"/>
      <c r="C582" s="27"/>
      <c r="D582" s="27"/>
      <c r="E582" s="253"/>
      <c r="F582" s="27"/>
      <c r="G582" s="27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</row>
    <row r="583" spans="2:42" ht="15.75" customHeight="1" x14ac:dyDescent="0.2">
      <c r="B583" s="2"/>
      <c r="C583" s="27"/>
      <c r="D583" s="27"/>
      <c r="E583" s="253"/>
      <c r="F583" s="27"/>
      <c r="G583" s="27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</row>
    <row r="584" spans="2:42" ht="15.75" customHeight="1" x14ac:dyDescent="0.2">
      <c r="B584" s="2"/>
      <c r="C584" s="27"/>
      <c r="D584" s="27"/>
      <c r="E584" s="253"/>
      <c r="F584" s="27"/>
      <c r="G584" s="27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</row>
    <row r="585" spans="2:42" ht="15.75" customHeight="1" x14ac:dyDescent="0.2">
      <c r="B585" s="2"/>
      <c r="C585" s="27"/>
      <c r="D585" s="27"/>
      <c r="E585" s="253"/>
      <c r="F585" s="27"/>
      <c r="G585" s="27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</row>
    <row r="586" spans="2:42" ht="15.75" customHeight="1" x14ac:dyDescent="0.2">
      <c r="B586" s="2"/>
      <c r="C586" s="27"/>
      <c r="D586" s="27"/>
      <c r="E586" s="253"/>
      <c r="F586" s="27"/>
      <c r="G586" s="27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</row>
    <row r="587" spans="2:42" ht="15.75" customHeight="1" x14ac:dyDescent="0.2">
      <c r="B587" s="2"/>
      <c r="C587" s="27"/>
      <c r="D587" s="27"/>
      <c r="E587" s="253"/>
      <c r="F587" s="27"/>
      <c r="G587" s="27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</row>
    <row r="588" spans="2:42" ht="15.75" customHeight="1" x14ac:dyDescent="0.2">
      <c r="B588" s="2"/>
      <c r="C588" s="27"/>
      <c r="D588" s="27"/>
      <c r="E588" s="253"/>
      <c r="F588" s="27"/>
      <c r="G588" s="27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</row>
    <row r="589" spans="2:42" ht="15.75" customHeight="1" x14ac:dyDescent="0.2">
      <c r="B589" s="2"/>
      <c r="C589" s="27"/>
      <c r="D589" s="27"/>
      <c r="E589" s="253"/>
      <c r="F589" s="27"/>
      <c r="G589" s="27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</row>
    <row r="590" spans="2:42" ht="15.75" customHeight="1" x14ac:dyDescent="0.2">
      <c r="B590" s="2"/>
      <c r="C590" s="27"/>
      <c r="D590" s="27"/>
      <c r="E590" s="253"/>
      <c r="F590" s="27"/>
      <c r="G590" s="27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</row>
    <row r="591" spans="2:42" ht="15.75" customHeight="1" x14ac:dyDescent="0.2">
      <c r="B591" s="2"/>
      <c r="C591" s="27"/>
      <c r="D591" s="27"/>
      <c r="E591" s="253"/>
      <c r="F591" s="27"/>
      <c r="G591" s="27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</row>
    <row r="592" spans="2:42" ht="15.75" customHeight="1" x14ac:dyDescent="0.2">
      <c r="B592" s="2"/>
      <c r="C592" s="27"/>
      <c r="D592" s="27"/>
      <c r="E592" s="253"/>
      <c r="F592" s="27"/>
      <c r="G592" s="27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</row>
    <row r="593" spans="2:42" ht="15.75" customHeight="1" x14ac:dyDescent="0.2">
      <c r="B593" s="2"/>
      <c r="C593" s="27"/>
      <c r="D593" s="27"/>
      <c r="E593" s="253"/>
      <c r="F593" s="27"/>
      <c r="G593" s="27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</row>
    <row r="594" spans="2:42" ht="15.75" customHeight="1" x14ac:dyDescent="0.2">
      <c r="B594" s="2"/>
      <c r="C594" s="27"/>
      <c r="D594" s="27"/>
      <c r="E594" s="253"/>
      <c r="F594" s="27"/>
      <c r="G594" s="27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</row>
    <row r="595" spans="2:42" ht="15.75" customHeight="1" x14ac:dyDescent="0.2">
      <c r="B595" s="2"/>
      <c r="C595" s="27"/>
      <c r="D595" s="27"/>
      <c r="E595" s="253"/>
      <c r="F595" s="27"/>
      <c r="G595" s="27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</row>
    <row r="596" spans="2:42" ht="15.75" customHeight="1" x14ac:dyDescent="0.2">
      <c r="B596" s="2"/>
      <c r="C596" s="27"/>
      <c r="D596" s="27"/>
      <c r="E596" s="253"/>
      <c r="F596" s="27"/>
      <c r="G596" s="27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</row>
    <row r="597" spans="2:42" ht="15.75" customHeight="1" x14ac:dyDescent="0.2">
      <c r="B597" s="2"/>
      <c r="C597" s="27"/>
      <c r="D597" s="27"/>
      <c r="E597" s="253"/>
      <c r="F597" s="27"/>
      <c r="G597" s="27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</row>
    <row r="598" spans="2:42" ht="15.75" customHeight="1" x14ac:dyDescent="0.2">
      <c r="B598" s="2"/>
      <c r="C598" s="27"/>
      <c r="D598" s="27"/>
      <c r="E598" s="253"/>
      <c r="F598" s="27"/>
      <c r="G598" s="27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</row>
    <row r="599" spans="2:42" ht="15.75" customHeight="1" x14ac:dyDescent="0.2">
      <c r="B599" s="2"/>
      <c r="C599" s="27"/>
      <c r="D599" s="27"/>
      <c r="E599" s="253"/>
      <c r="F599" s="27"/>
      <c r="G599" s="27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</row>
    <row r="600" spans="2:42" ht="15.75" customHeight="1" x14ac:dyDescent="0.2">
      <c r="B600" s="2"/>
      <c r="C600" s="27"/>
      <c r="D600" s="27"/>
      <c r="E600" s="253"/>
      <c r="F600" s="27"/>
      <c r="G600" s="27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</row>
    <row r="601" spans="2:42" ht="15.75" customHeight="1" x14ac:dyDescent="0.2">
      <c r="B601" s="2"/>
      <c r="C601" s="27"/>
      <c r="D601" s="27"/>
      <c r="E601" s="253"/>
      <c r="F601" s="27"/>
      <c r="G601" s="27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</row>
    <row r="602" spans="2:42" ht="15.75" customHeight="1" x14ac:dyDescent="0.2">
      <c r="B602" s="2"/>
      <c r="C602" s="27"/>
      <c r="D602" s="27"/>
      <c r="E602" s="253"/>
      <c r="F602" s="27"/>
      <c r="G602" s="27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</row>
    <row r="603" spans="2:42" ht="15.75" customHeight="1" x14ac:dyDescent="0.2">
      <c r="B603" s="2"/>
      <c r="C603" s="27"/>
      <c r="D603" s="27"/>
      <c r="E603" s="253"/>
      <c r="F603" s="27"/>
      <c r="G603" s="27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</row>
    <row r="604" spans="2:42" ht="15.75" customHeight="1" x14ac:dyDescent="0.2">
      <c r="B604" s="2"/>
      <c r="C604" s="27"/>
      <c r="D604" s="27"/>
      <c r="E604" s="253"/>
      <c r="F604" s="27"/>
      <c r="G604" s="27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</row>
    <row r="605" spans="2:42" ht="15.75" customHeight="1" x14ac:dyDescent="0.2">
      <c r="B605" s="2"/>
      <c r="C605" s="27"/>
      <c r="D605" s="27"/>
      <c r="E605" s="253"/>
      <c r="F605" s="27"/>
      <c r="G605" s="27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</row>
    <row r="606" spans="2:42" ht="15.75" customHeight="1" x14ac:dyDescent="0.2">
      <c r="B606" s="2"/>
      <c r="C606" s="27"/>
      <c r="D606" s="27"/>
      <c r="E606" s="253"/>
      <c r="F606" s="27"/>
      <c r="G606" s="27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</row>
    <row r="607" spans="2:42" ht="15.75" customHeight="1" x14ac:dyDescent="0.2">
      <c r="B607" s="2"/>
      <c r="C607" s="27"/>
      <c r="D607" s="27"/>
      <c r="E607" s="253"/>
      <c r="F607" s="27"/>
      <c r="G607" s="27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</row>
    <row r="608" spans="2:42" ht="15.75" customHeight="1" x14ac:dyDescent="0.2">
      <c r="B608" s="2"/>
      <c r="C608" s="27"/>
      <c r="D608" s="27"/>
      <c r="E608" s="253"/>
      <c r="F608" s="27"/>
      <c r="G608" s="27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</row>
    <row r="609" spans="2:42" ht="15.75" customHeight="1" x14ac:dyDescent="0.2">
      <c r="B609" s="2"/>
      <c r="C609" s="27"/>
      <c r="D609" s="27"/>
      <c r="E609" s="253"/>
      <c r="F609" s="27"/>
      <c r="G609" s="27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</row>
    <row r="610" spans="2:42" ht="15.75" customHeight="1" x14ac:dyDescent="0.2">
      <c r="B610" s="2"/>
      <c r="C610" s="27"/>
      <c r="D610" s="27"/>
      <c r="E610" s="253"/>
      <c r="F610" s="27"/>
      <c r="G610" s="27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</row>
    <row r="611" spans="2:42" ht="15.75" customHeight="1" x14ac:dyDescent="0.2">
      <c r="B611" s="2"/>
      <c r="C611" s="27"/>
      <c r="D611" s="27"/>
      <c r="E611" s="253"/>
      <c r="F611" s="27"/>
      <c r="G611" s="27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</row>
    <row r="612" spans="2:42" ht="15.75" customHeight="1" x14ac:dyDescent="0.2">
      <c r="B612" s="2"/>
      <c r="C612" s="27"/>
      <c r="D612" s="27"/>
      <c r="E612" s="253"/>
      <c r="F612" s="27"/>
      <c r="G612" s="27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</row>
    <row r="613" spans="2:42" ht="15.75" customHeight="1" x14ac:dyDescent="0.2">
      <c r="B613" s="2"/>
      <c r="C613" s="27"/>
      <c r="D613" s="27"/>
      <c r="E613" s="253"/>
      <c r="F613" s="27"/>
      <c r="G613" s="27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</row>
    <row r="614" spans="2:42" ht="15.75" customHeight="1" x14ac:dyDescent="0.2">
      <c r="B614" s="2"/>
      <c r="C614" s="27"/>
      <c r="D614" s="27"/>
      <c r="E614" s="253"/>
      <c r="F614" s="27"/>
      <c r="G614" s="27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</row>
    <row r="615" spans="2:42" ht="15.75" customHeight="1" x14ac:dyDescent="0.2">
      <c r="B615" s="2"/>
      <c r="C615" s="27"/>
      <c r="D615" s="27"/>
      <c r="E615" s="253"/>
      <c r="F615" s="27"/>
      <c r="G615" s="27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</row>
    <row r="616" spans="2:42" ht="15.75" customHeight="1" x14ac:dyDescent="0.2">
      <c r="B616" s="2"/>
      <c r="C616" s="27"/>
      <c r="D616" s="27"/>
      <c r="E616" s="253"/>
      <c r="F616" s="27"/>
      <c r="G616" s="27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</row>
    <row r="617" spans="2:42" ht="15.75" customHeight="1" x14ac:dyDescent="0.2">
      <c r="B617" s="2"/>
      <c r="C617" s="27"/>
      <c r="D617" s="27"/>
      <c r="E617" s="253"/>
      <c r="F617" s="27"/>
      <c r="G617" s="27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</row>
    <row r="618" spans="2:42" ht="15.75" customHeight="1" x14ac:dyDescent="0.2">
      <c r="B618" s="2"/>
      <c r="C618" s="27"/>
      <c r="D618" s="27"/>
      <c r="E618" s="253"/>
      <c r="F618" s="27"/>
      <c r="G618" s="27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</row>
    <row r="619" spans="2:42" ht="15.75" customHeight="1" x14ac:dyDescent="0.2">
      <c r="B619" s="2"/>
      <c r="C619" s="27"/>
      <c r="D619" s="27"/>
      <c r="E619" s="253"/>
      <c r="F619" s="27"/>
      <c r="G619" s="27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</row>
    <row r="620" spans="2:42" ht="15.75" customHeight="1" x14ac:dyDescent="0.2">
      <c r="B620" s="2"/>
      <c r="C620" s="27"/>
      <c r="D620" s="27"/>
      <c r="E620" s="253"/>
      <c r="F620" s="27"/>
      <c r="G620" s="27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</row>
    <row r="621" spans="2:42" ht="15.75" customHeight="1" x14ac:dyDescent="0.2">
      <c r="B621" s="2"/>
      <c r="C621" s="27"/>
      <c r="D621" s="27"/>
      <c r="E621" s="253"/>
      <c r="F621" s="27"/>
      <c r="G621" s="27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</row>
    <row r="622" spans="2:42" ht="15.75" customHeight="1" x14ac:dyDescent="0.2">
      <c r="B622" s="2"/>
      <c r="C622" s="27"/>
      <c r="D622" s="27"/>
      <c r="E622" s="253"/>
      <c r="F622" s="27"/>
      <c r="G622" s="27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</row>
    <row r="623" spans="2:42" ht="15.75" customHeight="1" x14ac:dyDescent="0.2">
      <c r="B623" s="2"/>
      <c r="C623" s="27"/>
      <c r="D623" s="27"/>
      <c r="E623" s="253"/>
      <c r="F623" s="27"/>
      <c r="G623" s="27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</row>
    <row r="624" spans="2:42" ht="15.75" customHeight="1" x14ac:dyDescent="0.2">
      <c r="B624" s="2"/>
      <c r="C624" s="27"/>
      <c r="D624" s="27"/>
      <c r="E624" s="253"/>
      <c r="F624" s="27"/>
      <c r="G624" s="27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</row>
    <row r="625" spans="2:42" ht="15.75" customHeight="1" x14ac:dyDescent="0.2">
      <c r="B625" s="2"/>
      <c r="C625" s="27"/>
      <c r="D625" s="27"/>
      <c r="E625" s="253"/>
      <c r="F625" s="27"/>
      <c r="G625" s="27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</row>
    <row r="626" spans="2:42" ht="15.75" customHeight="1" x14ac:dyDescent="0.2">
      <c r="B626" s="2"/>
      <c r="C626" s="27"/>
      <c r="D626" s="27"/>
      <c r="E626" s="253"/>
      <c r="F626" s="27"/>
      <c r="G626" s="27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</row>
    <row r="627" spans="2:42" ht="15.75" customHeight="1" x14ac:dyDescent="0.2">
      <c r="B627" s="2"/>
      <c r="C627" s="27"/>
      <c r="D627" s="27"/>
      <c r="E627" s="253"/>
      <c r="F627" s="27"/>
      <c r="G627" s="27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</row>
    <row r="628" spans="2:42" ht="15.75" customHeight="1" x14ac:dyDescent="0.2">
      <c r="B628" s="2"/>
      <c r="C628" s="27"/>
      <c r="D628" s="27"/>
      <c r="E628" s="253"/>
      <c r="F628" s="27"/>
      <c r="G628" s="2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</row>
    <row r="629" spans="2:42" ht="15.75" customHeight="1" x14ac:dyDescent="0.2">
      <c r="B629" s="2"/>
      <c r="C629" s="27"/>
      <c r="D629" s="27"/>
      <c r="E629" s="253"/>
      <c r="F629" s="27"/>
      <c r="G629" s="27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</row>
    <row r="630" spans="2:42" ht="15.75" customHeight="1" x14ac:dyDescent="0.2">
      <c r="B630" s="2"/>
      <c r="C630" s="27"/>
      <c r="D630" s="27"/>
      <c r="E630" s="253"/>
      <c r="F630" s="27"/>
      <c r="G630" s="27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</row>
    <row r="631" spans="2:42" ht="15.75" customHeight="1" x14ac:dyDescent="0.2">
      <c r="B631" s="2"/>
      <c r="C631" s="27"/>
      <c r="D631" s="27"/>
      <c r="E631" s="253"/>
      <c r="F631" s="27"/>
      <c r="G631" s="27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</row>
    <row r="632" spans="2:42" ht="15.75" customHeight="1" x14ac:dyDescent="0.2">
      <c r="B632" s="2"/>
      <c r="C632" s="27"/>
      <c r="D632" s="27"/>
      <c r="E632" s="253"/>
      <c r="F632" s="27"/>
      <c r="G632" s="2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</row>
    <row r="633" spans="2:42" ht="15.75" customHeight="1" x14ac:dyDescent="0.2">
      <c r="B633" s="2"/>
      <c r="C633" s="27"/>
      <c r="D633" s="27"/>
      <c r="E633" s="253"/>
      <c r="F633" s="27"/>
      <c r="G633" s="27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</row>
    <row r="634" spans="2:42" ht="15.75" customHeight="1" x14ac:dyDescent="0.2">
      <c r="B634" s="2"/>
      <c r="C634" s="27"/>
      <c r="D634" s="27"/>
      <c r="E634" s="253"/>
      <c r="F634" s="27"/>
      <c r="G634" s="2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</row>
    <row r="635" spans="2:42" ht="15.75" customHeight="1" x14ac:dyDescent="0.2">
      <c r="B635" s="2"/>
      <c r="C635" s="27"/>
      <c r="D635" s="27"/>
      <c r="E635" s="253"/>
      <c r="F635" s="27"/>
      <c r="G635" s="27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</row>
    <row r="636" spans="2:42" ht="15.75" customHeight="1" x14ac:dyDescent="0.2">
      <c r="B636" s="2"/>
      <c r="C636" s="27"/>
      <c r="D636" s="27"/>
      <c r="E636" s="253"/>
      <c r="F636" s="27"/>
      <c r="G636" s="27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</row>
    <row r="637" spans="2:42" ht="15.75" customHeight="1" x14ac:dyDescent="0.2">
      <c r="B637" s="2"/>
      <c r="C637" s="27"/>
      <c r="D637" s="27"/>
      <c r="E637" s="253"/>
      <c r="F637" s="27"/>
      <c r="G637" s="27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</row>
    <row r="638" spans="2:42" ht="15.75" customHeight="1" x14ac:dyDescent="0.2">
      <c r="B638" s="2"/>
      <c r="C638" s="27"/>
      <c r="D638" s="27"/>
      <c r="E638" s="253"/>
      <c r="F638" s="27"/>
      <c r="G638" s="27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</row>
    <row r="639" spans="2:42" ht="15.75" customHeight="1" x14ac:dyDescent="0.2">
      <c r="B639" s="2"/>
      <c r="C639" s="27"/>
      <c r="D639" s="27"/>
      <c r="E639" s="253"/>
      <c r="F639" s="27"/>
      <c r="G639" s="27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</row>
    <row r="640" spans="2:42" ht="15.75" customHeight="1" x14ac:dyDescent="0.2">
      <c r="B640" s="2"/>
      <c r="C640" s="27"/>
      <c r="D640" s="27"/>
      <c r="E640" s="253"/>
      <c r="F640" s="27"/>
      <c r="G640" s="27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</row>
    <row r="641" spans="2:42" ht="15.75" customHeight="1" x14ac:dyDescent="0.2">
      <c r="B641" s="2"/>
      <c r="C641" s="27"/>
      <c r="D641" s="27"/>
      <c r="E641" s="253"/>
      <c r="F641" s="27"/>
      <c r="G641" s="27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</row>
    <row r="642" spans="2:42" ht="15.75" customHeight="1" x14ac:dyDescent="0.2">
      <c r="B642" s="2"/>
      <c r="C642" s="27"/>
      <c r="D642" s="27"/>
      <c r="E642" s="253"/>
      <c r="F642" s="27"/>
      <c r="G642" s="27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</row>
    <row r="643" spans="2:42" ht="15.75" customHeight="1" x14ac:dyDescent="0.2">
      <c r="B643" s="2"/>
      <c r="C643" s="27"/>
      <c r="D643" s="27"/>
      <c r="E643" s="253"/>
      <c r="F643" s="27"/>
      <c r="G643" s="27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</row>
    <row r="644" spans="2:42" ht="15.75" customHeight="1" x14ac:dyDescent="0.2">
      <c r="B644" s="2"/>
      <c r="C644" s="27"/>
      <c r="D644" s="27"/>
      <c r="E644" s="253"/>
      <c r="F644" s="27"/>
      <c r="G644" s="27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</row>
    <row r="645" spans="2:42" ht="15.75" customHeight="1" x14ac:dyDescent="0.2">
      <c r="B645" s="2"/>
      <c r="C645" s="27"/>
      <c r="D645" s="27"/>
      <c r="E645" s="253"/>
      <c r="F645" s="27"/>
      <c r="G645" s="27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</row>
    <row r="646" spans="2:42" ht="15.75" customHeight="1" x14ac:dyDescent="0.2">
      <c r="B646" s="2"/>
      <c r="C646" s="27"/>
      <c r="D646" s="27"/>
      <c r="E646" s="253"/>
      <c r="F646" s="27"/>
      <c r="G646" s="27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</row>
    <row r="647" spans="2:42" ht="15.75" customHeight="1" x14ac:dyDescent="0.2">
      <c r="B647" s="2"/>
      <c r="C647" s="27"/>
      <c r="D647" s="27"/>
      <c r="E647" s="253"/>
      <c r="F647" s="27"/>
      <c r="G647" s="27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</row>
    <row r="648" spans="2:42" ht="15.75" customHeight="1" x14ac:dyDescent="0.2"/>
    <row r="649" spans="2:42" ht="15.75" customHeight="1" x14ac:dyDescent="0.2"/>
    <row r="650" spans="2:42" ht="15.75" customHeight="1" x14ac:dyDescent="0.2"/>
    <row r="651" spans="2:42" ht="15.75" customHeight="1" x14ac:dyDescent="0.2"/>
    <row r="652" spans="2:42" ht="15.75" customHeight="1" x14ac:dyDescent="0.2"/>
    <row r="653" spans="2:42" ht="15.75" customHeight="1" x14ac:dyDescent="0.2"/>
    <row r="654" spans="2:42" ht="15.75" customHeight="1" x14ac:dyDescent="0.2"/>
    <row r="655" spans="2:42" ht="15.75" customHeight="1" x14ac:dyDescent="0.2"/>
    <row r="656" spans="2:42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</sheetData>
  <mergeCells count="2">
    <mergeCell ref="A4:G4"/>
    <mergeCell ref="A5:G5"/>
  </mergeCells>
  <phoneticPr fontId="14" type="noConversion"/>
  <pageMargins left="0.72" right="0.15748031496062992" top="0.15748031496062992" bottom="0.15748031496062992" header="0.15748031496062992" footer="0.1574803149606299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800"/>
  <sheetViews>
    <sheetView topLeftCell="A53" zoomScale="80" zoomScaleNormal="80" zoomScaleSheetLayoutView="90" workbookViewId="0">
      <selection activeCell="E127" sqref="E127"/>
    </sheetView>
  </sheetViews>
  <sheetFormatPr defaultRowHeight="12.75" x14ac:dyDescent="0.2"/>
  <cols>
    <col min="1" max="1" width="6.28515625" style="2" customWidth="1"/>
    <col min="2" max="2" width="81.28515625" customWidth="1"/>
    <col min="3" max="4" width="15.42578125" style="35" customWidth="1"/>
    <col min="5" max="5" width="15.42578125" style="164" customWidth="1"/>
    <col min="6" max="6" width="15.140625" style="35" hidden="1" customWidth="1"/>
    <col min="7" max="7" width="13.5703125" style="35" hidden="1" customWidth="1"/>
    <col min="8" max="8" width="14.140625" style="74" hidden="1" customWidth="1"/>
    <col min="9" max="9" width="13.5703125" style="74" hidden="1" customWidth="1"/>
    <col min="10" max="10" width="12.28515625" style="74" hidden="1" customWidth="1"/>
    <col min="11" max="11" width="13.5703125" style="74" hidden="1" customWidth="1"/>
    <col min="12" max="12" width="11.42578125" hidden="1" customWidth="1"/>
    <col min="13" max="13" width="10.28515625" hidden="1" customWidth="1"/>
    <col min="14" max="14" width="14.28515625" hidden="1" customWidth="1"/>
    <col min="15" max="15" width="12.7109375" hidden="1" customWidth="1"/>
    <col min="16" max="18" width="9.140625" hidden="1" customWidth="1"/>
    <col min="19" max="21" width="9.140625" customWidth="1"/>
  </cols>
  <sheetData>
    <row r="1" spans="1:26" ht="13.5" customHeight="1" x14ac:dyDescent="0.3">
      <c r="A1" s="54"/>
      <c r="B1" s="32"/>
      <c r="E1" s="176" t="s">
        <v>558</v>
      </c>
      <c r="H1" s="7"/>
      <c r="I1" s="7"/>
      <c r="J1" s="7"/>
      <c r="K1" s="7"/>
      <c r="L1" s="2"/>
      <c r="M1" s="2"/>
    </row>
    <row r="2" spans="1:26" ht="15.75" customHeight="1" x14ac:dyDescent="0.3">
      <c r="A2" s="54"/>
      <c r="B2" s="32"/>
      <c r="E2" s="176" t="str">
        <f>'1.Bev-kiad.'!E2</f>
        <v>a 13/2024.(IX.30.) önkormányzati rendelethez</v>
      </c>
      <c r="H2" s="7"/>
      <c r="I2" s="7"/>
      <c r="J2" s="7"/>
      <c r="K2" s="7"/>
      <c r="L2" s="2"/>
      <c r="M2" s="2"/>
    </row>
    <row r="3" spans="1:26" ht="13.5" customHeight="1" x14ac:dyDescent="0.3">
      <c r="A3" s="54"/>
      <c r="B3" s="32"/>
      <c r="E3" s="176" t="s">
        <v>1057</v>
      </c>
      <c r="H3" s="7"/>
      <c r="I3" s="7"/>
      <c r="J3" s="7"/>
      <c r="K3" s="7"/>
      <c r="L3" s="2"/>
      <c r="M3" s="2"/>
    </row>
    <row r="4" spans="1:26" ht="16.5" customHeight="1" x14ac:dyDescent="0.35">
      <c r="A4" s="652" t="s">
        <v>24</v>
      </c>
      <c r="B4" s="652"/>
      <c r="C4" s="652"/>
      <c r="D4" s="652"/>
      <c r="E4" s="652"/>
      <c r="F4"/>
      <c r="G4"/>
      <c r="H4" s="7"/>
      <c r="I4" s="7"/>
      <c r="J4" s="7"/>
      <c r="K4" s="7"/>
      <c r="L4" s="2"/>
      <c r="M4" s="2"/>
    </row>
    <row r="5" spans="1:26" ht="19.5" x14ac:dyDescent="0.35">
      <c r="A5" s="652" t="s">
        <v>875</v>
      </c>
      <c r="B5" s="652"/>
      <c r="C5" s="652"/>
      <c r="D5" s="652"/>
      <c r="E5" s="652"/>
      <c r="F5"/>
      <c r="G5"/>
      <c r="H5" s="7"/>
      <c r="I5" s="7"/>
      <c r="J5" s="7"/>
      <c r="K5" s="7"/>
      <c r="L5" s="2"/>
      <c r="M5" s="2"/>
    </row>
    <row r="6" spans="1:26" ht="13.5" thickBot="1" x14ac:dyDescent="0.25">
      <c r="A6" s="54"/>
      <c r="B6" s="1"/>
      <c r="E6" s="176" t="s">
        <v>0</v>
      </c>
      <c r="H6" s="7"/>
      <c r="I6" s="7"/>
      <c r="J6" s="7"/>
      <c r="K6" s="7"/>
      <c r="L6" s="2"/>
      <c r="M6" s="2"/>
    </row>
    <row r="7" spans="1:26" ht="54.75" customHeight="1" thickBot="1" x14ac:dyDescent="0.25">
      <c r="A7" s="212" t="s">
        <v>109</v>
      </c>
      <c r="B7" s="43" t="s">
        <v>198</v>
      </c>
      <c r="C7" s="43" t="str">
        <f>'1.Bev-kiad.'!C7</f>
        <v>2024. évi eredeti előirányzat</v>
      </c>
      <c r="D7" s="43" t="str">
        <f>'1.Bev-kiad.'!D7</f>
        <v>Módosított előirányzat 2024.06.havi</v>
      </c>
      <c r="E7" s="43" t="str">
        <f>'1.Bev-kiad.'!E7</f>
        <v>Módosított előirányzat 2024.09.havi</v>
      </c>
      <c r="F7" s="43" t="str">
        <f>'1.Bev-kiad.'!F7</f>
        <v>Módosított előirányzat 2024..havi</v>
      </c>
      <c r="G7" s="44" t="str">
        <f>'1.Bev-kiad.'!G7</f>
        <v>Teljesítés 2023.12.31.</v>
      </c>
      <c r="H7" s="429"/>
      <c r="I7" s="429"/>
      <c r="J7" s="429"/>
      <c r="K7" s="429"/>
      <c r="L7" s="2"/>
      <c r="M7" s="2"/>
    </row>
    <row r="8" spans="1:26" ht="17.25" customHeight="1" x14ac:dyDescent="0.2">
      <c r="A8" s="143" t="s">
        <v>322</v>
      </c>
      <c r="B8" s="221" t="s">
        <v>317</v>
      </c>
      <c r="C8" s="168">
        <f>SUM(C9+C71+C84+C96)</f>
        <v>1369469</v>
      </c>
      <c r="D8" s="168">
        <f>SUM(D9+D71+D84+D96)</f>
        <v>1375139</v>
      </c>
      <c r="E8" s="168">
        <f>SUM(E9+E71+E84+E96)</f>
        <v>1391707</v>
      </c>
      <c r="F8" s="168">
        <f>SUM(F9+F71+F84+F96)</f>
        <v>1375139</v>
      </c>
      <c r="G8" s="168">
        <f>SUM(G9+G71+G84+G96)</f>
        <v>1375139</v>
      </c>
      <c r="H8" s="7"/>
      <c r="I8" s="7"/>
      <c r="J8" s="7"/>
      <c r="K8" s="7"/>
      <c r="L8" s="2"/>
      <c r="M8" s="7"/>
    </row>
    <row r="9" spans="1:26" ht="18" customHeight="1" x14ac:dyDescent="0.25">
      <c r="A9" s="8" t="s">
        <v>111</v>
      </c>
      <c r="B9" s="22" t="s">
        <v>533</v>
      </c>
      <c r="C9" s="155">
        <f>C10+C59</f>
        <v>667449</v>
      </c>
      <c r="D9" s="155">
        <f>D10+D59</f>
        <v>672715</v>
      </c>
      <c r="E9" s="155">
        <f>E10+E59</f>
        <v>696868</v>
      </c>
      <c r="F9" s="155">
        <f>F10+F59</f>
        <v>672715</v>
      </c>
      <c r="G9" s="155">
        <f>G10+G59</f>
        <v>672715</v>
      </c>
      <c r="H9" s="7"/>
      <c r="I9" s="155">
        <f>I10+I59</f>
        <v>631955273</v>
      </c>
      <c r="J9" s="155"/>
      <c r="K9" s="155">
        <f>K10+K59</f>
        <v>696868000</v>
      </c>
      <c r="L9" s="2"/>
      <c r="M9" s="7"/>
      <c r="P9" s="9"/>
      <c r="Q9" s="9"/>
      <c r="R9" s="9"/>
    </row>
    <row r="10" spans="1:26" ht="13.5" customHeight="1" x14ac:dyDescent="0.2">
      <c r="A10" s="8" t="s">
        <v>112</v>
      </c>
      <c r="B10" s="14" t="s">
        <v>587</v>
      </c>
      <c r="C10" s="5">
        <f>C11+C25+C26+C36+C42+C46+C58</f>
        <v>600233</v>
      </c>
      <c r="D10" s="5">
        <f>D11+D25+D26+D36+D42+D46+D58</f>
        <v>604062</v>
      </c>
      <c r="E10" s="5">
        <f>E11+E25+E26+E36+E42+E46+E58</f>
        <v>626382</v>
      </c>
      <c r="F10" s="5">
        <f>F11+F25+F26+F36+F42+F46+F58</f>
        <v>604062</v>
      </c>
      <c r="G10" s="5">
        <f>G11+G25+G26+G36+G42+G46+G58</f>
        <v>604062</v>
      </c>
      <c r="H10" s="7"/>
      <c r="I10" s="5">
        <f>I11+I25+I26+I36+I42+I46+I58</f>
        <v>561469254</v>
      </c>
      <c r="J10" s="5"/>
      <c r="K10" s="5">
        <f>K11+K25+K26+K36+K42+K46+K58</f>
        <v>626381981</v>
      </c>
      <c r="L10" s="2"/>
      <c r="M10" s="7"/>
      <c r="P10" s="9"/>
      <c r="Q10" s="9"/>
      <c r="R10" s="9"/>
      <c r="Z10" s="74"/>
    </row>
    <row r="11" spans="1:26" ht="13.5" customHeight="1" x14ac:dyDescent="0.2">
      <c r="A11" s="8" t="s">
        <v>200</v>
      </c>
      <c r="B11" s="261" t="s">
        <v>588</v>
      </c>
      <c r="C11" s="5">
        <f>C12+C21+C22+C24+C23</f>
        <v>227823</v>
      </c>
      <c r="D11" s="5">
        <f>D12+D21+D22+D24+D23</f>
        <v>227823</v>
      </c>
      <c r="E11" s="5">
        <f>E12+E21+E22+E24+E23</f>
        <v>227823</v>
      </c>
      <c r="F11" s="5">
        <f>F12+F21+F22+F24+F23</f>
        <v>227823</v>
      </c>
      <c r="G11" s="5">
        <f>G12+G21+G22+G24+G23</f>
        <v>227823</v>
      </c>
      <c r="H11" s="27"/>
      <c r="I11" s="5">
        <f>I12+I21+I22+I24+I23</f>
        <v>213220104</v>
      </c>
      <c r="J11" s="5">
        <f t="shared" ref="J11:K11" si="0">J12+J21+J22+J24+J23</f>
        <v>0</v>
      </c>
      <c r="K11" s="512">
        <f t="shared" si="0"/>
        <v>227823165</v>
      </c>
      <c r="L11" s="2"/>
      <c r="M11" s="7"/>
      <c r="P11" s="9"/>
      <c r="Q11" s="9"/>
      <c r="R11" s="9"/>
    </row>
    <row r="12" spans="1:26" ht="13.5" customHeight="1" x14ac:dyDescent="0.2">
      <c r="A12" s="8"/>
      <c r="B12" s="147" t="s">
        <v>589</v>
      </c>
      <c r="C12" s="13">
        <f>SUM(C13:C20)</f>
        <v>224213</v>
      </c>
      <c r="D12" s="13">
        <f>SUM(D13:D20)</f>
        <v>224213</v>
      </c>
      <c r="E12" s="13">
        <f>SUM(E13:E20)</f>
        <v>224213</v>
      </c>
      <c r="F12" s="13">
        <f>SUM(F13:F20)</f>
        <v>224213</v>
      </c>
      <c r="G12" s="13">
        <f>SUM(G13:G20)</f>
        <v>224213</v>
      </c>
      <c r="H12" s="7"/>
      <c r="I12" s="13">
        <f>SUM(I13:I20)</f>
        <v>209610093</v>
      </c>
      <c r="J12" s="13"/>
      <c r="K12" s="13">
        <f>SUM(K13:K20)</f>
        <v>224213154</v>
      </c>
      <c r="L12" s="2"/>
      <c r="M12" s="7"/>
      <c r="P12" s="9"/>
      <c r="Q12" s="9"/>
      <c r="R12" s="9"/>
    </row>
    <row r="13" spans="1:26" ht="13.5" customHeight="1" x14ac:dyDescent="0.2">
      <c r="A13" s="8"/>
      <c r="B13" s="147" t="s">
        <v>590</v>
      </c>
      <c r="C13" s="71">
        <f>138309+14603</f>
        <v>152912</v>
      </c>
      <c r="D13" s="71">
        <f>138309+14603</f>
        <v>152912</v>
      </c>
      <c r="E13" s="71">
        <f>138309+14603</f>
        <v>152912</v>
      </c>
      <c r="F13" s="71">
        <f>138309+14603</f>
        <v>152912</v>
      </c>
      <c r="G13" s="71">
        <f>138309+14603</f>
        <v>152912</v>
      </c>
      <c r="H13" s="7"/>
      <c r="I13" s="7">
        <v>138308398</v>
      </c>
      <c r="J13" s="7">
        <v>14603061</v>
      </c>
      <c r="K13" s="7">
        <f>I13+J13</f>
        <v>152911459</v>
      </c>
      <c r="L13" s="2" t="s">
        <v>717</v>
      </c>
      <c r="M13" s="7"/>
      <c r="P13" s="9"/>
      <c r="Q13" s="9"/>
      <c r="R13" s="9"/>
    </row>
    <row r="14" spans="1:26" x14ac:dyDescent="0.2">
      <c r="A14" s="8"/>
      <c r="B14" s="147" t="s">
        <v>624</v>
      </c>
      <c r="C14" s="71">
        <f>8988</f>
        <v>8988</v>
      </c>
      <c r="D14" s="71">
        <f>8988</f>
        <v>8988</v>
      </c>
      <c r="E14" s="71">
        <f>8988</f>
        <v>8988</v>
      </c>
      <c r="F14" s="71">
        <f>8988</f>
        <v>8988</v>
      </c>
      <c r="G14" s="71">
        <f>8988</f>
        <v>8988</v>
      </c>
      <c r="H14" s="27"/>
      <c r="I14" s="7">
        <v>8988200</v>
      </c>
      <c r="J14" s="7"/>
      <c r="K14" s="7">
        <f t="shared" ref="K14:K70" si="1">I14+J14</f>
        <v>8988200</v>
      </c>
      <c r="L14" s="2"/>
      <c r="M14" s="7"/>
      <c r="P14" s="9"/>
      <c r="Q14" s="9"/>
      <c r="R14" s="9"/>
    </row>
    <row r="15" spans="1:26" ht="13.5" customHeight="1" x14ac:dyDescent="0.2">
      <c r="A15" s="8"/>
      <c r="B15" s="147" t="s">
        <v>935</v>
      </c>
      <c r="C15" s="71">
        <v>24120</v>
      </c>
      <c r="D15" s="71">
        <v>24120</v>
      </c>
      <c r="E15" s="71">
        <v>24120</v>
      </c>
      <c r="F15" s="71">
        <v>24120</v>
      </c>
      <c r="G15" s="71">
        <v>24120</v>
      </c>
      <c r="H15" s="7"/>
      <c r="I15" s="7">
        <v>24120000</v>
      </c>
      <c r="J15" s="7"/>
      <c r="K15" s="7">
        <f t="shared" si="1"/>
        <v>24120000</v>
      </c>
      <c r="L15" s="2"/>
      <c r="M15" s="7"/>
      <c r="P15" s="9"/>
      <c r="Q15" s="9"/>
      <c r="R15" s="9"/>
    </row>
    <row r="16" spans="1:26" ht="13.5" customHeight="1" x14ac:dyDescent="0.2">
      <c r="A16" s="8"/>
      <c r="B16" s="147" t="s">
        <v>936</v>
      </c>
      <c r="C16" s="71">
        <v>23500</v>
      </c>
      <c r="D16" s="71">
        <v>23500</v>
      </c>
      <c r="E16" s="71">
        <v>23500</v>
      </c>
      <c r="F16" s="71">
        <v>23500</v>
      </c>
      <c r="G16" s="71">
        <v>23500</v>
      </c>
      <c r="H16" s="7"/>
      <c r="I16" s="7">
        <v>23500000</v>
      </c>
      <c r="J16" s="7"/>
      <c r="K16" s="7">
        <f t="shared" si="1"/>
        <v>23500000</v>
      </c>
      <c r="L16" s="2"/>
      <c r="M16" s="7"/>
      <c r="P16" s="9"/>
      <c r="Q16" s="9"/>
      <c r="R16" s="9"/>
    </row>
    <row r="17" spans="1:26" ht="13.5" customHeight="1" x14ac:dyDescent="0.2">
      <c r="A17" s="8"/>
      <c r="B17" s="147" t="s">
        <v>625</v>
      </c>
      <c r="C17" s="71">
        <f>100</f>
        <v>100</v>
      </c>
      <c r="D17" s="71">
        <f>100</f>
        <v>100</v>
      </c>
      <c r="E17" s="71">
        <f>100</f>
        <v>100</v>
      </c>
      <c r="F17" s="71">
        <f>100</f>
        <v>100</v>
      </c>
      <c r="G17" s="71">
        <f>100</f>
        <v>100</v>
      </c>
      <c r="H17" s="7"/>
      <c r="I17" s="7">
        <v>100000</v>
      </c>
      <c r="J17" s="7"/>
      <c r="K17" s="7">
        <f t="shared" si="1"/>
        <v>100000</v>
      </c>
      <c r="L17" s="2"/>
      <c r="M17" s="7"/>
      <c r="P17" s="9"/>
      <c r="Q17" s="9"/>
      <c r="R17" s="9"/>
    </row>
    <row r="18" spans="1:26" ht="13.5" customHeight="1" x14ac:dyDescent="0.2">
      <c r="A18" s="8"/>
      <c r="B18" s="147" t="s">
        <v>626</v>
      </c>
      <c r="C18" s="71">
        <v>8058</v>
      </c>
      <c r="D18" s="71">
        <v>8058</v>
      </c>
      <c r="E18" s="71">
        <v>8058</v>
      </c>
      <c r="F18" s="71">
        <v>8058</v>
      </c>
      <c r="G18" s="71">
        <v>8058</v>
      </c>
      <c r="H18" s="7"/>
      <c r="I18" s="7">
        <v>8058295</v>
      </c>
      <c r="J18" s="7"/>
      <c r="K18" s="7">
        <f t="shared" si="1"/>
        <v>8058295</v>
      </c>
      <c r="M18" s="7"/>
      <c r="P18" s="9"/>
      <c r="Q18" s="9"/>
      <c r="R18" s="9"/>
    </row>
    <row r="19" spans="1:26" ht="12.75" customHeight="1" x14ac:dyDescent="0.2">
      <c r="A19" s="8"/>
      <c r="B19" s="147" t="s">
        <v>591</v>
      </c>
      <c r="C19" s="71">
        <v>6535</v>
      </c>
      <c r="D19" s="71">
        <v>6535</v>
      </c>
      <c r="E19" s="71">
        <v>6535</v>
      </c>
      <c r="F19" s="71">
        <v>6535</v>
      </c>
      <c r="G19" s="71">
        <v>6535</v>
      </c>
      <c r="H19" s="7"/>
      <c r="I19" s="7">
        <v>6535200</v>
      </c>
      <c r="J19" s="7"/>
      <c r="K19" s="7">
        <f t="shared" si="1"/>
        <v>6535200</v>
      </c>
      <c r="L19" s="2"/>
      <c r="M19" s="7"/>
      <c r="P19" s="9"/>
      <c r="Q19" s="9"/>
      <c r="R19" s="9"/>
    </row>
    <row r="20" spans="1:26" ht="12.75" customHeight="1" x14ac:dyDescent="0.2">
      <c r="A20" s="8"/>
      <c r="B20" s="147" t="s">
        <v>592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7"/>
      <c r="I20" s="7"/>
      <c r="J20" s="7"/>
      <c r="K20" s="7">
        <f t="shared" si="1"/>
        <v>0</v>
      </c>
      <c r="L20" s="2"/>
      <c r="M20" s="7"/>
      <c r="P20" s="9"/>
      <c r="Q20" s="9"/>
      <c r="R20" s="9"/>
    </row>
    <row r="21" spans="1:26" x14ac:dyDescent="0.2">
      <c r="A21" s="8"/>
      <c r="B21" s="147" t="s">
        <v>593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7"/>
      <c r="I21" s="7"/>
      <c r="J21" s="7"/>
      <c r="K21" s="7">
        <f t="shared" si="1"/>
        <v>0</v>
      </c>
      <c r="L21" s="2"/>
      <c r="M21" s="7"/>
      <c r="P21" s="9"/>
      <c r="Q21" s="9"/>
      <c r="R21" s="9"/>
    </row>
    <row r="22" spans="1:26" x14ac:dyDescent="0.2">
      <c r="A22" s="8"/>
      <c r="B22" s="147" t="s">
        <v>594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7"/>
      <c r="I22" s="7"/>
      <c r="J22" s="7"/>
      <c r="K22" s="7">
        <f t="shared" si="1"/>
        <v>0</v>
      </c>
      <c r="L22" s="2"/>
      <c r="M22" s="7"/>
      <c r="P22" s="9"/>
      <c r="Q22" s="9"/>
      <c r="R22" s="9"/>
    </row>
    <row r="23" spans="1:26" x14ac:dyDescent="0.2">
      <c r="A23" s="8"/>
      <c r="B23" s="147" t="s">
        <v>847</v>
      </c>
      <c r="C23" s="13">
        <v>3610</v>
      </c>
      <c r="D23" s="13">
        <v>3610</v>
      </c>
      <c r="E23" s="13">
        <v>3610</v>
      </c>
      <c r="F23" s="13">
        <v>3610</v>
      </c>
      <c r="G23" s="13">
        <v>3610</v>
      </c>
      <c r="H23" s="7"/>
      <c r="I23" s="7">
        <v>3610011</v>
      </c>
      <c r="J23" s="7"/>
      <c r="K23" s="7">
        <f t="shared" ref="K23" si="2">I23+J23</f>
        <v>3610011</v>
      </c>
      <c r="L23" s="2"/>
      <c r="M23" s="7"/>
      <c r="P23" s="9"/>
      <c r="Q23" s="9"/>
      <c r="R23" s="9"/>
    </row>
    <row r="24" spans="1:26" hidden="1" x14ac:dyDescent="0.2">
      <c r="A24" s="8"/>
      <c r="B24" s="147" t="s">
        <v>848</v>
      </c>
      <c r="C24" s="251">
        <v>0</v>
      </c>
      <c r="D24" s="251">
        <v>0</v>
      </c>
      <c r="E24" s="251">
        <v>0</v>
      </c>
      <c r="F24" s="251">
        <v>0</v>
      </c>
      <c r="G24" s="251">
        <v>0</v>
      </c>
      <c r="H24" s="7"/>
      <c r="I24" s="7">
        <v>0</v>
      </c>
      <c r="J24" s="7"/>
      <c r="K24" s="7">
        <f t="shared" si="1"/>
        <v>0</v>
      </c>
      <c r="L24" s="2"/>
      <c r="M24" s="7"/>
      <c r="P24" s="9"/>
      <c r="Q24" s="9"/>
      <c r="R24" s="9"/>
    </row>
    <row r="25" spans="1:26" ht="13.5" customHeight="1" x14ac:dyDescent="0.2">
      <c r="A25" s="8" t="s">
        <v>201</v>
      </c>
      <c r="B25" s="14" t="s">
        <v>595</v>
      </c>
      <c r="C25" s="5">
        <f>99972+8234+22561</f>
        <v>130767</v>
      </c>
      <c r="D25" s="5">
        <f>99972+8234+22561</f>
        <v>130767</v>
      </c>
      <c r="E25" s="5">
        <f>99972+8234+22561</f>
        <v>130767</v>
      </c>
      <c r="F25" s="5">
        <f>99972+8234+22561</f>
        <v>130767</v>
      </c>
      <c r="G25" s="5">
        <f>99972+8234+22561</f>
        <v>130767</v>
      </c>
      <c r="H25" s="7"/>
      <c r="I25" s="5">
        <v>99971510</v>
      </c>
      <c r="J25" s="5">
        <f>8234416+22561090</f>
        <v>30795506</v>
      </c>
      <c r="K25" s="512">
        <f t="shared" si="1"/>
        <v>130767016</v>
      </c>
      <c r="L25" s="2"/>
      <c r="M25" s="7"/>
      <c r="P25" s="9"/>
      <c r="Q25" s="9"/>
      <c r="R25" s="9"/>
      <c r="Z25" s="74"/>
    </row>
    <row r="26" spans="1:26" ht="13.5" customHeight="1" x14ac:dyDescent="0.2">
      <c r="A26" s="8" t="s">
        <v>202</v>
      </c>
      <c r="B26" s="14" t="s">
        <v>596</v>
      </c>
      <c r="C26" s="5">
        <f>C27+C28+C35</f>
        <v>127247</v>
      </c>
      <c r="D26" s="5">
        <f>D27+D28+D35</f>
        <v>144487</v>
      </c>
      <c r="E26" s="5">
        <f>E27+E28+E35</f>
        <v>144487</v>
      </c>
      <c r="F26" s="5">
        <f>F27+F28+F35</f>
        <v>144487</v>
      </c>
      <c r="G26" s="5">
        <f>G27+G28+G35</f>
        <v>144487</v>
      </c>
      <c r="H26" s="7"/>
      <c r="I26" s="5">
        <f>I27+I28+I35</f>
        <v>131694880</v>
      </c>
      <c r="J26" s="5"/>
      <c r="K26" s="512">
        <f t="shared" ref="K26" si="3">K27+K28+K35</f>
        <v>144487240</v>
      </c>
      <c r="L26" s="2"/>
      <c r="M26" s="7"/>
      <c r="P26" s="9"/>
      <c r="Q26" s="9"/>
      <c r="R26" s="9"/>
    </row>
    <row r="27" spans="1:26" ht="13.5" customHeight="1" x14ac:dyDescent="0.2">
      <c r="A27" s="8"/>
      <c r="B27" s="147" t="s">
        <v>597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7"/>
      <c r="I27" s="7">
        <v>0</v>
      </c>
      <c r="J27" s="7"/>
      <c r="K27" s="7">
        <f t="shared" si="1"/>
        <v>0</v>
      </c>
      <c r="L27" s="2"/>
      <c r="M27" s="7"/>
      <c r="P27" s="9"/>
      <c r="Q27" s="9"/>
      <c r="R27" s="9"/>
      <c r="Z27" s="74"/>
    </row>
    <row r="28" spans="1:26" ht="13.5" customHeight="1" x14ac:dyDescent="0.2">
      <c r="A28" s="8"/>
      <c r="B28" s="147" t="s">
        <v>598</v>
      </c>
      <c r="C28" s="13">
        <f>C29+C30+C32+C34</f>
        <v>127247</v>
      </c>
      <c r="D28" s="13">
        <f>D29+D30+D32+D34</f>
        <v>127077</v>
      </c>
      <c r="E28" s="13">
        <f>E29+E30+E32+E34</f>
        <v>127077</v>
      </c>
      <c r="F28" s="13">
        <f>F29+F30+F32+F34</f>
        <v>127077</v>
      </c>
      <c r="G28" s="13">
        <f>G29+G30+G32+G34</f>
        <v>127077</v>
      </c>
      <c r="H28" s="7"/>
      <c r="I28" s="13">
        <f>I29+I30+I32+I34</f>
        <v>114284880</v>
      </c>
      <c r="J28" s="13"/>
      <c r="K28" s="13">
        <f t="shared" ref="K28" si="4">K29+K30+K32+K34</f>
        <v>127077240</v>
      </c>
      <c r="L28" s="2"/>
      <c r="M28" s="7"/>
      <c r="P28" s="9"/>
      <c r="Q28" s="9"/>
      <c r="R28" s="9"/>
    </row>
    <row r="29" spans="1:26" ht="13.5" customHeight="1" x14ac:dyDescent="0.2">
      <c r="A29" s="8"/>
      <c r="B29" s="147" t="s">
        <v>599</v>
      </c>
      <c r="C29" s="13">
        <f>21341+2574</f>
        <v>23915</v>
      </c>
      <c r="D29" s="13">
        <f>21341+2574</f>
        <v>23915</v>
      </c>
      <c r="E29" s="13">
        <f>21341+2574</f>
        <v>23915</v>
      </c>
      <c r="F29" s="13">
        <f>21341+2574</f>
        <v>23915</v>
      </c>
      <c r="G29" s="13">
        <f>21341+2574</f>
        <v>23915</v>
      </c>
      <c r="H29" s="7"/>
      <c r="I29" s="7">
        <v>21340800</v>
      </c>
      <c r="J29" s="7">
        <v>2574360</v>
      </c>
      <c r="K29" s="7">
        <f t="shared" si="1"/>
        <v>23915160</v>
      </c>
      <c r="L29" s="2"/>
      <c r="M29" s="7"/>
      <c r="P29" s="9"/>
      <c r="Q29" s="9"/>
      <c r="R29" s="9"/>
    </row>
    <row r="30" spans="1:26" ht="13.5" customHeight="1" x14ac:dyDescent="0.2">
      <c r="A30" s="8"/>
      <c r="B30" s="147" t="s">
        <v>600</v>
      </c>
      <c r="C30" s="13">
        <f>C31</f>
        <v>9335</v>
      </c>
      <c r="D30" s="13">
        <f>D31</f>
        <v>9165</v>
      </c>
      <c r="E30" s="13">
        <f>E31</f>
        <v>9165</v>
      </c>
      <c r="F30" s="13">
        <f>F31</f>
        <v>9165</v>
      </c>
      <c r="G30" s="13">
        <f>G31</f>
        <v>9165</v>
      </c>
      <c r="H30" s="7"/>
      <c r="I30" s="13">
        <f>I31</f>
        <v>9164880</v>
      </c>
      <c r="J30" s="13"/>
      <c r="K30" s="13">
        <f t="shared" ref="K30" si="5">K31</f>
        <v>9164880</v>
      </c>
      <c r="L30" s="2"/>
      <c r="M30" s="7"/>
      <c r="P30" s="9"/>
      <c r="Q30" s="9"/>
      <c r="R30" s="9"/>
    </row>
    <row r="31" spans="1:26" ht="13.5" customHeight="1" x14ac:dyDescent="0.2">
      <c r="A31" s="8"/>
      <c r="B31" s="147" t="s">
        <v>623</v>
      </c>
      <c r="C31" s="13">
        <f>8757+578</f>
        <v>9335</v>
      </c>
      <c r="D31" s="13">
        <f>9335-170</f>
        <v>9165</v>
      </c>
      <c r="E31" s="13">
        <f>9335-170</f>
        <v>9165</v>
      </c>
      <c r="F31" s="13">
        <f>9335-170</f>
        <v>9165</v>
      </c>
      <c r="G31" s="13">
        <f>9335-170</f>
        <v>9165</v>
      </c>
      <c r="H31" s="7"/>
      <c r="I31" s="7">
        <f>9334600-169720</f>
        <v>9164880</v>
      </c>
      <c r="J31" s="7">
        <v>0</v>
      </c>
      <c r="K31" s="7">
        <f t="shared" si="1"/>
        <v>9164880</v>
      </c>
      <c r="L31" t="s">
        <v>914</v>
      </c>
      <c r="M31" s="7"/>
      <c r="N31" t="s">
        <v>980</v>
      </c>
      <c r="P31" s="9" t="s">
        <v>981</v>
      </c>
      <c r="Q31" s="9"/>
      <c r="R31" s="9"/>
    </row>
    <row r="32" spans="1:26" ht="13.5" customHeight="1" x14ac:dyDescent="0.2">
      <c r="A32" s="8"/>
      <c r="B32" s="147" t="s">
        <v>601</v>
      </c>
      <c r="C32" s="13">
        <f>C33</f>
        <v>93997</v>
      </c>
      <c r="D32" s="13">
        <f>D33</f>
        <v>93997</v>
      </c>
      <c r="E32" s="13">
        <f>E33</f>
        <v>93997</v>
      </c>
      <c r="F32" s="13">
        <f>F33</f>
        <v>93997</v>
      </c>
      <c r="G32" s="13">
        <f>G33</f>
        <v>93997</v>
      </c>
      <c r="H32" s="7"/>
      <c r="I32" s="13">
        <f>I33</f>
        <v>83779200</v>
      </c>
      <c r="J32" s="13"/>
      <c r="K32" s="13">
        <f t="shared" ref="K32" si="6">K33</f>
        <v>93997200</v>
      </c>
      <c r="M32" s="7"/>
      <c r="P32" s="9" t="s">
        <v>982</v>
      </c>
      <c r="Q32" s="9"/>
      <c r="R32" s="9">
        <v>7350106</v>
      </c>
    </row>
    <row r="33" spans="1:18" ht="13.5" customHeight="1" x14ac:dyDescent="0.2">
      <c r="A33" s="8"/>
      <c r="B33" s="147" t="s">
        <v>602</v>
      </c>
      <c r="C33" s="13">
        <f>83779+10218</f>
        <v>93997</v>
      </c>
      <c r="D33" s="13">
        <f>83779+10218</f>
        <v>93997</v>
      </c>
      <c r="E33" s="13">
        <f>83779+10218</f>
        <v>93997</v>
      </c>
      <c r="F33" s="13">
        <f>83779+10218</f>
        <v>93997</v>
      </c>
      <c r="G33" s="13">
        <f>83779+10218</f>
        <v>93997</v>
      </c>
      <c r="H33" s="7"/>
      <c r="I33" s="7">
        <v>83779200</v>
      </c>
      <c r="J33" s="7">
        <v>10218000</v>
      </c>
      <c r="K33" s="7">
        <f t="shared" si="1"/>
        <v>93997200</v>
      </c>
      <c r="L33" s="2"/>
      <c r="M33" s="7"/>
      <c r="P33" s="9" t="s">
        <v>983</v>
      </c>
      <c r="Q33" s="9"/>
      <c r="R33" s="9">
        <v>1984406</v>
      </c>
    </row>
    <row r="34" spans="1:18" ht="13.5" customHeight="1" x14ac:dyDescent="0.2">
      <c r="A34" s="8"/>
      <c r="B34" s="147" t="s">
        <v>603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7"/>
      <c r="I34" s="7"/>
      <c r="J34" s="7"/>
      <c r="K34" s="7">
        <f t="shared" si="1"/>
        <v>0</v>
      </c>
      <c r="L34" s="2"/>
      <c r="M34" s="7"/>
      <c r="P34" s="9"/>
      <c r="Q34" s="9"/>
      <c r="R34" s="9"/>
    </row>
    <row r="35" spans="1:18" ht="13.5" customHeight="1" x14ac:dyDescent="0.2">
      <c r="A35" s="8"/>
      <c r="B35" s="147" t="s">
        <v>684</v>
      </c>
      <c r="C35" s="13">
        <v>0</v>
      </c>
      <c r="D35" s="13">
        <f>17410</f>
        <v>17410</v>
      </c>
      <c r="E35" s="13">
        <f>17410</f>
        <v>17410</v>
      </c>
      <c r="F35" s="13">
        <f>17410</f>
        <v>17410</v>
      </c>
      <c r="G35" s="13">
        <f>17410</f>
        <v>17410</v>
      </c>
      <c r="H35" s="7"/>
      <c r="I35" s="7">
        <v>17410000</v>
      </c>
      <c r="J35" s="7"/>
      <c r="K35" s="7">
        <f t="shared" si="1"/>
        <v>17410000</v>
      </c>
      <c r="L35" s="2"/>
      <c r="M35" s="7"/>
      <c r="P35" s="9"/>
      <c r="Q35" s="9"/>
      <c r="R35" s="9"/>
    </row>
    <row r="36" spans="1:18" ht="13.5" customHeight="1" x14ac:dyDescent="0.2">
      <c r="A36" s="8"/>
      <c r="B36" s="261" t="s">
        <v>604</v>
      </c>
      <c r="C36" s="5">
        <f>C37+C40+C41</f>
        <v>64423</v>
      </c>
      <c r="D36" s="5">
        <f>D37+D40+D41</f>
        <v>64423</v>
      </c>
      <c r="E36" s="5">
        <f>E37+E40+E41</f>
        <v>64423</v>
      </c>
      <c r="F36" s="5">
        <f>F37+F40+F41</f>
        <v>64423</v>
      </c>
      <c r="G36" s="5">
        <f>G37+G40+G41</f>
        <v>64423</v>
      </c>
      <c r="H36" s="7"/>
      <c r="I36" s="5">
        <f>I37+I40+I41</f>
        <v>57701529</v>
      </c>
      <c r="J36" s="5"/>
      <c r="K36" s="512">
        <f t="shared" ref="K36" si="7">K37+K40+K41</f>
        <v>64423329</v>
      </c>
      <c r="L36" s="2"/>
      <c r="M36" s="7"/>
      <c r="P36" s="9"/>
      <c r="Q36" s="9"/>
      <c r="R36" s="9"/>
    </row>
    <row r="37" spans="1:18" ht="13.5" customHeight="1" x14ac:dyDescent="0.2">
      <c r="A37" s="8"/>
      <c r="B37" s="147" t="s">
        <v>605</v>
      </c>
      <c r="C37" s="13">
        <f>C38+C39</f>
        <v>64423</v>
      </c>
      <c r="D37" s="13">
        <f>D38+D39</f>
        <v>64423</v>
      </c>
      <c r="E37" s="13">
        <f>E38+E39</f>
        <v>64423</v>
      </c>
      <c r="F37" s="13">
        <f>F38+F39</f>
        <v>64423</v>
      </c>
      <c r="G37" s="13">
        <f>G38+G39</f>
        <v>64423</v>
      </c>
      <c r="H37" s="7"/>
      <c r="I37" s="13">
        <f>I38+I39</f>
        <v>57701529</v>
      </c>
      <c r="J37" s="13"/>
      <c r="K37" s="13">
        <f t="shared" ref="K37" si="8">K38+K39</f>
        <v>64423329</v>
      </c>
      <c r="L37" s="2"/>
      <c r="M37" s="7"/>
      <c r="P37" s="9"/>
      <c r="Q37" s="9"/>
      <c r="R37" s="9"/>
    </row>
    <row r="38" spans="1:18" ht="13.5" customHeight="1" x14ac:dyDescent="0.2">
      <c r="A38" s="8"/>
      <c r="B38" s="147" t="s">
        <v>606</v>
      </c>
      <c r="C38" s="13">
        <f>30202+6722</f>
        <v>36924</v>
      </c>
      <c r="D38" s="13">
        <f>30202+6722</f>
        <v>36924</v>
      </c>
      <c r="E38" s="13">
        <f>30202+6722</f>
        <v>36924</v>
      </c>
      <c r="F38" s="13">
        <f>30202+6722</f>
        <v>36924</v>
      </c>
      <c r="G38" s="13">
        <f>30202+6722</f>
        <v>36924</v>
      </c>
      <c r="H38" s="7"/>
      <c r="I38" s="7">
        <v>30202200</v>
      </c>
      <c r="J38" s="7">
        <v>6721800</v>
      </c>
      <c r="K38" s="7">
        <f t="shared" si="1"/>
        <v>36924000</v>
      </c>
      <c r="L38" s="2"/>
      <c r="M38" s="7"/>
      <c r="P38" s="9"/>
      <c r="Q38" s="9"/>
      <c r="R38" s="9"/>
    </row>
    <row r="39" spans="1:18" ht="13.5" customHeight="1" x14ac:dyDescent="0.2">
      <c r="A39" s="8"/>
      <c r="B39" s="147" t="s">
        <v>607</v>
      </c>
      <c r="C39" s="13">
        <v>27499</v>
      </c>
      <c r="D39" s="13">
        <v>27499</v>
      </c>
      <c r="E39" s="13">
        <v>27499</v>
      </c>
      <c r="F39" s="13">
        <v>27499</v>
      </c>
      <c r="G39" s="13">
        <v>27499</v>
      </c>
      <c r="H39" s="7"/>
      <c r="I39" s="7">
        <v>27499329</v>
      </c>
      <c r="J39" s="7"/>
      <c r="K39" s="7">
        <f t="shared" si="1"/>
        <v>27499329</v>
      </c>
      <c r="L39" s="2"/>
      <c r="M39" s="7"/>
      <c r="P39" s="9"/>
      <c r="Q39" s="9"/>
      <c r="R39" s="9"/>
    </row>
    <row r="40" spans="1:18" ht="13.5" hidden="1" customHeight="1" x14ac:dyDescent="0.2">
      <c r="A40" s="8"/>
      <c r="B40" s="147" t="s">
        <v>608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7"/>
      <c r="I40" s="7"/>
      <c r="J40" s="7"/>
      <c r="K40" s="7">
        <f t="shared" si="1"/>
        <v>0</v>
      </c>
      <c r="L40" s="2"/>
      <c r="M40" s="7"/>
      <c r="P40" s="9"/>
      <c r="Q40" s="9"/>
      <c r="R40" s="9"/>
    </row>
    <row r="41" spans="1:18" ht="13.5" hidden="1" customHeight="1" x14ac:dyDescent="0.2">
      <c r="A41" s="8"/>
      <c r="B41" s="147" t="s">
        <v>679</v>
      </c>
      <c r="C41" s="13"/>
      <c r="D41" s="13"/>
      <c r="E41" s="13"/>
      <c r="F41" s="13"/>
      <c r="G41" s="13"/>
      <c r="H41" s="7"/>
      <c r="I41" s="7"/>
      <c r="J41" s="7"/>
      <c r="K41" s="7">
        <f t="shared" si="1"/>
        <v>0</v>
      </c>
      <c r="L41" s="2"/>
      <c r="M41" s="7"/>
      <c r="P41" s="9"/>
      <c r="Q41" s="9"/>
      <c r="R41" s="9"/>
    </row>
    <row r="42" spans="1:18" ht="13.5" customHeight="1" x14ac:dyDescent="0.2">
      <c r="A42" s="8" t="s">
        <v>203</v>
      </c>
      <c r="B42" s="14" t="s">
        <v>609</v>
      </c>
      <c r="C42" s="6">
        <f>SUM(C43:C45)</f>
        <v>31928</v>
      </c>
      <c r="D42" s="6">
        <f>SUM(D43:D45)</f>
        <v>35919</v>
      </c>
      <c r="E42" s="6">
        <f>SUM(E43:E45)</f>
        <v>35919</v>
      </c>
      <c r="F42" s="6">
        <f>SUM(F43:F45)</f>
        <v>35919</v>
      </c>
      <c r="G42" s="6">
        <f>SUM(G43:G45)</f>
        <v>35919</v>
      </c>
      <c r="H42" s="7"/>
      <c r="I42" s="6">
        <f>SUM(I43:I45)</f>
        <v>35918614</v>
      </c>
      <c r="J42" s="6"/>
      <c r="K42" s="513">
        <f t="shared" ref="K42" si="9">SUM(K43:K45)</f>
        <v>35918614</v>
      </c>
      <c r="L42" s="2"/>
      <c r="M42" s="7"/>
      <c r="P42" s="9"/>
      <c r="Q42" s="9"/>
      <c r="R42" s="9"/>
    </row>
    <row r="43" spans="1:18" ht="13.5" customHeight="1" x14ac:dyDescent="0.2">
      <c r="A43" s="8"/>
      <c r="B43" s="147" t="s">
        <v>629</v>
      </c>
      <c r="C43" s="71">
        <v>5165</v>
      </c>
      <c r="D43" s="71">
        <v>5165</v>
      </c>
      <c r="E43" s="71">
        <v>5165</v>
      </c>
      <c r="F43" s="71">
        <v>5165</v>
      </c>
      <c r="G43" s="71">
        <v>5165</v>
      </c>
      <c r="H43" s="7"/>
      <c r="I43" s="7">
        <v>5165142</v>
      </c>
      <c r="J43" s="7"/>
      <c r="K43" s="7">
        <f t="shared" si="1"/>
        <v>5165142</v>
      </c>
      <c r="L43" s="2"/>
      <c r="M43" s="7"/>
      <c r="P43" s="9"/>
      <c r="Q43" s="9"/>
      <c r="R43" s="9"/>
    </row>
    <row r="44" spans="1:18" ht="13.5" customHeight="1" x14ac:dyDescent="0.2">
      <c r="A44" s="8"/>
      <c r="B44" s="147" t="s">
        <v>680</v>
      </c>
      <c r="C44" s="71">
        <v>26763</v>
      </c>
      <c r="D44" s="71">
        <v>26763</v>
      </c>
      <c r="E44" s="71">
        <v>26763</v>
      </c>
      <c r="F44" s="71">
        <v>26763</v>
      </c>
      <c r="G44" s="71">
        <v>26763</v>
      </c>
      <c r="H44" s="7"/>
      <c r="I44" s="7">
        <v>26762800</v>
      </c>
      <c r="J44" s="7"/>
      <c r="K44" s="7">
        <f t="shared" si="1"/>
        <v>26762800</v>
      </c>
      <c r="L44" s="2"/>
      <c r="M44" s="7"/>
      <c r="P44" s="9"/>
      <c r="Q44" s="9"/>
      <c r="R44" s="9"/>
    </row>
    <row r="45" spans="1:18" ht="13.5" customHeight="1" x14ac:dyDescent="0.2">
      <c r="A45" s="8"/>
      <c r="B45" s="147" t="s">
        <v>860</v>
      </c>
      <c r="C45" s="71">
        <v>0</v>
      </c>
      <c r="D45" s="71">
        <v>3991</v>
      </c>
      <c r="E45" s="71">
        <v>3991</v>
      </c>
      <c r="F45" s="71">
        <v>3991</v>
      </c>
      <c r="G45" s="71">
        <v>3991</v>
      </c>
      <c r="H45" s="7">
        <v>3062</v>
      </c>
      <c r="I45" s="7">
        <v>3990672</v>
      </c>
      <c r="J45" s="7"/>
      <c r="K45" s="7">
        <f t="shared" si="1"/>
        <v>3990672</v>
      </c>
      <c r="L45" s="7">
        <v>3061848</v>
      </c>
      <c r="M45" s="7">
        <v>3525600</v>
      </c>
      <c r="P45" s="9"/>
      <c r="Q45" s="9"/>
      <c r="R45" s="9"/>
    </row>
    <row r="46" spans="1:18" ht="16.5" customHeight="1" x14ac:dyDescent="0.2">
      <c r="A46" s="8" t="s">
        <v>204</v>
      </c>
      <c r="B46" s="14" t="s">
        <v>610</v>
      </c>
      <c r="C46" s="5">
        <f>C47+C52+C56</f>
        <v>17410</v>
      </c>
      <c r="D46" s="5">
        <f>D47+D52+D56</f>
        <v>0</v>
      </c>
      <c r="E46" s="5">
        <f>E47+E52+E56</f>
        <v>22320</v>
      </c>
      <c r="F46" s="5">
        <f>F47+F52+F56</f>
        <v>0</v>
      </c>
      <c r="G46" s="5">
        <f>G47+G52+G56</f>
        <v>0</v>
      </c>
      <c r="H46" s="7"/>
      <c r="I46" s="5">
        <f>I47+I52+I56</f>
        <v>22320290</v>
      </c>
      <c r="J46" s="5"/>
      <c r="K46" s="512">
        <f>K47+K52+K56</f>
        <v>22320290</v>
      </c>
      <c r="L46" s="2"/>
      <c r="M46" s="7"/>
      <c r="P46" s="9"/>
      <c r="Q46" s="9"/>
      <c r="R46" s="9"/>
    </row>
    <row r="47" spans="1:18" ht="14.25" customHeight="1" x14ac:dyDescent="0.2">
      <c r="A47" s="8"/>
      <c r="B47" s="474" t="s">
        <v>611</v>
      </c>
      <c r="C47" s="5">
        <f>C48+C49+C50+C51</f>
        <v>0</v>
      </c>
      <c r="D47" s="5">
        <f>D48+D49+D50+D51</f>
        <v>0</v>
      </c>
      <c r="E47" s="5">
        <f>E48+E49+E50+E51</f>
        <v>20000</v>
      </c>
      <c r="F47" s="5">
        <f>F48+F49+F50+F51</f>
        <v>0</v>
      </c>
      <c r="G47" s="5">
        <f>G48+G49+G50+G51</f>
        <v>0</v>
      </c>
      <c r="H47" s="7"/>
      <c r="I47" s="5">
        <f>I48+I49+I50+I51</f>
        <v>20000000</v>
      </c>
      <c r="J47" s="5"/>
      <c r="K47" s="5">
        <f t="shared" ref="K47" si="10">K48+K49+K50+K51</f>
        <v>20000000</v>
      </c>
      <c r="L47" s="2"/>
      <c r="M47" s="7"/>
      <c r="P47" s="9"/>
      <c r="Q47" s="9"/>
      <c r="R47" s="9"/>
    </row>
    <row r="48" spans="1:18" ht="11.25" customHeight="1" x14ac:dyDescent="0.2">
      <c r="A48" s="8"/>
      <c r="B48" s="474" t="s">
        <v>612</v>
      </c>
      <c r="C48" s="13">
        <v>0</v>
      </c>
      <c r="D48" s="13">
        <v>0</v>
      </c>
      <c r="E48" s="13">
        <v>20000</v>
      </c>
      <c r="F48" s="13">
        <v>0</v>
      </c>
      <c r="G48" s="13">
        <v>0</v>
      </c>
      <c r="H48" s="7"/>
      <c r="I48" s="7">
        <v>20000000</v>
      </c>
      <c r="J48" s="7"/>
      <c r="K48" s="7">
        <f t="shared" si="1"/>
        <v>20000000</v>
      </c>
      <c r="L48" s="2"/>
      <c r="M48" s="7"/>
      <c r="P48" s="9"/>
      <c r="Q48" s="9"/>
      <c r="R48" s="9"/>
    </row>
    <row r="49" spans="1:18" ht="11.25" customHeight="1" x14ac:dyDescent="0.2">
      <c r="A49" s="8"/>
      <c r="B49" s="475" t="s">
        <v>613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7"/>
      <c r="I49" s="7"/>
      <c r="J49" s="7"/>
      <c r="K49" s="7">
        <f t="shared" si="1"/>
        <v>0</v>
      </c>
      <c r="L49" s="2"/>
      <c r="M49" s="7"/>
      <c r="P49" s="9"/>
      <c r="Q49" s="9"/>
      <c r="R49" s="9"/>
    </row>
    <row r="50" spans="1:18" ht="11.25" customHeight="1" x14ac:dyDescent="0.2">
      <c r="A50" s="8"/>
      <c r="B50" s="474" t="s">
        <v>614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7"/>
      <c r="I50" s="7"/>
      <c r="J50" s="7"/>
      <c r="K50" s="7">
        <f t="shared" si="1"/>
        <v>0</v>
      </c>
      <c r="L50" s="2"/>
      <c r="M50" s="7"/>
      <c r="P50" s="9"/>
      <c r="Q50" s="9"/>
      <c r="R50" s="9"/>
    </row>
    <row r="51" spans="1:18" ht="11.25" customHeight="1" x14ac:dyDescent="0.2">
      <c r="A51" s="8"/>
      <c r="B51" s="474" t="s">
        <v>702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7"/>
      <c r="I51" s="7">
        <v>0</v>
      </c>
      <c r="J51" s="7"/>
      <c r="K51" s="7">
        <f t="shared" si="1"/>
        <v>0</v>
      </c>
      <c r="L51" s="2"/>
      <c r="M51" s="7"/>
      <c r="P51" s="9"/>
      <c r="Q51" s="9"/>
      <c r="R51" s="9"/>
    </row>
    <row r="52" spans="1:18" ht="11.25" customHeight="1" x14ac:dyDescent="0.2">
      <c r="A52" s="8"/>
      <c r="B52" s="474" t="s">
        <v>619</v>
      </c>
      <c r="C52" s="5">
        <f>C53+C54+C55</f>
        <v>17410</v>
      </c>
      <c r="D52" s="5">
        <f>D53+D54+D55</f>
        <v>0</v>
      </c>
      <c r="E52" s="5">
        <f>E53+E54+E55</f>
        <v>2320</v>
      </c>
      <c r="F52" s="5">
        <f>F53+F54+F55</f>
        <v>0</v>
      </c>
      <c r="G52" s="5">
        <f>G53+G54+G55</f>
        <v>0</v>
      </c>
      <c r="H52" s="7"/>
      <c r="I52" s="5">
        <f>I53+I54+I55</f>
        <v>2320290</v>
      </c>
      <c r="J52" s="5"/>
      <c r="K52" s="5">
        <f t="shared" ref="K52" si="11">K53+K54+K55</f>
        <v>2320290</v>
      </c>
      <c r="L52" s="2"/>
      <c r="M52" s="7"/>
      <c r="P52" s="9"/>
      <c r="Q52" s="9"/>
      <c r="R52" s="9"/>
    </row>
    <row r="53" spans="1:18" x14ac:dyDescent="0.2">
      <c r="A53" s="8"/>
      <c r="B53" s="474" t="s">
        <v>615</v>
      </c>
      <c r="C53" s="13">
        <v>0</v>
      </c>
      <c r="D53" s="13">
        <v>0</v>
      </c>
      <c r="E53" s="13">
        <v>2320</v>
      </c>
      <c r="F53" s="13">
        <v>0</v>
      </c>
      <c r="G53" s="13">
        <v>0</v>
      </c>
      <c r="H53" s="7"/>
      <c r="I53" s="7">
        <v>2320290</v>
      </c>
      <c r="J53" s="7"/>
      <c r="K53" s="7">
        <f t="shared" si="1"/>
        <v>2320290</v>
      </c>
      <c r="L53" s="2"/>
      <c r="M53" s="7"/>
      <c r="P53" s="9"/>
      <c r="Q53" s="9"/>
      <c r="R53" s="9"/>
    </row>
    <row r="54" spans="1:18" x14ac:dyDescent="0.2">
      <c r="A54" s="8"/>
      <c r="B54" s="474" t="s">
        <v>618</v>
      </c>
      <c r="C54" s="13">
        <v>17410</v>
      </c>
      <c r="D54" s="13">
        <f>17410-17410</f>
        <v>0</v>
      </c>
      <c r="E54" s="13">
        <f>17410-17410</f>
        <v>0</v>
      </c>
      <c r="F54" s="13">
        <f>17410-17410</f>
        <v>0</v>
      </c>
      <c r="G54" s="13">
        <f>17410-17410</f>
        <v>0</v>
      </c>
      <c r="H54" s="7"/>
      <c r="I54" s="7">
        <f>466-466</f>
        <v>0</v>
      </c>
      <c r="J54" s="7"/>
      <c r="K54" s="7">
        <f t="shared" si="1"/>
        <v>0</v>
      </c>
      <c r="L54" s="7"/>
      <c r="M54" s="7"/>
      <c r="P54" s="9"/>
      <c r="Q54" s="9"/>
      <c r="R54" s="9"/>
    </row>
    <row r="55" spans="1:18" x14ac:dyDescent="0.2">
      <c r="A55" s="8"/>
      <c r="B55" s="474" t="s">
        <v>616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7"/>
      <c r="I55" s="7"/>
      <c r="J55" s="7"/>
      <c r="K55" s="7">
        <f t="shared" si="1"/>
        <v>0</v>
      </c>
      <c r="L55" s="2"/>
      <c r="M55" s="7"/>
      <c r="P55" s="9"/>
      <c r="Q55" s="9"/>
      <c r="R55" s="9"/>
    </row>
    <row r="56" spans="1:18" x14ac:dyDescent="0.2">
      <c r="A56" s="8"/>
      <c r="B56" s="474" t="s">
        <v>620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7"/>
      <c r="I56" s="7"/>
      <c r="J56" s="7"/>
      <c r="K56" s="7">
        <f t="shared" si="1"/>
        <v>0</v>
      </c>
      <c r="L56" s="2"/>
      <c r="M56" s="7"/>
      <c r="P56" s="9"/>
      <c r="Q56" s="9"/>
      <c r="R56" s="9"/>
    </row>
    <row r="57" spans="1:18" hidden="1" x14ac:dyDescent="0.2">
      <c r="A57" s="8"/>
      <c r="B57" s="474" t="s">
        <v>644</v>
      </c>
      <c r="C57" s="13"/>
      <c r="D57" s="13"/>
      <c r="E57" s="13"/>
      <c r="F57" s="13"/>
      <c r="G57" s="13"/>
      <c r="H57" s="7"/>
      <c r="I57" s="7"/>
      <c r="J57" s="7"/>
      <c r="K57" s="7">
        <f t="shared" si="1"/>
        <v>0</v>
      </c>
      <c r="L57" s="2"/>
      <c r="M57" s="7"/>
      <c r="P57" s="9"/>
      <c r="Q57" s="9"/>
      <c r="R57" s="9"/>
    </row>
    <row r="58" spans="1:18" ht="13.5" customHeight="1" x14ac:dyDescent="0.2">
      <c r="A58" s="8" t="s">
        <v>205</v>
      </c>
      <c r="B58" s="14" t="s">
        <v>917</v>
      </c>
      <c r="C58" s="5">
        <f>(91+5)+(187+19)-945+(1204+192)-(108+10)</f>
        <v>635</v>
      </c>
      <c r="D58" s="5">
        <f>(91+5)+(187+19)-945+(1204+192)-(108+10)+8</f>
        <v>643</v>
      </c>
      <c r="E58" s="5">
        <f>(91+5)+(187+19)-945+(1204+192)-(108+10)+8</f>
        <v>643</v>
      </c>
      <c r="F58" s="5">
        <f>(91+5)+(187+19)-945+(1204+192)-(108+10)+8</f>
        <v>643</v>
      </c>
      <c r="G58" s="5">
        <f>(91+5)+(187+19)-945+(1204+192)-(108+10)+8</f>
        <v>643</v>
      </c>
      <c r="H58" s="5">
        <f t="shared" ref="H58" si="12">(33-98+1982+136)+(6-10+426+12)</f>
        <v>2487</v>
      </c>
      <c r="I58" s="5">
        <f>634380+7947</f>
        <v>642327</v>
      </c>
      <c r="J58" s="5"/>
      <c r="K58" s="512">
        <f>I58+J58</f>
        <v>642327</v>
      </c>
      <c r="L58" s="5">
        <f>2052860+434068</f>
        <v>2486928</v>
      </c>
      <c r="M58" s="7"/>
      <c r="P58" s="9"/>
      <c r="Q58" s="9"/>
      <c r="R58" s="9"/>
    </row>
    <row r="59" spans="1:18" ht="15" x14ac:dyDescent="0.25">
      <c r="A59" s="8" t="s">
        <v>161</v>
      </c>
      <c r="B59" s="14" t="s">
        <v>617</v>
      </c>
      <c r="C59" s="36">
        <f>SUM(C60:C70)</f>
        <v>67216</v>
      </c>
      <c r="D59" s="36">
        <f>SUM(D60:D70)</f>
        <v>68653</v>
      </c>
      <c r="E59" s="36">
        <f>SUM(E60:E70)</f>
        <v>70486</v>
      </c>
      <c r="F59" s="36">
        <f>SUM(F60:F70)</f>
        <v>68653</v>
      </c>
      <c r="G59" s="36">
        <f>SUM(G60:G70)</f>
        <v>68653</v>
      </c>
      <c r="H59" s="7"/>
      <c r="I59" s="36">
        <f>SUM(I60:I70)</f>
        <v>70486019</v>
      </c>
      <c r="J59" s="36"/>
      <c r="K59" s="36">
        <f t="shared" ref="K59" si="13">SUM(K60:K70)</f>
        <v>70486019</v>
      </c>
      <c r="L59" s="2"/>
      <c r="M59" s="7"/>
      <c r="P59" s="9"/>
      <c r="Q59" s="9"/>
      <c r="R59" s="9"/>
    </row>
    <row r="60" spans="1:18" hidden="1" x14ac:dyDescent="0.2">
      <c r="A60" s="8" t="s">
        <v>116</v>
      </c>
      <c r="B60" s="8" t="s">
        <v>767</v>
      </c>
      <c r="C60" s="77">
        <v>0</v>
      </c>
      <c r="D60" s="77">
        <v>0</v>
      </c>
      <c r="E60" s="77">
        <v>0</v>
      </c>
      <c r="F60" s="77">
        <v>0</v>
      </c>
      <c r="G60" s="77">
        <v>0</v>
      </c>
      <c r="H60" s="7"/>
      <c r="I60" s="7">
        <v>0</v>
      </c>
      <c r="J60" s="7"/>
      <c r="K60" s="7">
        <f t="shared" si="1"/>
        <v>0</v>
      </c>
      <c r="L60" s="2"/>
      <c r="M60" s="7"/>
      <c r="P60" s="9"/>
      <c r="Q60" s="9"/>
      <c r="R60" s="9"/>
    </row>
    <row r="61" spans="1:18" x14ac:dyDescent="0.2">
      <c r="A61" s="8" t="s">
        <v>116</v>
      </c>
      <c r="B61" s="8" t="s">
        <v>1004</v>
      </c>
      <c r="C61" s="77">
        <f>118+644+109</f>
        <v>871</v>
      </c>
      <c r="D61" s="77">
        <f>118+644+109</f>
        <v>871</v>
      </c>
      <c r="E61" s="77">
        <f>118+644+109</f>
        <v>871</v>
      </c>
      <c r="F61" s="77">
        <f>118+644+109</f>
        <v>871</v>
      </c>
      <c r="G61" s="77">
        <f>118+644+109</f>
        <v>871</v>
      </c>
      <c r="H61" s="7"/>
      <c r="I61" s="7">
        <f>(108012+10428)+(945000-187076-18524-91000-4900)+(109050)+29</f>
        <v>871019</v>
      </c>
      <c r="J61" s="7"/>
      <c r="K61" s="7">
        <f t="shared" si="1"/>
        <v>871019</v>
      </c>
      <c r="L61" s="7">
        <f>97680+10332+29220</f>
        <v>137232</v>
      </c>
      <c r="M61" s="7"/>
      <c r="P61" s="9"/>
      <c r="Q61" s="9"/>
      <c r="R61" s="9"/>
    </row>
    <row r="62" spans="1:18" x14ac:dyDescent="0.2">
      <c r="A62" s="8" t="s">
        <v>116</v>
      </c>
      <c r="B62" s="8" t="s">
        <v>859</v>
      </c>
      <c r="C62" s="77">
        <f>(2500+2500+2500+13500+(2500+1500)+(2500+2821))+(1500+1500+1500+3000+1500+1500)+(10023+1500+1500)+1500+1</f>
        <v>55345</v>
      </c>
      <c r="D62" s="77">
        <f>(2500+2500+2500+13500+(2500+1500)+(2500+2821))+(1500+1500+1500+3000+1500+1500)+(10023+1500+1500)+1500+1</f>
        <v>55345</v>
      </c>
      <c r="E62" s="77">
        <f>(2500+2500+2500+13500+(2500+1500)+(2500+2821))+(1500+1500+1500+3000+1500+1500)+(10023+1500+1500)+1500+1</f>
        <v>55345</v>
      </c>
      <c r="F62" s="77">
        <f>(2500+2500+2500+13500+(2500+1500)+(2500+2821))+(1500+1500+1500+3000+1500+1500)+(10023+1500+1500)+1500+1</f>
        <v>55345</v>
      </c>
      <c r="G62" s="77">
        <f>(2500+2500+2500+13500+(2500+1500)+(2500+2821))+(1500+1500+1500+3000+1500+1500)+(10023+1500+1500)+1500+1</f>
        <v>55345</v>
      </c>
      <c r="H62" s="7"/>
      <c r="I62" s="7">
        <f>(2500000+2500000+2500000+13500000+(2500000+1500000)+(2500000+2821149))+(1500000+1500000+1500000+3000000+1500000+1500000)+(10023651+1500000+1500000)+1500000+200</f>
        <v>55345000</v>
      </c>
      <c r="J62" s="7"/>
      <c r="K62" s="7">
        <f t="shared" si="1"/>
        <v>55345000</v>
      </c>
      <c r="L62" s="2" t="s">
        <v>717</v>
      </c>
      <c r="M62" s="7"/>
      <c r="P62" s="9"/>
      <c r="Q62" s="9"/>
      <c r="R62" s="9"/>
    </row>
    <row r="63" spans="1:18" x14ac:dyDescent="0.2">
      <c r="A63" s="8" t="s">
        <v>116</v>
      </c>
      <c r="B63" s="8" t="s">
        <v>628</v>
      </c>
      <c r="C63" s="77">
        <v>4000</v>
      </c>
      <c r="D63" s="77">
        <v>4000</v>
      </c>
      <c r="E63" s="77">
        <v>4000</v>
      </c>
      <c r="F63" s="77">
        <v>4000</v>
      </c>
      <c r="G63" s="77">
        <v>4000</v>
      </c>
      <c r="H63" s="7"/>
      <c r="I63" s="7">
        <v>4000000</v>
      </c>
      <c r="J63" s="7"/>
      <c r="K63" s="7">
        <f t="shared" si="1"/>
        <v>4000000</v>
      </c>
      <c r="L63" s="2"/>
      <c r="M63" s="7"/>
      <c r="P63" s="9"/>
      <c r="Q63" s="9"/>
      <c r="R63" s="9"/>
    </row>
    <row r="64" spans="1:18" x14ac:dyDescent="0.2">
      <c r="A64" s="8" t="s">
        <v>116</v>
      </c>
      <c r="B64" s="8" t="s">
        <v>979</v>
      </c>
      <c r="C64" s="77">
        <v>7000</v>
      </c>
      <c r="D64" s="77">
        <f>7000+1437</f>
        <v>8437</v>
      </c>
      <c r="E64" s="77">
        <f>7000+1437+278</f>
        <v>8715</v>
      </c>
      <c r="F64" s="77">
        <f>7000+1437</f>
        <v>8437</v>
      </c>
      <c r="G64" s="77">
        <f>7000+1437</f>
        <v>8437</v>
      </c>
      <c r="H64" s="7"/>
      <c r="I64" s="7">
        <f>7000000+1437000+278239</f>
        <v>8715239</v>
      </c>
      <c r="J64" s="7"/>
      <c r="K64" s="7">
        <f t="shared" si="1"/>
        <v>8715239</v>
      </c>
      <c r="L64" s="2"/>
      <c r="M64" s="7"/>
      <c r="P64" s="9"/>
      <c r="Q64" s="9"/>
      <c r="R64" s="9"/>
    </row>
    <row r="65" spans="1:18" x14ac:dyDescent="0.2">
      <c r="A65" s="8" t="s">
        <v>116</v>
      </c>
      <c r="B65" s="8" t="s">
        <v>1187</v>
      </c>
      <c r="C65" s="77">
        <v>0</v>
      </c>
      <c r="D65" s="77">
        <v>0</v>
      </c>
      <c r="E65" s="77">
        <v>1555</v>
      </c>
      <c r="F65" s="77"/>
      <c r="G65" s="77"/>
      <c r="H65" s="7"/>
      <c r="I65" s="7">
        <f>1554184+577</f>
        <v>1554761</v>
      </c>
      <c r="J65" s="7"/>
      <c r="K65" s="7">
        <f t="shared" si="1"/>
        <v>1554761</v>
      </c>
      <c r="L65" s="2"/>
      <c r="M65" s="7"/>
      <c r="P65" s="9"/>
      <c r="Q65" s="9"/>
      <c r="R65" s="9"/>
    </row>
    <row r="66" spans="1:18" hidden="1" x14ac:dyDescent="0.2">
      <c r="A66" s="8" t="s">
        <v>116</v>
      </c>
      <c r="B66" s="8"/>
      <c r="C66" s="77"/>
      <c r="D66" s="77"/>
      <c r="E66" s="77"/>
      <c r="F66" s="77"/>
      <c r="G66" s="77"/>
      <c r="H66" s="7"/>
      <c r="I66" s="7">
        <v>0</v>
      </c>
      <c r="J66" s="7"/>
      <c r="K66" s="7">
        <f t="shared" si="1"/>
        <v>0</v>
      </c>
      <c r="L66" s="2"/>
      <c r="M66" s="7"/>
      <c r="P66" s="9"/>
      <c r="Q66" s="9"/>
      <c r="R66" s="9"/>
    </row>
    <row r="67" spans="1:18" hidden="1" x14ac:dyDescent="0.2">
      <c r="A67" s="8" t="s">
        <v>116</v>
      </c>
      <c r="B67" s="8" t="s">
        <v>857</v>
      </c>
      <c r="C67" s="77"/>
      <c r="D67" s="77"/>
      <c r="E67" s="77"/>
      <c r="F67" s="77"/>
      <c r="G67" s="77"/>
      <c r="H67" s="7"/>
      <c r="I67" s="7">
        <v>0</v>
      </c>
      <c r="J67" s="7"/>
      <c r="K67" s="7">
        <f t="shared" si="1"/>
        <v>0</v>
      </c>
      <c r="L67" s="2"/>
      <c r="M67" s="7"/>
      <c r="P67" s="9"/>
      <c r="Q67" s="9"/>
      <c r="R67" s="9"/>
    </row>
    <row r="68" spans="1:18" hidden="1" x14ac:dyDescent="0.2">
      <c r="A68" s="8" t="s">
        <v>116</v>
      </c>
      <c r="B68" s="8" t="s">
        <v>725</v>
      </c>
      <c r="C68" s="77"/>
      <c r="D68" s="77"/>
      <c r="E68" s="77"/>
      <c r="F68" s="77"/>
      <c r="G68" s="77"/>
      <c r="H68" s="7"/>
      <c r="I68" s="7">
        <v>0</v>
      </c>
      <c r="J68" s="7"/>
      <c r="K68" s="7">
        <f t="shared" si="1"/>
        <v>0</v>
      </c>
      <c r="L68" s="2"/>
      <c r="M68" s="7"/>
      <c r="P68" s="9"/>
      <c r="Q68" s="9"/>
      <c r="R68" s="9"/>
    </row>
    <row r="69" spans="1:18" hidden="1" x14ac:dyDescent="0.2">
      <c r="A69" s="8" t="s">
        <v>116</v>
      </c>
      <c r="B69" s="8" t="s">
        <v>718</v>
      </c>
      <c r="C69" s="37"/>
      <c r="D69" s="37"/>
      <c r="E69" s="37"/>
      <c r="F69" s="37"/>
      <c r="G69" s="37"/>
      <c r="H69" s="160"/>
      <c r="I69" s="7">
        <v>0</v>
      </c>
      <c r="J69" s="7"/>
      <c r="K69" s="7">
        <f t="shared" si="1"/>
        <v>0</v>
      </c>
      <c r="L69" s="2"/>
      <c r="M69" s="7"/>
      <c r="P69" s="9"/>
      <c r="Q69" s="9"/>
      <c r="R69" s="9"/>
    </row>
    <row r="70" spans="1:18" hidden="1" x14ac:dyDescent="0.2">
      <c r="A70" s="8" t="s">
        <v>116</v>
      </c>
      <c r="B70" s="8" t="s">
        <v>768</v>
      </c>
      <c r="C70" s="37"/>
      <c r="D70" s="37"/>
      <c r="E70" s="37"/>
      <c r="F70" s="37"/>
      <c r="G70" s="37"/>
      <c r="H70" s="160"/>
      <c r="I70" s="7"/>
      <c r="J70" s="7"/>
      <c r="K70" s="7">
        <f t="shared" si="1"/>
        <v>0</v>
      </c>
      <c r="L70" s="2"/>
      <c r="M70" s="7"/>
      <c r="P70" s="9"/>
      <c r="Q70" s="9"/>
      <c r="R70" s="9"/>
    </row>
    <row r="71" spans="1:18" ht="18" customHeight="1" x14ac:dyDescent="0.25">
      <c r="A71" s="14" t="s">
        <v>131</v>
      </c>
      <c r="B71" s="22" t="s">
        <v>218</v>
      </c>
      <c r="C71" s="155">
        <f>SUM(C75+C79+C83)</f>
        <v>538820</v>
      </c>
      <c r="D71" s="155">
        <f>SUM(D75+D79+D83)</f>
        <v>541320</v>
      </c>
      <c r="E71" s="155">
        <f>SUM(E75+E79+E83)</f>
        <v>541320</v>
      </c>
      <c r="F71" s="155">
        <f>SUM(F75+F79+F83)</f>
        <v>541320</v>
      </c>
      <c r="G71" s="155">
        <f>SUM(G75+G79+G83)</f>
        <v>541320</v>
      </c>
      <c r="H71" s="160"/>
      <c r="I71" s="160"/>
      <c r="J71" s="160"/>
      <c r="K71" s="160"/>
      <c r="L71" s="2"/>
      <c r="M71" s="7"/>
      <c r="P71" s="9"/>
      <c r="Q71" s="9"/>
      <c r="R71" s="9"/>
    </row>
    <row r="72" spans="1:18" ht="13.5" hidden="1" customHeight="1" x14ac:dyDescent="0.2">
      <c r="A72" s="8" t="s">
        <v>132</v>
      </c>
      <c r="B72" s="8" t="s">
        <v>138</v>
      </c>
      <c r="C72" s="11"/>
      <c r="D72" s="11"/>
      <c r="E72" s="11"/>
      <c r="F72" s="11"/>
      <c r="G72" s="11"/>
      <c r="H72" s="160"/>
      <c r="I72" s="160"/>
      <c r="J72" s="160"/>
      <c r="K72" s="160"/>
      <c r="L72" s="2"/>
      <c r="M72" s="7"/>
      <c r="P72" s="9"/>
      <c r="Q72" s="9"/>
      <c r="R72" s="9"/>
    </row>
    <row r="73" spans="1:18" ht="13.5" hidden="1" customHeight="1" x14ac:dyDescent="0.2">
      <c r="A73" s="8" t="s">
        <v>133</v>
      </c>
      <c r="B73" s="8" t="s">
        <v>139</v>
      </c>
      <c r="C73" s="11"/>
      <c r="D73" s="11"/>
      <c r="E73" s="11"/>
      <c r="F73" s="11"/>
      <c r="G73" s="11"/>
      <c r="H73" s="160"/>
      <c r="I73" s="160"/>
      <c r="J73" s="160"/>
      <c r="K73" s="160"/>
      <c r="L73" s="2"/>
      <c r="M73" s="7"/>
      <c r="P73" s="9"/>
      <c r="Q73" s="9"/>
      <c r="R73" s="9"/>
    </row>
    <row r="74" spans="1:18" ht="13.5" hidden="1" customHeight="1" x14ac:dyDescent="0.2">
      <c r="A74" s="8" t="s">
        <v>134</v>
      </c>
      <c r="B74" s="19" t="s">
        <v>140</v>
      </c>
      <c r="C74" s="11"/>
      <c r="D74" s="11"/>
      <c r="E74" s="11"/>
      <c r="F74" s="11"/>
      <c r="G74" s="11"/>
      <c r="H74" s="160"/>
      <c r="I74" s="160"/>
      <c r="J74" s="160"/>
      <c r="K74" s="160"/>
      <c r="L74" s="2"/>
      <c r="M74" s="7"/>
      <c r="P74" s="9"/>
      <c r="Q74" s="9"/>
      <c r="R74" s="9"/>
    </row>
    <row r="75" spans="1:18" ht="13.5" customHeight="1" x14ac:dyDescent="0.2">
      <c r="A75" s="8" t="s">
        <v>135</v>
      </c>
      <c r="B75" s="8" t="s">
        <v>411</v>
      </c>
      <c r="C75" s="154">
        <f>SUM(C76:C78)</f>
        <v>359500</v>
      </c>
      <c r="D75" s="154">
        <f>SUM(D76:D78)</f>
        <v>359500</v>
      </c>
      <c r="E75" s="154">
        <f>SUM(E76:E78)</f>
        <v>359500</v>
      </c>
      <c r="F75" s="154">
        <f>SUM(F76:F78)</f>
        <v>359500</v>
      </c>
      <c r="G75" s="154">
        <f>SUM(G76:G78)</f>
        <v>359500</v>
      </c>
      <c r="H75" s="160"/>
      <c r="I75" s="160"/>
      <c r="J75" s="160"/>
      <c r="K75" s="160"/>
      <c r="L75" s="2"/>
      <c r="M75" s="7"/>
      <c r="P75" s="9"/>
      <c r="Q75" s="9"/>
      <c r="R75" s="9"/>
    </row>
    <row r="76" spans="1:18" ht="13.5" customHeight="1" x14ac:dyDescent="0.2">
      <c r="A76" s="8"/>
      <c r="B76" s="147" t="s">
        <v>412</v>
      </c>
      <c r="C76" s="37">
        <v>340000</v>
      </c>
      <c r="D76" s="37">
        <v>340000</v>
      </c>
      <c r="E76" s="37">
        <v>340000</v>
      </c>
      <c r="F76" s="37">
        <v>340000</v>
      </c>
      <c r="G76" s="37">
        <v>340000</v>
      </c>
      <c r="H76" s="7"/>
      <c r="I76" s="7"/>
      <c r="J76" s="7"/>
      <c r="K76" s="7"/>
      <c r="L76" s="2"/>
      <c r="M76" s="7"/>
      <c r="P76" s="9"/>
      <c r="Q76" s="9"/>
      <c r="R76" s="9"/>
    </row>
    <row r="77" spans="1:18" ht="13.5" customHeight="1" x14ac:dyDescent="0.2">
      <c r="A77" s="8"/>
      <c r="B77" s="147" t="s">
        <v>481</v>
      </c>
      <c r="C77" s="37">
        <v>9500</v>
      </c>
      <c r="D77" s="37">
        <v>9500</v>
      </c>
      <c r="E77" s="37">
        <v>9500</v>
      </c>
      <c r="F77" s="37">
        <v>9500</v>
      </c>
      <c r="G77" s="37">
        <v>9500</v>
      </c>
      <c r="H77" s="7"/>
      <c r="I77" s="7"/>
      <c r="J77" s="7"/>
      <c r="K77" s="7"/>
      <c r="L77" s="2"/>
      <c r="M77" s="7"/>
      <c r="P77" s="9"/>
      <c r="Q77" s="9"/>
      <c r="R77" s="9"/>
    </row>
    <row r="78" spans="1:18" ht="13.5" customHeight="1" x14ac:dyDescent="0.2">
      <c r="A78" s="8"/>
      <c r="B78" s="147" t="s">
        <v>482</v>
      </c>
      <c r="C78" s="37">
        <v>10000</v>
      </c>
      <c r="D78" s="37">
        <v>10000</v>
      </c>
      <c r="E78" s="37">
        <v>10000</v>
      </c>
      <c r="F78" s="37">
        <v>10000</v>
      </c>
      <c r="G78" s="37">
        <v>10000</v>
      </c>
      <c r="H78" s="7"/>
      <c r="I78" s="7"/>
      <c r="J78" s="7"/>
      <c r="K78" s="7"/>
      <c r="L78" s="2"/>
      <c r="M78" s="7"/>
      <c r="P78" s="9"/>
      <c r="Q78" s="9"/>
      <c r="R78" s="9"/>
    </row>
    <row r="79" spans="1:18" s="48" customFormat="1" ht="13.5" customHeight="1" x14ac:dyDescent="0.2">
      <c r="A79" s="8" t="s">
        <v>136</v>
      </c>
      <c r="B79" s="8" t="s">
        <v>219</v>
      </c>
      <c r="C79" s="6">
        <f>SUM(C80:C82)</f>
        <v>172500</v>
      </c>
      <c r="D79" s="6">
        <f>SUM(D80:D82)</f>
        <v>172500</v>
      </c>
      <c r="E79" s="6">
        <f>SUM(E80:E82)</f>
        <v>172500</v>
      </c>
      <c r="F79" s="6">
        <f>SUM(F80:F82)</f>
        <v>172500</v>
      </c>
      <c r="G79" s="6">
        <f>SUM(G80:G82)</f>
        <v>172500</v>
      </c>
      <c r="H79" s="7"/>
      <c r="I79" s="7"/>
      <c r="J79" s="7"/>
      <c r="K79" s="7"/>
      <c r="L79" s="2"/>
      <c r="M79" s="27"/>
      <c r="N79" s="9"/>
      <c r="O79" s="9"/>
      <c r="P79" s="9"/>
      <c r="Q79" s="9"/>
      <c r="R79" s="9"/>
    </row>
    <row r="80" spans="1:18" s="48" customFormat="1" ht="13.5" customHeight="1" x14ac:dyDescent="0.2">
      <c r="A80" s="8"/>
      <c r="B80" s="147" t="s">
        <v>220</v>
      </c>
      <c r="C80" s="11">
        <v>122500</v>
      </c>
      <c r="D80" s="11">
        <v>122500</v>
      </c>
      <c r="E80" s="11">
        <v>122500</v>
      </c>
      <c r="F80" s="11">
        <v>122500</v>
      </c>
      <c r="G80" s="11">
        <v>122500</v>
      </c>
      <c r="H80" s="483"/>
      <c r="I80" s="483"/>
      <c r="J80" s="483"/>
      <c r="K80" s="483"/>
      <c r="L80" s="2"/>
      <c r="M80" s="27"/>
      <c r="N80" s="9"/>
      <c r="O80" s="9"/>
      <c r="P80" s="9"/>
      <c r="Q80" s="9"/>
      <c r="R80" s="9"/>
    </row>
    <row r="81" spans="1:18" s="48" customFormat="1" ht="13.5" hidden="1" customHeight="1" x14ac:dyDescent="0.2">
      <c r="A81" s="8"/>
      <c r="B81" s="147" t="s">
        <v>413</v>
      </c>
      <c r="C81" s="11"/>
      <c r="D81" s="11"/>
      <c r="E81" s="11"/>
      <c r="F81" s="11"/>
      <c r="G81" s="11"/>
      <c r="H81" s="7"/>
      <c r="I81" s="7"/>
      <c r="J81" s="7"/>
      <c r="K81" s="7"/>
      <c r="L81" s="2"/>
      <c r="M81" s="27"/>
      <c r="N81" s="9"/>
      <c r="O81" s="9"/>
      <c r="P81" s="9"/>
      <c r="Q81" s="9"/>
      <c r="R81" s="9"/>
    </row>
    <row r="82" spans="1:18" s="48" customFormat="1" ht="13.5" customHeight="1" x14ac:dyDescent="0.2">
      <c r="A82" s="8"/>
      <c r="B82" s="147" t="s">
        <v>645</v>
      </c>
      <c r="C82" s="11">
        <v>50000</v>
      </c>
      <c r="D82" s="11">
        <v>50000</v>
      </c>
      <c r="E82" s="11">
        <v>50000</v>
      </c>
      <c r="F82" s="11">
        <v>50000</v>
      </c>
      <c r="G82" s="11">
        <v>50000</v>
      </c>
      <c r="H82" s="455"/>
      <c r="I82" s="455"/>
      <c r="J82" s="455"/>
      <c r="K82" s="455"/>
      <c r="L82" s="2"/>
      <c r="M82" s="27"/>
      <c r="N82" s="9"/>
      <c r="O82" s="9"/>
      <c r="P82" s="9"/>
      <c r="Q82" s="9"/>
      <c r="R82" s="9"/>
    </row>
    <row r="83" spans="1:18" s="48" customFormat="1" ht="13.5" customHeight="1" x14ac:dyDescent="0.2">
      <c r="A83" s="14" t="s">
        <v>137</v>
      </c>
      <c r="B83" s="203" t="s">
        <v>913</v>
      </c>
      <c r="C83" s="524">
        <f>(2700+3000)+1120</f>
        <v>6820</v>
      </c>
      <c r="D83" s="524">
        <f>(2700+(3000+2500))+1120</f>
        <v>9320</v>
      </c>
      <c r="E83" s="524">
        <f>(2700+(3000+2500))+1120</f>
        <v>9320</v>
      </c>
      <c r="F83" s="524">
        <f>(2700+(3000+2500))+1120</f>
        <v>9320</v>
      </c>
      <c r="G83" s="524">
        <f>(2700+(3000+2500))+1120</f>
        <v>9320</v>
      </c>
      <c r="H83" s="7"/>
      <c r="I83" s="7"/>
      <c r="J83" s="7"/>
      <c r="K83" s="7"/>
      <c r="L83" s="2"/>
      <c r="M83" s="27"/>
      <c r="N83" s="9"/>
      <c r="O83" s="9"/>
      <c r="P83" s="9"/>
      <c r="Q83" s="9"/>
      <c r="R83" s="9"/>
    </row>
    <row r="84" spans="1:18" s="48" customFormat="1" ht="18" customHeight="1" x14ac:dyDescent="0.25">
      <c r="A84" s="14" t="s">
        <v>142</v>
      </c>
      <c r="B84" s="22" t="s">
        <v>221</v>
      </c>
      <c r="C84" s="41">
        <f>SUM(C85:C95)</f>
        <v>125200</v>
      </c>
      <c r="D84" s="41">
        <f>SUM(D85:D95)</f>
        <v>125211</v>
      </c>
      <c r="E84" s="41">
        <f>SUM(E85:E95)</f>
        <v>117626</v>
      </c>
      <c r="F84" s="41">
        <f>SUM(F85:F95)</f>
        <v>125211</v>
      </c>
      <c r="G84" s="41">
        <f>SUM(G85:G95)</f>
        <v>125211</v>
      </c>
      <c r="H84" s="7"/>
      <c r="I84" s="7"/>
      <c r="J84" s="7"/>
      <c r="K84" s="7"/>
      <c r="L84" s="2"/>
      <c r="M84" s="27"/>
      <c r="N84" s="9"/>
      <c r="O84" s="9"/>
      <c r="P84" s="9"/>
      <c r="Q84" s="9"/>
      <c r="R84" s="9"/>
    </row>
    <row r="85" spans="1:18" x14ac:dyDescent="0.2">
      <c r="A85" s="8" t="s">
        <v>145</v>
      </c>
      <c r="B85" s="8" t="s">
        <v>222</v>
      </c>
      <c r="C85" s="13">
        <v>100</v>
      </c>
      <c r="D85" s="13">
        <v>100</v>
      </c>
      <c r="E85" s="13">
        <v>100</v>
      </c>
      <c r="F85" s="13">
        <v>100</v>
      </c>
      <c r="G85" s="13">
        <v>100</v>
      </c>
      <c r="H85" s="7"/>
      <c r="I85" s="7"/>
      <c r="J85" s="7"/>
      <c r="K85" s="7"/>
      <c r="L85" s="2"/>
      <c r="M85" s="27"/>
      <c r="N85" s="9"/>
      <c r="O85" s="9"/>
      <c r="P85" s="9"/>
      <c r="Q85" s="9"/>
      <c r="R85" s="9"/>
    </row>
    <row r="86" spans="1:18" s="48" customFormat="1" x14ac:dyDescent="0.2">
      <c r="A86" s="8" t="s">
        <v>146</v>
      </c>
      <c r="B86" s="8" t="s">
        <v>223</v>
      </c>
      <c r="C86" s="13">
        <v>0</v>
      </c>
      <c r="D86" s="13">
        <v>0</v>
      </c>
      <c r="E86" s="13">
        <v>250</v>
      </c>
      <c r="F86" s="13">
        <v>0</v>
      </c>
      <c r="G86" s="13">
        <v>0</v>
      </c>
      <c r="H86" s="7"/>
      <c r="I86" s="7"/>
      <c r="J86" s="7"/>
      <c r="K86" s="7"/>
      <c r="L86" s="2"/>
      <c r="M86" s="27"/>
      <c r="N86" s="9"/>
      <c r="O86" s="9"/>
      <c r="P86" s="9"/>
      <c r="Q86" s="9"/>
      <c r="R86" s="9"/>
    </row>
    <row r="87" spans="1:18" s="48" customFormat="1" ht="12.75" customHeight="1" x14ac:dyDescent="0.2">
      <c r="A87" s="8" t="s">
        <v>147</v>
      </c>
      <c r="B87" s="8" t="s">
        <v>224</v>
      </c>
      <c r="C87" s="13">
        <f>(12600+3000)</f>
        <v>15600</v>
      </c>
      <c r="D87" s="13">
        <f>(12600+3000)</f>
        <v>15600</v>
      </c>
      <c r="E87" s="13">
        <f>(12600+3000)-250</f>
        <v>15350</v>
      </c>
      <c r="F87" s="13">
        <f>(12600+3000)</f>
        <v>15600</v>
      </c>
      <c r="G87" s="13">
        <f>(12600+3000)</f>
        <v>15600</v>
      </c>
      <c r="H87" s="7"/>
      <c r="I87" s="7" t="s">
        <v>915</v>
      </c>
      <c r="J87" s="7"/>
      <c r="K87" s="7"/>
      <c r="L87" s="2"/>
      <c r="M87" s="27"/>
      <c r="N87" s="9"/>
      <c r="O87" s="9"/>
      <c r="P87" s="9"/>
      <c r="Q87" s="9"/>
      <c r="R87" s="9"/>
    </row>
    <row r="88" spans="1:18" ht="13.5" customHeight="1" x14ac:dyDescent="0.2">
      <c r="A88" s="8" t="s">
        <v>148</v>
      </c>
      <c r="B88" s="19" t="s">
        <v>225</v>
      </c>
      <c r="C88" s="13">
        <f>15000+8000</f>
        <v>23000</v>
      </c>
      <c r="D88" s="13">
        <f>15000+8000</f>
        <v>23000</v>
      </c>
      <c r="E88" s="13">
        <f>15000+8000</f>
        <v>23000</v>
      </c>
      <c r="F88" s="13">
        <f>15000+8000</f>
        <v>23000</v>
      </c>
      <c r="G88" s="13">
        <f>15000+8000</f>
        <v>23000</v>
      </c>
      <c r="H88" s="529"/>
      <c r="I88" s="7" t="s">
        <v>927</v>
      </c>
      <c r="J88" s="7"/>
      <c r="K88" s="7" t="s">
        <v>938</v>
      </c>
      <c r="L88" s="2"/>
      <c r="M88" s="27"/>
      <c r="N88" s="9"/>
      <c r="O88" s="9"/>
      <c r="P88" s="9"/>
      <c r="Q88" s="9"/>
      <c r="R88" s="9"/>
    </row>
    <row r="89" spans="1:18" ht="13.5" customHeight="1" x14ac:dyDescent="0.2">
      <c r="A89" s="8" t="s">
        <v>149</v>
      </c>
      <c r="B89" s="19" t="s">
        <v>226</v>
      </c>
      <c r="C89" s="13">
        <v>17050</v>
      </c>
      <c r="D89" s="13">
        <v>17050</v>
      </c>
      <c r="E89" s="13">
        <v>17050</v>
      </c>
      <c r="F89" s="13">
        <v>17050</v>
      </c>
      <c r="G89" s="13">
        <v>17050</v>
      </c>
      <c r="H89" s="525"/>
      <c r="I89" s="525">
        <f>110*249*622.05</f>
        <v>17037949.5</v>
      </c>
      <c r="K89" s="7"/>
      <c r="L89" s="2"/>
      <c r="M89" s="27"/>
      <c r="N89" s="9"/>
      <c r="O89" s="9"/>
      <c r="P89" s="9"/>
      <c r="Q89" s="9"/>
      <c r="R89" s="9"/>
    </row>
    <row r="90" spans="1:18" x14ac:dyDescent="0.2">
      <c r="A90" s="8" t="s">
        <v>153</v>
      </c>
      <c r="B90" s="19" t="s">
        <v>227</v>
      </c>
      <c r="C90" s="13">
        <f>(4600+4200+4050)</f>
        <v>12850</v>
      </c>
      <c r="D90" s="13">
        <f>(4600+4200+4050)</f>
        <v>12850</v>
      </c>
      <c r="E90" s="13">
        <f>(4600+4200+4050)</f>
        <v>12850</v>
      </c>
      <c r="F90" s="13">
        <f>(4600+4200+4050)</f>
        <v>12850</v>
      </c>
      <c r="G90" s="13">
        <f>(4600+4200+4050)</f>
        <v>12850</v>
      </c>
      <c r="H90" s="7"/>
      <c r="I90" s="7">
        <f>110*249*167.95</f>
        <v>4600150.5</v>
      </c>
      <c r="J90" s="7">
        <f>C87*0.27</f>
        <v>4212</v>
      </c>
      <c r="K90" s="7">
        <f>15000*0.27</f>
        <v>4050.0000000000005</v>
      </c>
      <c r="L90" s="2"/>
      <c r="M90" s="7"/>
      <c r="N90" s="9"/>
      <c r="O90" s="9"/>
      <c r="P90" s="9"/>
      <c r="Q90" s="9"/>
      <c r="R90" s="9"/>
    </row>
    <row r="91" spans="1:18" x14ac:dyDescent="0.2">
      <c r="A91" s="8" t="s">
        <v>155</v>
      </c>
      <c r="B91" s="19" t="s">
        <v>228</v>
      </c>
      <c r="C91" s="13">
        <f>25000+2000+27000</f>
        <v>54000</v>
      </c>
      <c r="D91" s="13">
        <f>25000+2000+27000</f>
        <v>54000</v>
      </c>
      <c r="E91" s="13">
        <f>25000-7585+2000+27000</f>
        <v>46415</v>
      </c>
      <c r="F91" s="13">
        <f>25000+2000+27000</f>
        <v>54000</v>
      </c>
      <c r="G91" s="13">
        <f>25000+2000+27000</f>
        <v>54000</v>
      </c>
      <c r="H91" s="7"/>
      <c r="I91" s="7" t="s">
        <v>984</v>
      </c>
      <c r="J91" s="7"/>
      <c r="K91" s="7"/>
      <c r="L91" s="2"/>
      <c r="M91" s="27"/>
      <c r="N91" s="9"/>
      <c r="O91" s="9"/>
      <c r="P91" s="9"/>
      <c r="Q91" s="9"/>
      <c r="R91" s="9"/>
    </row>
    <row r="92" spans="1:18" x14ac:dyDescent="0.2">
      <c r="A92" s="203" t="s">
        <v>157</v>
      </c>
      <c r="B92" s="526" t="s">
        <v>837</v>
      </c>
      <c r="C92" s="527">
        <f>10+1</f>
        <v>11</v>
      </c>
      <c r="D92" s="527">
        <f>10+(1+1)</f>
        <v>12</v>
      </c>
      <c r="E92" s="527">
        <f>10+(1+1)</f>
        <v>12</v>
      </c>
      <c r="F92" s="527">
        <f>10+(1+1)</f>
        <v>12</v>
      </c>
      <c r="G92" s="527">
        <f>10+(1+1)</f>
        <v>12</v>
      </c>
      <c r="H92" s="7"/>
      <c r="I92" s="7" t="s">
        <v>977</v>
      </c>
      <c r="J92" s="7"/>
      <c r="K92" s="7"/>
      <c r="L92" s="2"/>
      <c r="M92" s="27"/>
      <c r="N92" s="9"/>
      <c r="O92" s="9"/>
      <c r="P92" s="9"/>
      <c r="Q92" s="9"/>
      <c r="R92" s="9"/>
    </row>
    <row r="93" spans="1:18" hidden="1" x14ac:dyDescent="0.2">
      <c r="A93" s="8" t="s">
        <v>159</v>
      </c>
      <c r="B93" s="19" t="s">
        <v>229</v>
      </c>
      <c r="C93" s="13"/>
      <c r="D93" s="13"/>
      <c r="E93" s="13"/>
      <c r="F93" s="13"/>
      <c r="G93" s="13"/>
      <c r="H93" s="7"/>
      <c r="I93" s="7"/>
      <c r="J93" s="7"/>
      <c r="K93" s="7"/>
      <c r="L93" s="2"/>
      <c r="M93" s="27"/>
      <c r="N93" s="9"/>
      <c r="O93" s="9"/>
      <c r="P93" s="9"/>
      <c r="Q93" s="9"/>
      <c r="R93" s="9"/>
    </row>
    <row r="94" spans="1:18" x14ac:dyDescent="0.2">
      <c r="A94" s="8" t="s">
        <v>165</v>
      </c>
      <c r="B94" s="19" t="s">
        <v>359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7"/>
      <c r="I94" s="7"/>
      <c r="J94" s="7"/>
      <c r="K94" s="7"/>
      <c r="L94" s="2"/>
      <c r="M94" s="27"/>
      <c r="N94" s="9"/>
      <c r="O94" s="9"/>
      <c r="P94" s="9"/>
      <c r="Q94" s="9"/>
      <c r="R94" s="9"/>
    </row>
    <row r="95" spans="1:18" x14ac:dyDescent="0.2">
      <c r="A95" s="203" t="s">
        <v>353</v>
      </c>
      <c r="B95" s="526" t="s">
        <v>918</v>
      </c>
      <c r="C95" s="13">
        <f>(2520)+(19+50)</f>
        <v>2589</v>
      </c>
      <c r="D95" s="13">
        <f>(2520)+(19+10+50)</f>
        <v>2599</v>
      </c>
      <c r="E95" s="13">
        <f>(2520)+(19+10+50)</f>
        <v>2599</v>
      </c>
      <c r="F95" s="13">
        <f>(2520)+(19+10+50)</f>
        <v>2599</v>
      </c>
      <c r="G95" s="13">
        <f>(2520)+(19+10+50)</f>
        <v>2599</v>
      </c>
      <c r="H95" s="7"/>
      <c r="I95" s="7"/>
      <c r="J95" s="7"/>
      <c r="K95" s="7"/>
      <c r="L95" s="2"/>
      <c r="M95" s="27"/>
      <c r="N95" s="9"/>
      <c r="O95" s="9"/>
      <c r="P95" s="9"/>
      <c r="Q95" s="9"/>
    </row>
    <row r="96" spans="1:18" ht="15.75" x14ac:dyDescent="0.25">
      <c r="A96" s="14" t="s">
        <v>180</v>
      </c>
      <c r="B96" s="22" t="s">
        <v>230</v>
      </c>
      <c r="C96" s="41">
        <f t="shared" ref="C96:D96" si="14">SUM(C100)+C102+C101</f>
        <v>38000</v>
      </c>
      <c r="D96" s="41">
        <f t="shared" si="14"/>
        <v>35893</v>
      </c>
      <c r="E96" s="41">
        <f t="shared" ref="E96:G96" si="15">SUM(E100)+E102+E101</f>
        <v>35893</v>
      </c>
      <c r="F96" s="41">
        <f t="shared" si="15"/>
        <v>35893</v>
      </c>
      <c r="G96" s="41">
        <f t="shared" si="15"/>
        <v>35893</v>
      </c>
      <c r="H96" s="7"/>
      <c r="I96" s="7"/>
      <c r="J96" s="7"/>
      <c r="K96" s="7"/>
      <c r="L96" s="2"/>
      <c r="M96" s="27"/>
      <c r="N96" s="9"/>
      <c r="O96" s="9"/>
      <c r="P96" s="9"/>
      <c r="Q96" s="9"/>
      <c r="R96" s="9"/>
    </row>
    <row r="97" spans="1:18" hidden="1" x14ac:dyDescent="0.2">
      <c r="A97" s="8" t="s">
        <v>186</v>
      </c>
      <c r="B97" s="19" t="s">
        <v>231</v>
      </c>
      <c r="C97" s="11"/>
      <c r="D97" s="11"/>
      <c r="E97" s="11"/>
      <c r="F97" s="11"/>
      <c r="G97" s="11"/>
      <c r="H97" s="7"/>
      <c r="I97" s="7"/>
      <c r="J97" s="7"/>
      <c r="K97" s="7"/>
      <c r="L97" s="2"/>
      <c r="M97" s="27"/>
      <c r="N97" s="9"/>
      <c r="O97" s="9"/>
      <c r="P97" s="9"/>
      <c r="Q97" s="9"/>
      <c r="R97" s="9"/>
    </row>
    <row r="98" spans="1:18" hidden="1" x14ac:dyDescent="0.2">
      <c r="A98" s="8" t="s">
        <v>187</v>
      </c>
      <c r="B98" s="19" t="s">
        <v>232</v>
      </c>
      <c r="C98" s="11"/>
      <c r="D98" s="11"/>
      <c r="E98" s="11"/>
      <c r="F98" s="11"/>
      <c r="G98" s="11"/>
      <c r="H98" s="7"/>
      <c r="I98" s="7"/>
      <c r="J98" s="7"/>
      <c r="K98" s="7"/>
      <c r="L98" s="2"/>
      <c r="M98" s="27"/>
      <c r="N98" s="9"/>
      <c r="O98" s="9"/>
      <c r="P98" s="9"/>
      <c r="Q98" s="9"/>
      <c r="R98" s="9"/>
    </row>
    <row r="99" spans="1:18" hidden="1" x14ac:dyDescent="0.2">
      <c r="A99" s="8" t="s">
        <v>188</v>
      </c>
      <c r="B99" s="19" t="s">
        <v>233</v>
      </c>
      <c r="C99" s="5"/>
      <c r="D99" s="5"/>
      <c r="E99" s="5"/>
      <c r="F99" s="5"/>
      <c r="G99" s="5"/>
      <c r="H99" s="7"/>
      <c r="I99" s="7"/>
      <c r="J99" s="7"/>
      <c r="K99" s="7"/>
      <c r="L99" s="2"/>
      <c r="M99" s="27"/>
      <c r="N99" s="9"/>
      <c r="O99" s="9"/>
      <c r="P99" s="9"/>
      <c r="Q99" s="9"/>
      <c r="R99" s="9"/>
    </row>
    <row r="100" spans="1:18" x14ac:dyDescent="0.2">
      <c r="A100" s="8" t="s">
        <v>360</v>
      </c>
      <c r="B100" s="8" t="s">
        <v>916</v>
      </c>
      <c r="C100" s="527">
        <v>35000</v>
      </c>
      <c r="D100" s="527">
        <v>35000</v>
      </c>
      <c r="E100" s="527">
        <v>35000</v>
      </c>
      <c r="F100" s="527">
        <v>35000</v>
      </c>
      <c r="G100" s="527">
        <v>35000</v>
      </c>
      <c r="H100" s="7"/>
      <c r="I100" s="7"/>
      <c r="J100" s="7"/>
      <c r="K100" s="7"/>
      <c r="L100" s="2"/>
      <c r="M100" s="27"/>
      <c r="N100" s="9"/>
      <c r="O100" s="9"/>
      <c r="P100" s="9"/>
      <c r="Q100" s="9"/>
      <c r="R100" s="9"/>
    </row>
    <row r="101" spans="1:18" x14ac:dyDescent="0.2">
      <c r="A101" s="8" t="s">
        <v>360</v>
      </c>
      <c r="B101" s="8" t="s">
        <v>994</v>
      </c>
      <c r="C101" s="13">
        <v>3000</v>
      </c>
      <c r="D101" s="13">
        <f>3000-2107</f>
        <v>893</v>
      </c>
      <c r="E101" s="13">
        <f>3000-2107</f>
        <v>893</v>
      </c>
      <c r="F101" s="13">
        <f>3000-2107</f>
        <v>893</v>
      </c>
      <c r="G101" s="13">
        <f>3000-2107</f>
        <v>893</v>
      </c>
      <c r="H101" s="7"/>
      <c r="I101" s="7"/>
      <c r="J101" s="7"/>
      <c r="K101" s="7"/>
      <c r="L101" s="2"/>
      <c r="M101" s="27"/>
      <c r="N101" s="9"/>
      <c r="O101" s="9"/>
      <c r="P101" s="9"/>
      <c r="Q101" s="9"/>
      <c r="R101" s="9"/>
    </row>
    <row r="102" spans="1:18" hidden="1" x14ac:dyDescent="0.2">
      <c r="A102" s="8" t="s">
        <v>360</v>
      </c>
      <c r="B102" s="8" t="s">
        <v>803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7"/>
      <c r="I102" s="7"/>
      <c r="J102" s="7"/>
      <c r="K102" s="7"/>
      <c r="L102" s="2"/>
      <c r="M102" s="27"/>
      <c r="N102" s="9"/>
      <c r="O102" s="9"/>
      <c r="P102" s="9"/>
      <c r="Q102" s="9"/>
      <c r="R102" s="9"/>
    </row>
    <row r="103" spans="1:18" ht="24" customHeight="1" x14ac:dyDescent="0.25">
      <c r="A103" s="24" t="s">
        <v>182</v>
      </c>
      <c r="B103" s="167" t="s">
        <v>310</v>
      </c>
      <c r="C103" s="41">
        <f>SUM(C104)+C111</f>
        <v>708152</v>
      </c>
      <c r="D103" s="41">
        <f>SUM(D104)+D111</f>
        <v>706845</v>
      </c>
      <c r="E103" s="41">
        <f>SUM(E104)+E111</f>
        <v>706845</v>
      </c>
      <c r="F103" s="41">
        <f>SUM(F104)+F111</f>
        <v>706845</v>
      </c>
      <c r="G103" s="41">
        <f>SUM(G104)+G111</f>
        <v>706845</v>
      </c>
      <c r="H103" s="7"/>
      <c r="I103" s="7"/>
      <c r="J103" s="7"/>
      <c r="K103" s="7"/>
      <c r="L103" s="2"/>
      <c r="M103" s="27"/>
      <c r="N103" s="9"/>
      <c r="O103" s="9"/>
      <c r="P103" s="9"/>
      <c r="Q103" s="9"/>
      <c r="R103" s="9"/>
    </row>
    <row r="104" spans="1:18" ht="13.5" customHeight="1" x14ac:dyDescent="0.25">
      <c r="A104" s="24"/>
      <c r="B104" s="22" t="str">
        <f>'1.Bev-kiad.'!B55</f>
        <v xml:space="preserve">   1. Belföldi finanszírozás bevételei</v>
      </c>
      <c r="C104" s="156">
        <f>SUM(C105+C110)</f>
        <v>708152</v>
      </c>
      <c r="D104" s="156">
        <f>SUM(D105+D110)</f>
        <v>706845</v>
      </c>
      <c r="E104" s="156">
        <f>SUM(E105+E110)</f>
        <v>706845</v>
      </c>
      <c r="F104" s="156">
        <f>SUM(F105+F110)</f>
        <v>706845</v>
      </c>
      <c r="G104" s="156">
        <f>SUM(G105+G110)</f>
        <v>706845</v>
      </c>
      <c r="H104" s="7"/>
      <c r="I104" s="7"/>
      <c r="J104" s="7"/>
      <c r="K104" s="7"/>
      <c r="L104" s="2"/>
      <c r="M104" s="27"/>
      <c r="N104" s="9"/>
      <c r="O104" s="9"/>
      <c r="P104" s="9"/>
      <c r="Q104" s="9"/>
      <c r="R104" s="9"/>
    </row>
    <row r="105" spans="1:18" x14ac:dyDescent="0.2">
      <c r="A105" s="24"/>
      <c r="B105" s="29" t="str">
        <f>'1.Bev-kiad.'!B56</f>
        <v xml:space="preserve">        1.1. Előző év költségvetési maradványának igénybevétele</v>
      </c>
      <c r="C105" s="13">
        <f>19597+673206+15349</f>
        <v>708152</v>
      </c>
      <c r="D105" s="13">
        <f>(19597-1307)+673206+15349</f>
        <v>706845</v>
      </c>
      <c r="E105" s="13">
        <f>(19597-1307)+673206+15349</f>
        <v>706845</v>
      </c>
      <c r="F105" s="13">
        <f>(19597-1307)+673206+15349</f>
        <v>706845</v>
      </c>
      <c r="G105" s="13">
        <f>(19597-1307)+673206+15349</f>
        <v>706845</v>
      </c>
      <c r="H105" s="7"/>
      <c r="I105" s="7" t="s">
        <v>990</v>
      </c>
      <c r="J105" s="7"/>
      <c r="K105" s="7"/>
      <c r="L105" s="2"/>
      <c r="M105" s="27"/>
      <c r="N105" s="9"/>
      <c r="O105" s="9"/>
      <c r="P105" s="9"/>
      <c r="Q105" s="9"/>
      <c r="R105" s="9"/>
    </row>
    <row r="106" spans="1:18" hidden="1" x14ac:dyDescent="0.2">
      <c r="A106" s="24"/>
      <c r="B106" s="142" t="s">
        <v>524</v>
      </c>
      <c r="C106" s="13">
        <f>(381956+18883+19378+10058+5652-'3.felh'!C39+4167-34702+40056)</f>
        <v>293336</v>
      </c>
      <c r="D106" s="13">
        <f>(381956+18883+19378+10058+5652-'3.felh'!D39+4167-34702+40056)</f>
        <v>293336</v>
      </c>
      <c r="E106" s="13">
        <f>(381956+18883+19378+10058+5652-'3.felh'!E39+4167-34702+40056)</f>
        <v>293336</v>
      </c>
      <c r="F106" s="13">
        <f>(381956+18883+19378+10058+5652-'3.felh'!F39+4167-34702+40056)</f>
        <v>293336</v>
      </c>
      <c r="G106" s="13">
        <f>(381956+18883+19378+10058+5652-'3.felh'!G39+4167-34702+40056)</f>
        <v>293336</v>
      </c>
      <c r="H106" s="7"/>
      <c r="I106" s="7"/>
      <c r="J106" s="7"/>
      <c r="K106" s="7"/>
      <c r="L106" s="2"/>
      <c r="M106" s="27"/>
      <c r="N106" s="9"/>
      <c r="O106" s="9"/>
      <c r="P106" s="9"/>
      <c r="Q106" s="9"/>
      <c r="R106" s="9"/>
    </row>
    <row r="107" spans="1:18" hidden="1" x14ac:dyDescent="0.2">
      <c r="A107" s="24"/>
      <c r="B107" s="142"/>
      <c r="C107" s="13"/>
      <c r="D107" s="13"/>
      <c r="E107" s="13"/>
      <c r="F107" s="13"/>
      <c r="G107" s="13"/>
      <c r="H107" s="7"/>
      <c r="I107" s="7"/>
      <c r="J107" s="7"/>
      <c r="K107" s="7"/>
      <c r="L107" s="2"/>
      <c r="M107" s="27"/>
      <c r="N107" s="9"/>
      <c r="O107" s="9"/>
      <c r="P107" s="9"/>
      <c r="Q107" s="9"/>
      <c r="R107" s="9"/>
    </row>
    <row r="108" spans="1:18" hidden="1" x14ac:dyDescent="0.2">
      <c r="A108" s="24"/>
      <c r="B108" s="142" t="s">
        <v>521</v>
      </c>
      <c r="C108" s="13"/>
      <c r="D108" s="13"/>
      <c r="E108" s="13"/>
      <c r="F108" s="13"/>
      <c r="G108" s="13"/>
      <c r="H108" s="7"/>
      <c r="I108" s="7"/>
      <c r="J108" s="7"/>
      <c r="K108" s="7"/>
      <c r="L108" s="2"/>
      <c r="M108" s="27"/>
      <c r="N108" s="9"/>
      <c r="O108" s="9"/>
      <c r="P108" s="9"/>
      <c r="Q108" s="9"/>
      <c r="R108" s="9"/>
    </row>
    <row r="109" spans="1:18" hidden="1" x14ac:dyDescent="0.2">
      <c r="A109" s="24"/>
      <c r="B109" s="142" t="s">
        <v>519</v>
      </c>
      <c r="C109" s="13">
        <f>(32623-4167)</f>
        <v>28456</v>
      </c>
      <c r="D109" s="13">
        <f>(32623-4167)</f>
        <v>28456</v>
      </c>
      <c r="E109" s="13">
        <f>(32623-4167)</f>
        <v>28456</v>
      </c>
      <c r="F109" s="13">
        <f>(32623-4167)</f>
        <v>28456</v>
      </c>
      <c r="G109" s="13">
        <f>(32623-4167)</f>
        <v>28456</v>
      </c>
      <c r="H109" s="7"/>
      <c r="I109" s="7"/>
      <c r="J109" s="7"/>
      <c r="K109" s="7"/>
      <c r="L109" s="2"/>
      <c r="M109" s="27"/>
      <c r="N109" s="9"/>
      <c r="O109" s="9"/>
      <c r="P109" s="9"/>
      <c r="Q109" s="9"/>
      <c r="R109" s="9"/>
    </row>
    <row r="110" spans="1:18" ht="13.5" customHeight="1" x14ac:dyDescent="0.2">
      <c r="A110" s="24"/>
      <c r="B110" s="142" t="s">
        <v>445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7"/>
      <c r="I110" s="7">
        <v>1612569004</v>
      </c>
      <c r="J110" s="7"/>
      <c r="K110" s="7"/>
      <c r="L110" s="2"/>
      <c r="M110" s="27"/>
      <c r="N110" s="9"/>
      <c r="O110" s="9"/>
      <c r="P110" s="9"/>
      <c r="Q110" s="9"/>
      <c r="R110" s="9"/>
    </row>
    <row r="111" spans="1:18" ht="13.5" customHeight="1" thickBot="1" x14ac:dyDescent="0.3">
      <c r="A111" s="24"/>
      <c r="B111" s="22" t="s">
        <v>397</v>
      </c>
      <c r="C111" s="156">
        <f>C112</f>
        <v>0</v>
      </c>
      <c r="D111" s="156">
        <f>D112</f>
        <v>0</v>
      </c>
      <c r="E111" s="156">
        <f>E112</f>
        <v>0</v>
      </c>
      <c r="F111" s="156">
        <f>F112</f>
        <v>0</v>
      </c>
      <c r="G111" s="156">
        <f>G112</f>
        <v>0</v>
      </c>
      <c r="H111" s="7"/>
      <c r="I111" s="7">
        <v>-692177438</v>
      </c>
      <c r="J111" s="7"/>
      <c r="K111" s="7"/>
      <c r="L111" s="2"/>
      <c r="M111" s="27"/>
      <c r="N111" s="9"/>
      <c r="O111" s="9"/>
      <c r="P111" s="9"/>
      <c r="Q111" s="9"/>
      <c r="R111" s="9"/>
    </row>
    <row r="112" spans="1:18" ht="13.5" hidden="1" customHeight="1" thickBot="1" x14ac:dyDescent="0.25">
      <c r="A112" s="488"/>
      <c r="B112" s="12" t="s">
        <v>863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7"/>
      <c r="I112" s="7"/>
      <c r="J112" s="7"/>
      <c r="K112" s="7"/>
      <c r="L112" s="2"/>
      <c r="M112" s="27"/>
      <c r="N112" s="9"/>
      <c r="O112" s="9"/>
      <c r="P112" s="9"/>
      <c r="Q112" s="9"/>
      <c r="R112" s="9"/>
    </row>
    <row r="113" spans="1:18" ht="19.5" customHeight="1" thickBot="1" x14ac:dyDescent="0.4">
      <c r="A113" s="210"/>
      <c r="B113" s="211" t="s">
        <v>345</v>
      </c>
      <c r="C113" s="174">
        <f>SUM(C8+C103)</f>
        <v>2077621</v>
      </c>
      <c r="D113" s="174">
        <f>SUM(D8+D103)</f>
        <v>2081984</v>
      </c>
      <c r="E113" s="174">
        <f>SUM(E8+E103)</f>
        <v>2098552</v>
      </c>
      <c r="F113" s="174">
        <f>SUM(F8+F103)</f>
        <v>2081984</v>
      </c>
      <c r="G113" s="174">
        <f>SUM(G8+G103)</f>
        <v>2081984</v>
      </c>
      <c r="H113" s="7"/>
      <c r="I113" s="7">
        <v>-227588560</v>
      </c>
      <c r="J113" s="7"/>
      <c r="K113" s="7"/>
      <c r="L113" s="2"/>
      <c r="M113" s="27"/>
      <c r="N113" s="9"/>
      <c r="O113" s="9"/>
      <c r="P113" s="9"/>
      <c r="Q113" s="9"/>
      <c r="R113" s="9"/>
    </row>
    <row r="114" spans="1:18" ht="18" customHeight="1" x14ac:dyDescent="0.25">
      <c r="A114" s="143" t="s">
        <v>321</v>
      </c>
      <c r="B114" s="220" t="s">
        <v>318</v>
      </c>
      <c r="C114" s="169">
        <f>SUM(C115+C118+C121+C124+C125)</f>
        <v>1736677</v>
      </c>
      <c r="D114" s="169">
        <f>SUM(D115+D118+D121+D124+D125)</f>
        <v>1738730</v>
      </c>
      <c r="E114" s="169">
        <f>SUM(E115+E118+E121+E124+E125)</f>
        <v>1700179</v>
      </c>
      <c r="F114" s="169" t="e">
        <f>SUM(F115+F118+F121+F124+F125)</f>
        <v>#REF!</v>
      </c>
      <c r="G114" s="169" t="e">
        <f>SUM(G115+G118+G121+G124+G125)</f>
        <v>#REF!</v>
      </c>
      <c r="H114" s="27"/>
      <c r="I114" s="27">
        <f>I110+I111+I113-673206000-1307297</f>
        <v>18289709</v>
      </c>
      <c r="J114" s="27"/>
      <c r="K114" s="27"/>
      <c r="L114" s="2"/>
      <c r="M114" s="26"/>
      <c r="N114" s="9"/>
      <c r="O114" s="9"/>
      <c r="P114" s="9"/>
      <c r="Q114" s="9"/>
      <c r="R114" s="9"/>
    </row>
    <row r="115" spans="1:18" ht="18" customHeight="1" x14ac:dyDescent="0.25">
      <c r="A115" s="14" t="s">
        <v>206</v>
      </c>
      <c r="B115" s="22" t="s">
        <v>234</v>
      </c>
      <c r="C115" s="144">
        <f>SUM(C116:C117)</f>
        <v>277035</v>
      </c>
      <c r="D115" s="144">
        <f>SUM(D116:D117)</f>
        <v>277292</v>
      </c>
      <c r="E115" s="144">
        <f>SUM(E116:E117)</f>
        <v>287677</v>
      </c>
      <c r="F115" s="144">
        <f>SUM(F116:F117)</f>
        <v>263525</v>
      </c>
      <c r="G115" s="144">
        <f>SUM(G116:G117)</f>
        <v>263525</v>
      </c>
      <c r="H115" s="300"/>
      <c r="I115" s="300"/>
      <c r="J115" s="300"/>
      <c r="K115" s="300"/>
      <c r="L115" s="2"/>
      <c r="M115" s="26"/>
      <c r="N115" s="9"/>
      <c r="O115" s="9"/>
      <c r="P115" s="9"/>
      <c r="Q115" s="9"/>
      <c r="R115" s="9"/>
    </row>
    <row r="116" spans="1:18" ht="13.5" customHeight="1" x14ac:dyDescent="0.2">
      <c r="A116" s="14"/>
      <c r="B116" s="223" t="s">
        <v>376</v>
      </c>
      <c r="C116" s="191">
        <f>SUM('8.Önk.'!BA29)</f>
        <v>54275</v>
      </c>
      <c r="D116" s="191">
        <f>SUM('8.Önk.'!BB29)</f>
        <v>54532</v>
      </c>
      <c r="E116" s="191">
        <f>SUM('8.Önk.'!BC29)</f>
        <v>63855</v>
      </c>
      <c r="F116" s="191">
        <f>SUM('8.Önk.'!BD29)</f>
        <v>54275</v>
      </c>
      <c r="G116" s="191">
        <f>SUM('8.Önk.'!BE29)</f>
        <v>54275</v>
      </c>
      <c r="H116" s="7"/>
      <c r="I116" s="7"/>
      <c r="J116" s="300"/>
      <c r="K116" s="7"/>
      <c r="L116" s="2"/>
      <c r="M116" s="26"/>
      <c r="N116" s="9"/>
      <c r="O116" s="9"/>
      <c r="P116" s="9"/>
      <c r="Q116" s="9"/>
      <c r="R116" s="9"/>
    </row>
    <row r="117" spans="1:18" ht="13.5" customHeight="1" x14ac:dyDescent="0.2">
      <c r="A117" s="14"/>
      <c r="B117" s="223" t="s">
        <v>415</v>
      </c>
      <c r="C117" s="191">
        <f>SUM('9.Hivatal'!R26)</f>
        <v>222760</v>
      </c>
      <c r="D117" s="191">
        <f>SUM('9.Hivatal'!S26)</f>
        <v>222760</v>
      </c>
      <c r="E117" s="191">
        <f>SUM('9.Hivatal'!T26)</f>
        <v>223822</v>
      </c>
      <c r="F117" s="191">
        <f>SUM('9.Hivatal'!U26)</f>
        <v>209250</v>
      </c>
      <c r="G117" s="191">
        <f>SUM('9.Hivatal'!V26)</f>
        <v>209250</v>
      </c>
      <c r="H117" s="7"/>
      <c r="I117" s="7"/>
      <c r="J117" s="300"/>
      <c r="K117" s="7"/>
      <c r="L117" s="2"/>
      <c r="M117" s="26"/>
      <c r="N117" s="9"/>
      <c r="O117" s="9"/>
      <c r="P117" s="9"/>
      <c r="Q117" s="9"/>
      <c r="R117" s="9"/>
    </row>
    <row r="118" spans="1:18" ht="18" customHeight="1" x14ac:dyDescent="0.25">
      <c r="A118" s="14" t="s">
        <v>207</v>
      </c>
      <c r="B118" s="22" t="s">
        <v>235</v>
      </c>
      <c r="C118" s="144">
        <f>SUM(C119:C120)</f>
        <v>35306</v>
      </c>
      <c r="D118" s="144">
        <f>SUM(D119:D120)</f>
        <v>35361</v>
      </c>
      <c r="E118" s="144">
        <f>SUM(E119:E120)</f>
        <v>36638</v>
      </c>
      <c r="F118" s="144">
        <f>SUM(F119:F120)</f>
        <v>33582</v>
      </c>
      <c r="G118" s="144">
        <f>SUM(G119:G120)</f>
        <v>33582</v>
      </c>
      <c r="H118" s="7"/>
      <c r="I118" s="7"/>
      <c r="J118" s="300"/>
      <c r="K118" s="7"/>
      <c r="L118" s="2"/>
      <c r="M118" s="26"/>
      <c r="N118" s="9"/>
      <c r="O118" s="9"/>
      <c r="P118" s="9"/>
      <c r="Q118" s="9"/>
      <c r="R118" s="9"/>
    </row>
    <row r="119" spans="1:18" ht="13.5" customHeight="1" x14ac:dyDescent="0.2">
      <c r="A119" s="14"/>
      <c r="B119" s="223" t="s">
        <v>377</v>
      </c>
      <c r="C119" s="191">
        <f>SUM('8.Önk.'!BA33)</f>
        <v>7046</v>
      </c>
      <c r="D119" s="191">
        <f>SUM('8.Önk.'!BB33)</f>
        <v>7046</v>
      </c>
      <c r="E119" s="191">
        <f>SUM('8.Önk.'!BC33)</f>
        <v>8180</v>
      </c>
      <c r="F119" s="191">
        <f>SUM('8.Önk.'!BD33)</f>
        <v>7046</v>
      </c>
      <c r="G119" s="191">
        <f>SUM('8.Önk.'!BE33)</f>
        <v>7046</v>
      </c>
      <c r="H119" s="7"/>
      <c r="I119" s="7"/>
      <c r="J119" s="300"/>
      <c r="K119" s="7"/>
      <c r="L119" s="2"/>
      <c r="M119" s="26"/>
      <c r="N119" s="9"/>
      <c r="O119" s="9"/>
      <c r="P119" s="9"/>
      <c r="Q119" s="9"/>
      <c r="R119" s="9"/>
    </row>
    <row r="120" spans="1:18" ht="13.5" customHeight="1" x14ac:dyDescent="0.2">
      <c r="A120" s="14"/>
      <c r="B120" s="223" t="s">
        <v>414</v>
      </c>
      <c r="C120" s="191">
        <f>SUM('9.Hivatal'!R29)</f>
        <v>28260</v>
      </c>
      <c r="D120" s="191">
        <f>SUM('9.Hivatal'!S29)</f>
        <v>28315</v>
      </c>
      <c r="E120" s="191">
        <f>SUM('9.Hivatal'!T29)</f>
        <v>28458</v>
      </c>
      <c r="F120" s="191">
        <f>SUM('9.Hivatal'!U29)</f>
        <v>26536</v>
      </c>
      <c r="G120" s="191">
        <f>SUM('9.Hivatal'!V29)</f>
        <v>26536</v>
      </c>
      <c r="H120" s="7"/>
      <c r="I120" s="7"/>
      <c r="J120" s="300"/>
      <c r="K120" s="7"/>
      <c r="L120" s="2"/>
      <c r="M120" s="26"/>
      <c r="N120" s="9"/>
      <c r="O120" s="9"/>
      <c r="P120" s="9"/>
      <c r="Q120" s="9"/>
      <c r="R120" s="9"/>
    </row>
    <row r="121" spans="1:18" ht="18" customHeight="1" x14ac:dyDescent="0.25">
      <c r="A121" s="14" t="s">
        <v>208</v>
      </c>
      <c r="B121" s="22" t="s">
        <v>236</v>
      </c>
      <c r="C121" s="34">
        <f>SUM(C122:C123)</f>
        <v>686565</v>
      </c>
      <c r="D121" s="34">
        <f>SUM(D122:D123)</f>
        <v>679077</v>
      </c>
      <c r="E121" s="34">
        <f>SUM(E122:E123)</f>
        <v>671719</v>
      </c>
      <c r="F121" s="34">
        <f>SUM(F122:F123)</f>
        <v>587859</v>
      </c>
      <c r="G121" s="34">
        <f>SUM(G122:G123)</f>
        <v>587859</v>
      </c>
      <c r="H121" s="7"/>
      <c r="I121" s="7"/>
      <c r="J121" s="300"/>
      <c r="K121" s="7"/>
      <c r="L121" s="2"/>
      <c r="M121" s="26"/>
      <c r="N121" s="9"/>
      <c r="O121" s="9"/>
      <c r="P121" s="9"/>
      <c r="Q121" s="9"/>
      <c r="R121" s="9"/>
    </row>
    <row r="122" spans="1:18" ht="13.5" customHeight="1" x14ac:dyDescent="0.2">
      <c r="A122" s="8"/>
      <c r="B122" s="223" t="s">
        <v>377</v>
      </c>
      <c r="C122" s="171">
        <f>SUM('8.Önk.'!BA96)</f>
        <v>657299</v>
      </c>
      <c r="D122" s="171">
        <f>SUM('8.Önk.'!BB96)</f>
        <v>646768</v>
      </c>
      <c r="E122" s="171">
        <f>SUM('8.Önk.'!BC96)</f>
        <v>638782</v>
      </c>
      <c r="F122" s="171">
        <f>SUM('8.Önk.'!BD96)</f>
        <v>558480</v>
      </c>
      <c r="G122" s="171">
        <f>SUM('8.Önk.'!BE96)</f>
        <v>558480</v>
      </c>
      <c r="H122" s="7"/>
      <c r="I122" s="7"/>
      <c r="J122" s="300"/>
      <c r="K122" s="7"/>
      <c r="L122" s="2"/>
      <c r="M122" s="26"/>
      <c r="N122" s="9"/>
      <c r="O122" s="9"/>
      <c r="P122" s="9"/>
      <c r="Q122" s="9"/>
      <c r="R122" s="9"/>
    </row>
    <row r="123" spans="1:18" ht="13.5" customHeight="1" x14ac:dyDescent="0.2">
      <c r="A123" s="8"/>
      <c r="B123" s="223" t="s">
        <v>414</v>
      </c>
      <c r="C123" s="171">
        <f>SUM('9.Hivatal'!R76)</f>
        <v>29266</v>
      </c>
      <c r="D123" s="171">
        <f>SUM('9.Hivatal'!S76)</f>
        <v>32309</v>
      </c>
      <c r="E123" s="171">
        <f>SUM('9.Hivatal'!T76)</f>
        <v>32937</v>
      </c>
      <c r="F123" s="171">
        <f>SUM('9.Hivatal'!U76)</f>
        <v>29379</v>
      </c>
      <c r="G123" s="171">
        <f>SUM('9.Hivatal'!V76)</f>
        <v>29379</v>
      </c>
      <c r="H123" s="7"/>
      <c r="I123" s="7"/>
      <c r="J123" s="300"/>
      <c r="K123" s="7"/>
      <c r="L123" s="2"/>
      <c r="M123" s="26"/>
      <c r="N123" s="9"/>
      <c r="O123" s="9"/>
      <c r="P123" s="9"/>
      <c r="Q123" s="9"/>
      <c r="R123" s="9"/>
    </row>
    <row r="124" spans="1:18" ht="18" customHeight="1" x14ac:dyDescent="0.25">
      <c r="A124" s="14" t="s">
        <v>209</v>
      </c>
      <c r="B124" s="22" t="s">
        <v>404</v>
      </c>
      <c r="C124" s="34">
        <f>SUM('8.Önk.'!BA97)</f>
        <v>11500</v>
      </c>
      <c r="D124" s="34">
        <f>SUM('8.Önk.'!BB97)</f>
        <v>11500</v>
      </c>
      <c r="E124" s="34">
        <f>SUM('8.Önk.'!BC97)</f>
        <v>11500</v>
      </c>
      <c r="F124" s="34">
        <f>SUM('8.Önk.'!BD97)</f>
        <v>11500</v>
      </c>
      <c r="G124" s="34">
        <f>SUM('8.Önk.'!BE97)</f>
        <v>11500</v>
      </c>
      <c r="H124" s="7"/>
      <c r="I124" s="7"/>
      <c r="J124" s="300"/>
      <c r="K124" s="7"/>
      <c r="L124" s="2"/>
      <c r="M124" s="26"/>
      <c r="N124" s="9"/>
      <c r="O124" s="9"/>
      <c r="P124" s="9"/>
      <c r="Q124" s="9"/>
      <c r="R124" s="9"/>
    </row>
    <row r="125" spans="1:18" ht="18" customHeight="1" x14ac:dyDescent="0.25">
      <c r="A125" s="14" t="s">
        <v>210</v>
      </c>
      <c r="B125" s="22" t="s">
        <v>303</v>
      </c>
      <c r="C125" s="34">
        <f>SUM(C126:C129)</f>
        <v>726271</v>
      </c>
      <c r="D125" s="34">
        <f>SUM(D126:D129)</f>
        <v>735500</v>
      </c>
      <c r="E125" s="34">
        <f>SUM(E126:E129)</f>
        <v>692645</v>
      </c>
      <c r="F125" s="34" t="e">
        <f>SUM(F126:F127)</f>
        <v>#REF!</v>
      </c>
      <c r="G125" s="34" t="e">
        <f>SUM(G126:G127)</f>
        <v>#REF!</v>
      </c>
      <c r="H125" s="7"/>
      <c r="I125" s="7"/>
      <c r="J125" s="300"/>
      <c r="K125" s="7"/>
      <c r="L125" s="2"/>
      <c r="M125" s="26"/>
      <c r="N125" s="9"/>
      <c r="O125" s="9"/>
      <c r="P125" s="9"/>
      <c r="Q125" s="9"/>
      <c r="R125" s="9"/>
    </row>
    <row r="126" spans="1:18" ht="15" customHeight="1" thickBot="1" x14ac:dyDescent="0.25">
      <c r="A126" s="14"/>
      <c r="B126" s="8" t="s">
        <v>862</v>
      </c>
      <c r="C126" s="30">
        <f>SUM('4. Átadott p.eszk.'!B64)</f>
        <v>588928</v>
      </c>
      <c r="D126" s="30">
        <f>SUM('4. Átadott p.eszk.'!C64)</f>
        <v>599399</v>
      </c>
      <c r="E126" s="30">
        <f>SUM('4. Átadott p.eszk.'!D64)</f>
        <v>635812</v>
      </c>
      <c r="F126" s="30" t="e">
        <f>SUM('4. Átadott p.eszk.'!E64)</f>
        <v>#REF!</v>
      </c>
      <c r="G126" s="30" t="e">
        <f>SUM('4. Átadott p.eszk.'!F64)</f>
        <v>#REF!</v>
      </c>
      <c r="H126" s="7"/>
      <c r="I126" s="7"/>
      <c r="J126" s="300"/>
      <c r="K126" s="7"/>
      <c r="L126" s="2"/>
      <c r="M126" s="26"/>
      <c r="N126" s="9"/>
      <c r="O126" s="9"/>
      <c r="P126" s="9"/>
      <c r="Q126" s="9"/>
      <c r="R126" s="9"/>
    </row>
    <row r="127" spans="1:18" ht="15" customHeight="1" thickBot="1" x14ac:dyDescent="0.25">
      <c r="A127" s="14"/>
      <c r="B127" s="8" t="s">
        <v>1201</v>
      </c>
      <c r="C127" s="30">
        <v>120000</v>
      </c>
      <c r="D127" s="30">
        <f>(120000+51606-1307)-3958-2870-1777-3785-5360-6859-2303-6774+26000-25831-4037-1000+3991+151+2500-1118-3000-440-1803-1270-3645-74-1000-1000-680-3500+8</f>
        <v>120865</v>
      </c>
      <c r="E127" s="30">
        <f>((120000+51606-1307)-3958-2870-1777-3785-5360-6859-2303-6774+26000-25831-4037-1000+3991+151+2500-1118-3000-440-1803-1270-3645-74-1000-1000-680-3500+8)-16333-189-5071-6336-13724-8885-884+90-170-1260-9079-3653-6566-3891-18637+4459+10861</f>
        <v>41597</v>
      </c>
      <c r="F127" s="530"/>
      <c r="G127" s="530"/>
      <c r="H127" s="7">
        <f>E127-D127</f>
        <v>-79268</v>
      </c>
      <c r="I127" s="7">
        <f>4459+10861</f>
        <v>15320</v>
      </c>
      <c r="J127" s="300"/>
      <c r="K127" s="7"/>
      <c r="L127" s="2"/>
      <c r="M127" s="26"/>
      <c r="N127" s="9"/>
      <c r="O127" s="9"/>
      <c r="P127" s="9"/>
      <c r="Q127" s="9"/>
      <c r="R127" s="9"/>
    </row>
    <row r="128" spans="1:18" ht="15" customHeight="1" x14ac:dyDescent="0.2">
      <c r="A128" s="14"/>
      <c r="B128" s="8" t="s">
        <v>1050</v>
      </c>
      <c r="C128" s="30">
        <v>4500</v>
      </c>
      <c r="D128" s="30">
        <f>4500-2107</f>
        <v>2393</v>
      </c>
      <c r="E128" s="30">
        <f>4500-2107</f>
        <v>2393</v>
      </c>
      <c r="F128" s="55"/>
      <c r="G128" s="55"/>
      <c r="H128" s="7"/>
      <c r="I128" s="7"/>
      <c r="J128" s="300"/>
      <c r="K128" s="7"/>
      <c r="L128" s="2"/>
      <c r="M128" s="26"/>
      <c r="N128" s="9"/>
      <c r="O128" s="9"/>
      <c r="P128" s="9"/>
      <c r="Q128" s="9"/>
      <c r="R128" s="9"/>
    </row>
    <row r="129" spans="1:18" ht="15.75" customHeight="1" x14ac:dyDescent="0.2">
      <c r="A129" s="14"/>
      <c r="B129" s="8" t="s">
        <v>1051</v>
      </c>
      <c r="C129" s="30">
        <v>12843</v>
      </c>
      <c r="D129" s="30">
        <v>12843</v>
      </c>
      <c r="E129" s="30">
        <v>12843</v>
      </c>
      <c r="F129" s="71"/>
      <c r="G129" s="71"/>
      <c r="H129" s="7"/>
      <c r="I129" s="7"/>
      <c r="J129" s="300"/>
      <c r="K129" s="7"/>
      <c r="L129" s="2"/>
      <c r="M129" s="26"/>
      <c r="N129" s="9"/>
      <c r="O129" s="9"/>
      <c r="P129" s="9"/>
      <c r="Q129" s="9"/>
      <c r="R129" s="9"/>
    </row>
    <row r="130" spans="1:18" ht="17.25" customHeight="1" x14ac:dyDescent="0.25">
      <c r="A130" s="14" t="s">
        <v>197</v>
      </c>
      <c r="B130" s="167" t="s">
        <v>314</v>
      </c>
      <c r="C130" s="41">
        <f t="shared" ref="C130:G130" si="16">SUM(C131)</f>
        <v>19597</v>
      </c>
      <c r="D130" s="41">
        <f t="shared" si="16"/>
        <v>19597</v>
      </c>
      <c r="E130" s="41">
        <f t="shared" si="16"/>
        <v>19597</v>
      </c>
      <c r="F130" s="41">
        <f t="shared" si="16"/>
        <v>19597</v>
      </c>
      <c r="G130" s="41">
        <f t="shared" si="16"/>
        <v>19597</v>
      </c>
      <c r="H130" s="7"/>
      <c r="I130" s="7"/>
      <c r="J130" s="300"/>
      <c r="K130" s="7"/>
      <c r="L130" s="2"/>
      <c r="M130" s="26"/>
      <c r="N130" s="9"/>
      <c r="O130" s="9"/>
      <c r="P130" s="9"/>
      <c r="Q130" s="9"/>
      <c r="R130" s="9"/>
    </row>
    <row r="131" spans="1:18" ht="15" customHeight="1" x14ac:dyDescent="0.25">
      <c r="A131" s="14"/>
      <c r="B131" s="184" t="s">
        <v>347</v>
      </c>
      <c r="C131" s="41">
        <f>SUM(C133)+C132</f>
        <v>19597</v>
      </c>
      <c r="D131" s="41">
        <f>SUM(D133)</f>
        <v>19597</v>
      </c>
      <c r="E131" s="41">
        <f>SUM(E133)</f>
        <v>19597</v>
      </c>
      <c r="F131" s="41">
        <f>SUM(F133)</f>
        <v>19597</v>
      </c>
      <c r="G131" s="41">
        <f>SUM(G133)</f>
        <v>19597</v>
      </c>
      <c r="H131" s="7"/>
      <c r="I131" s="7"/>
      <c r="J131" s="300"/>
      <c r="K131" s="7"/>
      <c r="L131" s="2"/>
      <c r="M131" s="26"/>
      <c r="N131" s="9"/>
      <c r="O131" s="9"/>
      <c r="P131" s="9"/>
      <c r="Q131" s="9"/>
      <c r="R131" s="9"/>
    </row>
    <row r="132" spans="1:18" ht="15" hidden="1" customHeight="1" x14ac:dyDescent="0.25">
      <c r="A132" s="14" t="s">
        <v>1006</v>
      </c>
      <c r="B132" s="8" t="s">
        <v>1007</v>
      </c>
      <c r="C132" s="13">
        <v>0</v>
      </c>
      <c r="D132" s="41"/>
      <c r="E132" s="41"/>
      <c r="F132" s="41"/>
      <c r="G132" s="41"/>
      <c r="H132" s="7"/>
      <c r="I132" s="7"/>
      <c r="J132" s="300"/>
      <c r="K132" s="7"/>
      <c r="L132" s="2"/>
      <c r="M132" s="26"/>
      <c r="N132" s="9"/>
      <c r="O132" s="9"/>
      <c r="P132" s="9"/>
      <c r="Q132" s="9"/>
      <c r="R132" s="9"/>
    </row>
    <row r="133" spans="1:18" ht="13.5" customHeight="1" thickBot="1" x14ac:dyDescent="0.25">
      <c r="A133" s="14" t="s">
        <v>354</v>
      </c>
      <c r="B133" s="8" t="s">
        <v>358</v>
      </c>
      <c r="C133" s="13">
        <v>19597</v>
      </c>
      <c r="D133" s="13">
        <v>19597</v>
      </c>
      <c r="E133" s="13">
        <v>19597</v>
      </c>
      <c r="F133" s="13">
        <v>19597</v>
      </c>
      <c r="G133" s="13">
        <v>19597</v>
      </c>
      <c r="H133" s="7">
        <v>19597415</v>
      </c>
      <c r="I133" s="7"/>
      <c r="J133" s="300"/>
      <c r="K133" s="7"/>
      <c r="L133" s="2"/>
      <c r="M133" s="26"/>
      <c r="N133" s="9"/>
      <c r="O133" s="9"/>
      <c r="P133" s="9"/>
      <c r="Q133" s="9"/>
      <c r="R133" s="9"/>
    </row>
    <row r="134" spans="1:18" ht="15" hidden="1" customHeight="1" x14ac:dyDescent="0.25">
      <c r="A134" s="14"/>
      <c r="B134" s="184" t="s">
        <v>349</v>
      </c>
      <c r="C134" s="41"/>
      <c r="D134" s="41"/>
      <c r="E134" s="404"/>
      <c r="F134" s="41"/>
      <c r="G134" s="41"/>
      <c r="H134" s="7"/>
      <c r="I134" s="7"/>
      <c r="J134" s="300"/>
      <c r="K134" s="7"/>
      <c r="L134" s="2"/>
      <c r="M134" s="26"/>
      <c r="N134" s="9"/>
      <c r="O134" s="9"/>
      <c r="P134" s="9"/>
      <c r="Q134" s="9"/>
      <c r="R134" s="9"/>
    </row>
    <row r="135" spans="1:18" ht="15" hidden="1" customHeight="1" thickBot="1" x14ac:dyDescent="0.3">
      <c r="A135" s="21"/>
      <c r="B135" s="181" t="s">
        <v>350</v>
      </c>
      <c r="C135" s="166"/>
      <c r="D135" s="166"/>
      <c r="E135" s="405"/>
      <c r="F135" s="166"/>
      <c r="G135" s="166"/>
      <c r="H135" s="7"/>
      <c r="I135" s="7"/>
      <c r="J135" s="300"/>
      <c r="K135" s="7"/>
      <c r="L135" s="2"/>
      <c r="M135" s="26"/>
      <c r="N135" s="9"/>
      <c r="O135" s="9"/>
      <c r="P135" s="9"/>
      <c r="Q135" s="9"/>
      <c r="R135" s="9"/>
    </row>
    <row r="136" spans="1:18" ht="21.75" customHeight="1" thickBot="1" x14ac:dyDescent="0.4">
      <c r="A136" s="210"/>
      <c r="B136" s="211" t="s">
        <v>29</v>
      </c>
      <c r="C136" s="174">
        <f>SUM(C114+C130)</f>
        <v>1756274</v>
      </c>
      <c r="D136" s="174">
        <f>SUM(D114+D130)</f>
        <v>1758327</v>
      </c>
      <c r="E136" s="174">
        <f>SUM(E114+E130)</f>
        <v>1719776</v>
      </c>
      <c r="F136" s="174" t="e">
        <f>SUM(F114+F130)</f>
        <v>#REF!</v>
      </c>
      <c r="G136" s="46" t="e">
        <f>SUM(G114+G130)</f>
        <v>#REF!</v>
      </c>
      <c r="H136" s="7"/>
      <c r="I136" s="7"/>
      <c r="J136" s="300"/>
      <c r="K136" s="7"/>
      <c r="L136" s="2"/>
      <c r="M136" s="26"/>
      <c r="N136" s="9"/>
      <c r="O136" s="9"/>
      <c r="P136" s="9"/>
      <c r="Q136" s="9"/>
      <c r="R136" s="9"/>
    </row>
    <row r="137" spans="1:18" ht="15.75" hidden="1" customHeight="1" x14ac:dyDescent="0.2">
      <c r="B137" s="88" t="s">
        <v>542</v>
      </c>
      <c r="C137" s="7">
        <f>SUM(C8-C115-C118-C121-C126-C124-C133+C127)</f>
        <v>-129462</v>
      </c>
      <c r="D137" s="7">
        <f>SUM(D8-D115-D118-D121-D126-D124-D133+D127)</f>
        <v>-126222</v>
      </c>
      <c r="E137" s="253" t="e">
        <f>SUM(E8-E115-E118-E121-E126-E124+'8.Önk.'!#REF!+'8.Önk.'!#REF!+'8.Önk.'!#REF!+'8.Önk.'!H71)</f>
        <v>#REF!</v>
      </c>
      <c r="F137" s="253" t="e">
        <f>SUM(F8-F115-F118-F121-F126-F124+'8.Önk.'!#REF!+'8.Önk.'!#REF!+'8.Önk.'!#REF!+'8.Önk.'!I71)</f>
        <v>#REF!</v>
      </c>
      <c r="G137" s="253" t="e">
        <f>SUM(G8-G115-G118-G121-G126-G124+'8.Önk.'!#REF!+'8.Önk.'!#REF!+'8.Önk.'!#REF!+'8.Önk.'!J71)</f>
        <v>#REF!</v>
      </c>
      <c r="H137" s="160"/>
      <c r="I137" s="160"/>
      <c r="J137" s="300"/>
      <c r="K137" s="160"/>
      <c r="L137" s="2"/>
      <c r="M137" s="26"/>
      <c r="N137" s="9"/>
      <c r="O137" s="9"/>
      <c r="P137" s="9"/>
      <c r="Q137" s="9"/>
      <c r="R137" s="9"/>
    </row>
    <row r="138" spans="1:18" ht="15.75" hidden="1" customHeight="1" x14ac:dyDescent="0.2">
      <c r="B138" s="88" t="s">
        <v>641</v>
      </c>
      <c r="C138" s="7">
        <f>SUM('8.Önk.'!R147)</f>
        <v>106133</v>
      </c>
      <c r="D138" s="7">
        <f>SUM('8.Önk.'!N147)</f>
        <v>0</v>
      </c>
      <c r="E138" s="253"/>
      <c r="F138" s="253"/>
      <c r="G138" s="253"/>
      <c r="H138" s="7"/>
      <c r="I138" s="7"/>
      <c r="J138" s="300"/>
      <c r="K138" s="7"/>
      <c r="L138" s="2"/>
      <c r="M138" s="26"/>
      <c r="N138" s="9"/>
      <c r="O138" s="9"/>
      <c r="P138" s="9"/>
      <c r="Q138" s="9"/>
      <c r="R138" s="9"/>
    </row>
    <row r="139" spans="1:18" ht="15.75" hidden="1" customHeight="1" x14ac:dyDescent="0.2">
      <c r="B139" s="88" t="s">
        <v>642</v>
      </c>
      <c r="C139" s="7" t="e">
        <f>SUM('8.Önk.'!#REF!+'8.Önk.'!#REF!)</f>
        <v>#REF!</v>
      </c>
      <c r="D139" s="7" t="e">
        <f>SUM('8.Önk.'!AR113+'8.Önk.'!#REF!)</f>
        <v>#REF!</v>
      </c>
      <c r="E139" s="253"/>
      <c r="F139" s="253"/>
      <c r="G139" s="253"/>
      <c r="H139" s="7"/>
      <c r="I139" s="7"/>
      <c r="J139" s="300"/>
      <c r="K139" s="7"/>
      <c r="L139" s="2"/>
      <c r="M139" s="26"/>
      <c r="N139" s="9"/>
      <c r="O139" s="9"/>
      <c r="P139" s="9"/>
      <c r="Q139" s="9"/>
      <c r="R139" s="9"/>
    </row>
    <row r="140" spans="1:18" ht="15.75" hidden="1" customHeight="1" x14ac:dyDescent="0.2">
      <c r="B140" s="88" t="s">
        <v>647</v>
      </c>
      <c r="C140" s="410" t="e">
        <f>SUM(C137+C138+C139)</f>
        <v>#REF!</v>
      </c>
      <c r="D140" s="410" t="e">
        <f>SUM(D137+D138+D139)</f>
        <v>#REF!</v>
      </c>
      <c r="E140" s="253"/>
      <c r="F140" s="253"/>
      <c r="G140" s="253"/>
      <c r="H140" s="7"/>
      <c r="I140" s="7"/>
      <c r="J140" s="300"/>
      <c r="K140" s="7"/>
      <c r="L140" s="2"/>
      <c r="M140" s="26"/>
      <c r="N140" s="9"/>
      <c r="O140" s="9"/>
      <c r="P140" s="9"/>
      <c r="Q140" s="9"/>
      <c r="R140" s="9"/>
    </row>
    <row r="141" spans="1:18" ht="15.75" customHeight="1" x14ac:dyDescent="0.2">
      <c r="C141" s="7"/>
      <c r="D141" s="2"/>
      <c r="E141" s="88"/>
      <c r="F141" s="2"/>
      <c r="G141" s="2"/>
      <c r="H141" s="7"/>
      <c r="I141" s="7"/>
      <c r="J141" s="300"/>
      <c r="K141" s="7"/>
      <c r="L141" s="2"/>
      <c r="M141" s="26"/>
      <c r="N141" s="9"/>
      <c r="O141" s="9"/>
      <c r="P141" s="9"/>
      <c r="Q141" s="9"/>
      <c r="R141" s="9"/>
    </row>
    <row r="142" spans="1:18" ht="15.75" customHeight="1" x14ac:dyDescent="0.2">
      <c r="C142" s="2"/>
      <c r="D142" s="2"/>
      <c r="E142" s="88"/>
      <c r="F142" s="2"/>
      <c r="G142" s="2"/>
      <c r="H142" s="7"/>
      <c r="I142" s="7"/>
      <c r="J142" s="300"/>
      <c r="K142" s="7"/>
      <c r="L142" s="2"/>
      <c r="M142" s="26"/>
      <c r="N142" s="9"/>
      <c r="O142" s="9"/>
      <c r="P142" s="9"/>
      <c r="Q142" s="9"/>
      <c r="R142" s="9"/>
    </row>
    <row r="143" spans="1:18" ht="15.75" customHeight="1" x14ac:dyDescent="0.2">
      <c r="C143" s="2"/>
      <c r="D143" s="2"/>
      <c r="E143" s="88"/>
      <c r="F143" s="2"/>
      <c r="G143" s="2"/>
      <c r="H143" s="7"/>
      <c r="I143" s="7"/>
      <c r="J143" s="300"/>
      <c r="K143" s="7"/>
      <c r="L143" s="2"/>
      <c r="M143" s="26"/>
      <c r="N143" s="9"/>
      <c r="O143" s="9"/>
      <c r="P143" s="9"/>
      <c r="Q143" s="9"/>
      <c r="R143" s="9"/>
    </row>
    <row r="144" spans="1:18" ht="15.75" customHeight="1" x14ac:dyDescent="0.2">
      <c r="C144" s="2"/>
      <c r="D144" s="2"/>
      <c r="E144" s="88"/>
      <c r="F144" s="2"/>
      <c r="G144" s="2"/>
      <c r="H144" s="7"/>
      <c r="I144" s="7"/>
      <c r="J144" s="7"/>
      <c r="K144" s="7"/>
      <c r="L144" s="2"/>
      <c r="M144" s="26"/>
      <c r="N144" s="9"/>
      <c r="O144" s="9"/>
      <c r="P144" s="9"/>
      <c r="Q144" s="9"/>
      <c r="R144" s="9"/>
    </row>
    <row r="145" spans="2:18" ht="15.75" customHeight="1" x14ac:dyDescent="0.2">
      <c r="B145" s="2"/>
      <c r="C145" s="2"/>
      <c r="D145" s="2"/>
      <c r="E145" s="88"/>
      <c r="F145" s="2"/>
      <c r="G145" s="2"/>
      <c r="H145" s="7"/>
      <c r="I145" s="7"/>
      <c r="J145" s="7"/>
      <c r="K145" s="7"/>
      <c r="L145" s="2"/>
      <c r="M145" s="26"/>
      <c r="N145" s="9"/>
      <c r="O145" s="9"/>
      <c r="P145" s="9"/>
      <c r="Q145" s="9"/>
      <c r="R145" s="9"/>
    </row>
    <row r="146" spans="2:18" ht="15.75" customHeight="1" x14ac:dyDescent="0.2">
      <c r="B146" s="2"/>
      <c r="C146" s="2"/>
      <c r="D146" s="2"/>
      <c r="E146" s="88"/>
      <c r="F146" s="2"/>
      <c r="G146" s="2"/>
      <c r="H146" s="7"/>
      <c r="I146" s="7"/>
      <c r="J146" s="7"/>
      <c r="K146" s="7"/>
      <c r="L146" s="2"/>
      <c r="M146" s="26"/>
      <c r="N146" s="9"/>
      <c r="O146" s="9"/>
      <c r="P146" s="9"/>
      <c r="Q146" s="9"/>
      <c r="R146" s="9"/>
    </row>
    <row r="147" spans="2:18" ht="15.75" customHeight="1" x14ac:dyDescent="0.2">
      <c r="B147" s="2"/>
      <c r="C147" s="2"/>
      <c r="D147" s="2"/>
      <c r="E147" s="88"/>
      <c r="F147" s="2"/>
      <c r="G147" s="2"/>
      <c r="H147" s="7"/>
      <c r="I147" s="7"/>
      <c r="J147" s="7"/>
      <c r="K147" s="7"/>
      <c r="L147" s="2"/>
      <c r="M147" s="26"/>
      <c r="N147" s="9"/>
      <c r="O147" s="9"/>
      <c r="P147" s="9"/>
      <c r="Q147" s="9"/>
      <c r="R147" s="9"/>
    </row>
    <row r="148" spans="2:18" ht="15.75" customHeight="1" x14ac:dyDescent="0.2">
      <c r="B148" s="2"/>
      <c r="C148" s="2"/>
      <c r="D148" s="2"/>
      <c r="E148" s="88"/>
      <c r="F148" s="2"/>
      <c r="G148" s="2"/>
      <c r="H148" s="7"/>
      <c r="I148" s="7"/>
      <c r="J148" s="7"/>
      <c r="K148" s="7"/>
      <c r="L148" s="2"/>
      <c r="M148" s="26"/>
      <c r="N148" s="9"/>
      <c r="O148" s="9"/>
      <c r="P148" s="9"/>
      <c r="Q148" s="9"/>
      <c r="R148" s="9"/>
    </row>
    <row r="149" spans="2:18" ht="15.75" customHeight="1" x14ac:dyDescent="0.2">
      <c r="B149" s="2"/>
      <c r="C149" s="2"/>
      <c r="D149" s="2"/>
      <c r="E149" s="88"/>
      <c r="F149" s="2"/>
      <c r="G149" s="2"/>
      <c r="H149" s="7"/>
      <c r="I149" s="7"/>
      <c r="J149" s="7"/>
      <c r="K149" s="7"/>
      <c r="L149" s="2"/>
      <c r="M149" s="26"/>
      <c r="N149" s="9"/>
      <c r="O149" s="9"/>
      <c r="P149" s="9"/>
      <c r="Q149" s="9"/>
      <c r="R149" s="9"/>
    </row>
    <row r="150" spans="2:18" ht="15.75" customHeight="1" x14ac:dyDescent="0.2">
      <c r="B150" s="2"/>
      <c r="C150" s="2"/>
      <c r="D150" s="2"/>
      <c r="E150" s="88"/>
      <c r="F150" s="2"/>
      <c r="G150" s="2"/>
      <c r="H150" s="7"/>
      <c r="I150" s="7"/>
      <c r="J150" s="7"/>
      <c r="K150" s="7"/>
      <c r="L150" s="2"/>
      <c r="M150" s="26"/>
      <c r="N150" s="9"/>
      <c r="O150" s="9"/>
      <c r="P150" s="9"/>
      <c r="Q150" s="9"/>
      <c r="R150" s="9"/>
    </row>
    <row r="151" spans="2:18" ht="15.75" customHeight="1" x14ac:dyDescent="0.2">
      <c r="B151" s="2"/>
      <c r="C151" s="2"/>
      <c r="D151" s="2"/>
      <c r="E151" s="88"/>
      <c r="F151" s="2"/>
      <c r="G151" s="2"/>
      <c r="H151" s="7"/>
      <c r="I151" s="7"/>
      <c r="J151" s="7"/>
      <c r="K151" s="7"/>
      <c r="L151" s="2"/>
      <c r="M151" s="26"/>
      <c r="N151" s="9"/>
      <c r="O151" s="9"/>
      <c r="P151" s="9"/>
      <c r="Q151" s="9"/>
      <c r="R151" s="9"/>
    </row>
    <row r="152" spans="2:18" ht="15.75" customHeight="1" x14ac:dyDescent="0.2">
      <c r="B152" s="2"/>
      <c r="C152" s="2"/>
      <c r="D152" s="2"/>
      <c r="E152" s="88"/>
      <c r="F152" s="2"/>
      <c r="G152" s="2"/>
      <c r="H152" s="7"/>
      <c r="I152" s="7"/>
      <c r="J152" s="7"/>
      <c r="K152" s="7"/>
      <c r="L152" s="2"/>
      <c r="M152" s="26"/>
      <c r="N152" s="9"/>
      <c r="O152" s="9"/>
      <c r="P152" s="9"/>
      <c r="Q152" s="9"/>
      <c r="R152" s="9"/>
    </row>
    <row r="153" spans="2:18" ht="15.75" customHeight="1" x14ac:dyDescent="0.2">
      <c r="B153" s="2"/>
      <c r="C153" s="2"/>
      <c r="D153" s="2"/>
      <c r="E153" s="88"/>
      <c r="F153" s="2"/>
      <c r="G153" s="2"/>
      <c r="H153" s="7"/>
      <c r="I153" s="7"/>
      <c r="J153" s="7"/>
      <c r="K153" s="7"/>
      <c r="L153" s="2"/>
      <c r="M153" s="26"/>
      <c r="N153" s="9"/>
      <c r="O153" s="9"/>
      <c r="P153" s="9"/>
      <c r="Q153" s="9"/>
      <c r="R153" s="9"/>
    </row>
    <row r="154" spans="2:18" ht="15.75" customHeight="1" x14ac:dyDescent="0.2">
      <c r="B154" s="2"/>
      <c r="C154" s="2"/>
      <c r="D154" s="2"/>
      <c r="E154" s="88"/>
      <c r="F154" s="2"/>
      <c r="G154" s="2"/>
      <c r="H154" s="7"/>
      <c r="I154" s="7"/>
      <c r="J154" s="7"/>
      <c r="K154" s="7"/>
      <c r="L154" s="2"/>
      <c r="M154" s="26"/>
      <c r="N154" s="9"/>
      <c r="O154" s="9"/>
      <c r="P154" s="9"/>
      <c r="Q154" s="9"/>
      <c r="R154" s="9"/>
    </row>
    <row r="155" spans="2:18" ht="15.75" customHeight="1" x14ac:dyDescent="0.2">
      <c r="B155" s="2"/>
      <c r="C155" s="2"/>
      <c r="D155" s="2"/>
      <c r="E155" s="88"/>
      <c r="F155" s="2"/>
      <c r="G155" s="2"/>
      <c r="H155" s="7"/>
      <c r="I155" s="7"/>
      <c r="J155" s="7"/>
      <c r="K155" s="7"/>
      <c r="L155" s="2"/>
      <c r="M155" s="26"/>
      <c r="N155" s="9"/>
      <c r="O155" s="9"/>
      <c r="P155" s="9"/>
      <c r="Q155" s="9"/>
      <c r="R155" s="9"/>
    </row>
    <row r="156" spans="2:18" ht="15.75" customHeight="1" x14ac:dyDescent="0.2">
      <c r="B156" s="2"/>
      <c r="C156" s="2"/>
      <c r="D156" s="2"/>
      <c r="E156" s="88"/>
      <c r="F156" s="2"/>
      <c r="G156" s="2"/>
      <c r="H156" s="7"/>
      <c r="I156" s="7"/>
      <c r="J156" s="7"/>
      <c r="K156" s="7"/>
      <c r="L156" s="2"/>
      <c r="M156" s="2"/>
    </row>
    <row r="157" spans="2:18" ht="15.75" customHeight="1" x14ac:dyDescent="0.2">
      <c r="B157" s="2"/>
      <c r="C157" s="2"/>
      <c r="D157" s="2"/>
      <c r="E157" s="88"/>
      <c r="F157" s="2"/>
      <c r="G157" s="2"/>
      <c r="H157" s="7"/>
      <c r="I157" s="7"/>
      <c r="J157" s="7"/>
      <c r="K157" s="7"/>
      <c r="L157" s="2"/>
      <c r="M157" s="2"/>
    </row>
    <row r="158" spans="2:18" ht="15.75" customHeight="1" x14ac:dyDescent="0.2">
      <c r="B158" s="2"/>
      <c r="C158" s="2"/>
      <c r="D158" s="2"/>
      <c r="E158" s="88"/>
      <c r="F158" s="2"/>
      <c r="G158" s="2"/>
      <c r="H158" s="7"/>
      <c r="I158" s="7"/>
      <c r="J158" s="7"/>
      <c r="K158" s="7"/>
      <c r="L158" s="2"/>
      <c r="M158" s="2"/>
    </row>
    <row r="159" spans="2:18" ht="15.75" customHeight="1" x14ac:dyDescent="0.2">
      <c r="B159" s="2"/>
      <c r="C159" s="2"/>
      <c r="D159" s="2"/>
      <c r="E159" s="88"/>
      <c r="F159" s="2"/>
      <c r="G159" s="2"/>
      <c r="H159" s="7"/>
      <c r="I159" s="7"/>
      <c r="J159" s="7"/>
      <c r="K159" s="7"/>
      <c r="L159" s="2"/>
      <c r="M159" s="2"/>
    </row>
    <row r="160" spans="2:18" ht="15.75" customHeight="1" x14ac:dyDescent="0.2">
      <c r="B160" s="2"/>
      <c r="C160" s="2"/>
      <c r="D160" s="2"/>
      <c r="E160" s="88"/>
      <c r="F160" s="2"/>
      <c r="G160" s="2"/>
      <c r="H160" s="7"/>
      <c r="I160" s="7"/>
      <c r="J160" s="7"/>
      <c r="K160" s="7"/>
      <c r="L160" s="2"/>
      <c r="M160" s="2"/>
    </row>
    <row r="161" spans="2:13" ht="15.75" customHeight="1" x14ac:dyDescent="0.2">
      <c r="B161" s="2"/>
      <c r="C161" s="2"/>
      <c r="D161" s="2"/>
      <c r="E161" s="88"/>
      <c r="F161" s="2"/>
      <c r="G161" s="2"/>
      <c r="H161" s="7"/>
      <c r="I161" s="7"/>
      <c r="J161" s="7"/>
      <c r="K161" s="7"/>
      <c r="L161" s="2"/>
      <c r="M161" s="2"/>
    </row>
    <row r="162" spans="2:13" ht="15.75" customHeight="1" x14ac:dyDescent="0.2">
      <c r="B162" s="2"/>
      <c r="C162" s="2"/>
      <c r="D162" s="2"/>
      <c r="E162" s="88"/>
      <c r="F162" s="2"/>
      <c r="G162" s="2"/>
      <c r="H162" s="7"/>
      <c r="I162" s="7"/>
      <c r="J162" s="7"/>
      <c r="K162" s="7"/>
      <c r="L162" s="2"/>
      <c r="M162" s="2"/>
    </row>
    <row r="163" spans="2:13" ht="15.75" customHeight="1" x14ac:dyDescent="0.2">
      <c r="B163" s="2"/>
      <c r="C163" s="2"/>
      <c r="D163" s="2"/>
      <c r="E163" s="88"/>
      <c r="F163" s="2"/>
      <c r="G163" s="2"/>
      <c r="H163" s="7"/>
      <c r="I163" s="7"/>
      <c r="J163" s="7"/>
      <c r="K163" s="7"/>
      <c r="L163" s="2"/>
      <c r="M163" s="2"/>
    </row>
    <row r="164" spans="2:13" ht="15.75" customHeight="1" x14ac:dyDescent="0.2">
      <c r="B164" s="2"/>
      <c r="C164" s="2"/>
      <c r="D164" s="2"/>
      <c r="E164" s="88"/>
      <c r="F164" s="2"/>
      <c r="G164" s="2"/>
      <c r="H164" s="7"/>
      <c r="I164" s="7"/>
      <c r="J164" s="7"/>
      <c r="K164" s="7"/>
      <c r="L164" s="2"/>
      <c r="M164" s="2"/>
    </row>
    <row r="165" spans="2:13" ht="15.75" customHeight="1" x14ac:dyDescent="0.2">
      <c r="B165" s="2"/>
      <c r="C165" s="2"/>
      <c r="D165" s="2"/>
      <c r="E165" s="88"/>
      <c r="F165" s="2"/>
      <c r="G165" s="2"/>
      <c r="H165" s="7"/>
      <c r="I165" s="7"/>
      <c r="J165" s="7"/>
      <c r="K165" s="7"/>
      <c r="L165" s="2"/>
      <c r="M165" s="2"/>
    </row>
    <row r="166" spans="2:13" ht="15.75" customHeight="1" x14ac:dyDescent="0.2">
      <c r="B166" s="2"/>
      <c r="C166" s="2"/>
      <c r="D166" s="2"/>
      <c r="E166" s="88"/>
      <c r="F166" s="2"/>
      <c r="G166" s="2"/>
      <c r="H166" s="7"/>
      <c r="I166" s="7"/>
      <c r="J166" s="7"/>
      <c r="K166" s="7"/>
      <c r="L166" s="2"/>
      <c r="M166" s="2"/>
    </row>
    <row r="167" spans="2:13" ht="15.75" customHeight="1" x14ac:dyDescent="0.2">
      <c r="B167" s="2"/>
      <c r="C167" s="2"/>
      <c r="D167" s="2"/>
      <c r="E167" s="88"/>
      <c r="F167" s="2"/>
      <c r="G167" s="2"/>
      <c r="H167" s="7"/>
      <c r="I167" s="7"/>
      <c r="J167" s="7"/>
      <c r="K167" s="7"/>
      <c r="L167" s="2"/>
      <c r="M167" s="2"/>
    </row>
    <row r="168" spans="2:13" ht="15.75" customHeight="1" x14ac:dyDescent="0.2">
      <c r="B168" s="2"/>
      <c r="C168" s="2"/>
      <c r="D168" s="2"/>
      <c r="E168" s="88"/>
      <c r="F168" s="2"/>
      <c r="G168" s="2"/>
      <c r="H168" s="7"/>
      <c r="I168" s="7"/>
      <c r="J168" s="7"/>
      <c r="K168" s="7"/>
      <c r="L168" s="2"/>
      <c r="M168" s="2"/>
    </row>
    <row r="169" spans="2:13" ht="15.75" customHeight="1" x14ac:dyDescent="0.2">
      <c r="B169" s="2"/>
      <c r="C169" s="2"/>
      <c r="D169" s="2"/>
      <c r="E169" s="88"/>
      <c r="F169" s="2"/>
      <c r="G169" s="2"/>
      <c r="H169" s="7"/>
      <c r="I169" s="7"/>
      <c r="J169" s="7"/>
      <c r="K169" s="7"/>
      <c r="L169" s="2"/>
      <c r="M169" s="2"/>
    </row>
    <row r="170" spans="2:13" ht="15.75" customHeight="1" x14ac:dyDescent="0.2">
      <c r="B170" s="2"/>
      <c r="C170" s="2"/>
      <c r="D170" s="2"/>
      <c r="E170" s="88"/>
      <c r="F170" s="2"/>
      <c r="G170" s="2"/>
      <c r="H170" s="7"/>
      <c r="I170" s="7"/>
      <c r="J170" s="7"/>
      <c r="K170" s="7"/>
      <c r="L170" s="2"/>
      <c r="M170" s="2"/>
    </row>
    <row r="171" spans="2:13" ht="15.75" customHeight="1" x14ac:dyDescent="0.2">
      <c r="B171" s="2"/>
      <c r="C171" s="2"/>
      <c r="D171" s="2"/>
      <c r="E171" s="88"/>
      <c r="F171" s="2"/>
      <c r="G171" s="2"/>
      <c r="H171" s="7"/>
      <c r="I171" s="7"/>
      <c r="J171" s="7"/>
      <c r="K171" s="7"/>
      <c r="L171" s="2"/>
      <c r="M171" s="2"/>
    </row>
    <row r="172" spans="2:13" ht="15.75" customHeight="1" x14ac:dyDescent="0.2">
      <c r="B172" s="2"/>
      <c r="C172" s="2"/>
      <c r="D172" s="2"/>
      <c r="E172" s="88"/>
      <c r="F172" s="2"/>
      <c r="G172" s="2"/>
      <c r="H172" s="7"/>
      <c r="I172" s="7"/>
      <c r="J172" s="7"/>
      <c r="K172" s="7"/>
      <c r="L172" s="2"/>
      <c r="M172" s="2"/>
    </row>
    <row r="173" spans="2:13" ht="15.75" customHeight="1" x14ac:dyDescent="0.2">
      <c r="B173" s="2"/>
      <c r="C173" s="2"/>
      <c r="D173" s="2"/>
      <c r="E173" s="88"/>
      <c r="F173" s="2"/>
      <c r="G173" s="2"/>
      <c r="H173" s="7"/>
      <c r="I173" s="7"/>
      <c r="J173" s="7"/>
      <c r="K173" s="7"/>
      <c r="L173" s="2"/>
      <c r="M173" s="2"/>
    </row>
    <row r="174" spans="2:13" ht="15.75" customHeight="1" x14ac:dyDescent="0.2">
      <c r="B174" s="2"/>
      <c r="C174" s="2"/>
      <c r="D174" s="2"/>
      <c r="E174" s="88"/>
      <c r="F174" s="2"/>
      <c r="G174" s="2"/>
      <c r="H174" s="7"/>
      <c r="I174" s="7"/>
      <c r="J174" s="7"/>
      <c r="K174" s="7"/>
      <c r="L174" s="2"/>
      <c r="M174" s="2"/>
    </row>
    <row r="175" spans="2:13" ht="15.75" customHeight="1" x14ac:dyDescent="0.2">
      <c r="B175" s="2"/>
      <c r="C175" s="2"/>
      <c r="D175" s="2"/>
      <c r="E175" s="88"/>
      <c r="F175" s="2"/>
      <c r="G175" s="2"/>
      <c r="H175" s="7"/>
      <c r="I175" s="7"/>
      <c r="J175" s="7"/>
      <c r="K175" s="7"/>
      <c r="L175" s="2"/>
      <c r="M175" s="2"/>
    </row>
    <row r="176" spans="2:13" ht="15.75" customHeight="1" x14ac:dyDescent="0.2">
      <c r="B176" s="2"/>
      <c r="C176" s="2"/>
      <c r="D176" s="2"/>
      <c r="E176" s="88"/>
      <c r="F176" s="2"/>
      <c r="G176" s="2"/>
      <c r="H176" s="7"/>
      <c r="I176" s="7"/>
      <c r="J176" s="7"/>
      <c r="K176" s="7"/>
      <c r="L176" s="2"/>
      <c r="M176" s="2"/>
    </row>
    <row r="177" spans="2:13" ht="15.75" customHeight="1" x14ac:dyDescent="0.2">
      <c r="B177" s="2"/>
      <c r="C177" s="2"/>
      <c r="D177" s="2"/>
      <c r="E177" s="88"/>
      <c r="F177" s="2"/>
      <c r="G177" s="2"/>
      <c r="H177" s="7"/>
      <c r="I177" s="7"/>
      <c r="J177" s="7"/>
      <c r="K177" s="7"/>
      <c r="L177" s="2"/>
      <c r="M177" s="2"/>
    </row>
    <row r="178" spans="2:13" ht="15.75" customHeight="1" x14ac:dyDescent="0.2">
      <c r="B178" s="2"/>
      <c r="C178" s="2"/>
      <c r="D178" s="2"/>
      <c r="E178" s="88"/>
      <c r="F178" s="2"/>
      <c r="G178" s="2"/>
      <c r="H178" s="7"/>
      <c r="I178" s="7"/>
      <c r="J178" s="7"/>
      <c r="K178" s="7"/>
      <c r="L178" s="2"/>
      <c r="M178" s="2"/>
    </row>
    <row r="179" spans="2:13" ht="15.75" customHeight="1" x14ac:dyDescent="0.2">
      <c r="B179" s="2"/>
      <c r="C179" s="2"/>
      <c r="D179" s="2"/>
      <c r="E179" s="88"/>
      <c r="F179" s="2"/>
      <c r="G179" s="2"/>
      <c r="H179" s="7"/>
      <c r="I179" s="7"/>
      <c r="J179" s="7"/>
      <c r="K179" s="7"/>
      <c r="L179" s="2"/>
      <c r="M179" s="2"/>
    </row>
    <row r="180" spans="2:13" ht="15.75" customHeight="1" x14ac:dyDescent="0.2">
      <c r="B180" s="2"/>
      <c r="C180" s="2"/>
      <c r="D180" s="2"/>
      <c r="E180" s="88"/>
      <c r="F180" s="2"/>
      <c r="G180" s="2"/>
      <c r="H180" s="7"/>
      <c r="I180" s="7"/>
      <c r="J180" s="7"/>
      <c r="K180" s="7"/>
      <c r="L180" s="2"/>
      <c r="M180" s="2"/>
    </row>
    <row r="181" spans="2:13" ht="15.75" customHeight="1" x14ac:dyDescent="0.2">
      <c r="B181" s="2"/>
      <c r="C181" s="2"/>
      <c r="D181" s="2"/>
      <c r="E181" s="88"/>
      <c r="F181" s="2"/>
      <c r="G181" s="2"/>
      <c r="H181" s="7"/>
      <c r="I181" s="7"/>
      <c r="J181" s="7"/>
      <c r="K181" s="7"/>
      <c r="L181" s="2"/>
      <c r="M181" s="2"/>
    </row>
    <row r="182" spans="2:13" ht="15.75" customHeight="1" x14ac:dyDescent="0.2">
      <c r="B182" s="2"/>
      <c r="C182" s="2"/>
      <c r="D182" s="2"/>
      <c r="E182" s="88"/>
      <c r="F182" s="2"/>
      <c r="G182" s="2"/>
      <c r="H182" s="7"/>
      <c r="I182" s="7"/>
      <c r="J182" s="7"/>
      <c r="K182" s="7"/>
      <c r="L182" s="2"/>
      <c r="M182" s="2"/>
    </row>
    <row r="183" spans="2:13" ht="15.75" customHeight="1" x14ac:dyDescent="0.2">
      <c r="B183" s="2"/>
      <c r="C183" s="2"/>
      <c r="D183" s="2"/>
      <c r="E183" s="88"/>
      <c r="F183" s="2"/>
      <c r="G183" s="2"/>
      <c r="H183" s="7"/>
      <c r="I183" s="7"/>
      <c r="J183" s="7"/>
      <c r="K183" s="7"/>
      <c r="L183" s="2"/>
      <c r="M183" s="2"/>
    </row>
    <row r="184" spans="2:13" ht="15.75" customHeight="1" x14ac:dyDescent="0.2">
      <c r="B184" s="2"/>
      <c r="C184" s="2"/>
      <c r="D184" s="2"/>
      <c r="E184" s="88"/>
      <c r="F184" s="2"/>
      <c r="G184" s="2"/>
      <c r="H184" s="7"/>
      <c r="I184" s="7"/>
      <c r="J184" s="7"/>
      <c r="K184" s="7"/>
      <c r="L184" s="2"/>
      <c r="M184" s="2"/>
    </row>
    <row r="185" spans="2:13" ht="15.75" customHeight="1" x14ac:dyDescent="0.2">
      <c r="B185" s="2"/>
      <c r="C185" s="2"/>
      <c r="D185" s="2"/>
      <c r="E185" s="88"/>
      <c r="F185" s="2"/>
      <c r="G185" s="2"/>
      <c r="H185" s="7"/>
      <c r="I185" s="7"/>
      <c r="J185" s="7"/>
      <c r="K185" s="7"/>
      <c r="L185" s="2"/>
      <c r="M185" s="2"/>
    </row>
    <row r="186" spans="2:13" ht="15.75" customHeight="1" x14ac:dyDescent="0.2">
      <c r="B186" s="2"/>
      <c r="C186" s="2"/>
      <c r="D186" s="2"/>
      <c r="E186" s="88"/>
      <c r="F186" s="2"/>
      <c r="G186" s="2"/>
      <c r="H186" s="7"/>
      <c r="I186" s="7"/>
      <c r="J186" s="7"/>
      <c r="K186" s="7"/>
      <c r="L186" s="2"/>
      <c r="M186" s="2"/>
    </row>
    <row r="187" spans="2:13" ht="15.75" customHeight="1" x14ac:dyDescent="0.2">
      <c r="B187" s="2"/>
      <c r="C187" s="2"/>
      <c r="D187" s="2"/>
      <c r="E187" s="88"/>
      <c r="F187" s="2"/>
      <c r="G187" s="2"/>
      <c r="H187" s="7"/>
      <c r="I187" s="7"/>
      <c r="J187" s="7"/>
      <c r="K187" s="7"/>
      <c r="L187" s="2"/>
      <c r="M187" s="2"/>
    </row>
    <row r="188" spans="2:13" ht="15.75" customHeight="1" x14ac:dyDescent="0.2">
      <c r="B188" s="2"/>
      <c r="C188" s="2"/>
      <c r="D188" s="2"/>
      <c r="E188" s="88"/>
      <c r="F188" s="2"/>
      <c r="G188" s="2"/>
      <c r="H188" s="7"/>
      <c r="I188" s="7"/>
      <c r="J188" s="7"/>
      <c r="K188" s="7"/>
      <c r="L188" s="2"/>
      <c r="M188" s="2"/>
    </row>
    <row r="189" spans="2:13" ht="15.75" customHeight="1" x14ac:dyDescent="0.2">
      <c r="B189" s="2"/>
      <c r="C189" s="2"/>
      <c r="D189" s="2"/>
      <c r="E189" s="88"/>
      <c r="F189" s="2"/>
      <c r="G189" s="2"/>
      <c r="H189" s="7"/>
      <c r="I189" s="7"/>
      <c r="J189" s="7"/>
      <c r="K189" s="7"/>
      <c r="L189" s="2"/>
      <c r="M189" s="2"/>
    </row>
    <row r="190" spans="2:13" ht="15.75" customHeight="1" x14ac:dyDescent="0.2">
      <c r="B190" s="2"/>
      <c r="C190" s="2"/>
      <c r="D190" s="2"/>
      <c r="E190" s="88"/>
      <c r="F190" s="2"/>
      <c r="G190" s="2"/>
      <c r="H190" s="7"/>
      <c r="I190" s="7"/>
      <c r="J190" s="7"/>
      <c r="K190" s="7"/>
      <c r="L190" s="2"/>
      <c r="M190" s="2"/>
    </row>
    <row r="191" spans="2:13" ht="15.75" customHeight="1" x14ac:dyDescent="0.2">
      <c r="B191" s="2"/>
      <c r="C191" s="2"/>
      <c r="D191" s="2"/>
      <c r="E191" s="88"/>
      <c r="F191" s="2"/>
      <c r="G191" s="2"/>
      <c r="H191" s="7"/>
      <c r="I191" s="7"/>
      <c r="J191" s="7"/>
      <c r="K191" s="7"/>
      <c r="L191" s="2"/>
      <c r="M191" s="2"/>
    </row>
    <row r="192" spans="2:13" ht="15.75" customHeight="1" x14ac:dyDescent="0.2">
      <c r="B192" s="2"/>
      <c r="C192" s="2"/>
      <c r="D192" s="2"/>
      <c r="E192" s="88"/>
      <c r="F192" s="2"/>
      <c r="G192" s="2"/>
      <c r="H192" s="7"/>
      <c r="I192" s="7"/>
      <c r="J192" s="7"/>
      <c r="K192" s="7"/>
      <c r="L192" s="2"/>
      <c r="M192" s="2"/>
    </row>
    <row r="193" spans="2:13" ht="15.75" customHeight="1" x14ac:dyDescent="0.2">
      <c r="B193" s="2"/>
      <c r="C193" s="2"/>
      <c r="D193" s="2"/>
      <c r="E193" s="88"/>
      <c r="F193" s="2"/>
      <c r="G193" s="2"/>
      <c r="H193" s="7"/>
      <c r="I193" s="7"/>
      <c r="J193" s="7"/>
      <c r="K193" s="7"/>
      <c r="L193" s="2"/>
      <c r="M193" s="2"/>
    </row>
    <row r="194" spans="2:13" ht="15.75" customHeight="1" x14ac:dyDescent="0.2">
      <c r="B194" s="2"/>
      <c r="C194" s="2"/>
      <c r="D194" s="2"/>
      <c r="E194" s="88"/>
      <c r="F194" s="2"/>
      <c r="G194" s="2"/>
      <c r="H194" s="7"/>
      <c r="I194" s="7"/>
      <c r="J194" s="7"/>
      <c r="K194" s="7"/>
      <c r="L194" s="2"/>
      <c r="M194" s="2"/>
    </row>
    <row r="195" spans="2:13" ht="15.75" customHeight="1" x14ac:dyDescent="0.2">
      <c r="B195" s="2"/>
      <c r="C195" s="2"/>
      <c r="D195" s="2"/>
      <c r="E195" s="88"/>
      <c r="F195" s="2"/>
      <c r="G195" s="2"/>
      <c r="H195" s="7"/>
      <c r="I195" s="7"/>
      <c r="J195" s="7"/>
      <c r="K195" s="7"/>
      <c r="L195" s="2"/>
      <c r="M195" s="2"/>
    </row>
    <row r="196" spans="2:13" ht="15.75" customHeight="1" x14ac:dyDescent="0.2">
      <c r="B196" s="2"/>
      <c r="C196" s="2"/>
      <c r="D196" s="2"/>
      <c r="E196" s="88"/>
      <c r="F196" s="2"/>
      <c r="G196" s="2"/>
      <c r="H196" s="7"/>
      <c r="I196" s="7"/>
      <c r="J196" s="7"/>
      <c r="K196" s="7"/>
      <c r="L196" s="2"/>
      <c r="M196" s="2"/>
    </row>
    <row r="197" spans="2:13" ht="15.75" customHeight="1" x14ac:dyDescent="0.2">
      <c r="B197" s="2"/>
      <c r="C197" s="2"/>
      <c r="D197" s="2"/>
      <c r="E197" s="88"/>
      <c r="F197" s="2"/>
      <c r="G197" s="2"/>
      <c r="H197" s="7"/>
      <c r="I197" s="7"/>
      <c r="J197" s="7"/>
      <c r="K197" s="7"/>
      <c r="L197" s="2"/>
      <c r="M197" s="2"/>
    </row>
    <row r="198" spans="2:13" ht="15.75" customHeight="1" x14ac:dyDescent="0.2">
      <c r="B198" s="2"/>
      <c r="C198" s="2"/>
      <c r="D198" s="2"/>
      <c r="E198" s="88"/>
      <c r="F198" s="2"/>
      <c r="G198" s="2"/>
      <c r="H198" s="7"/>
      <c r="I198" s="7"/>
      <c r="J198" s="7"/>
      <c r="K198" s="7"/>
      <c r="L198" s="2"/>
      <c r="M198" s="2"/>
    </row>
    <row r="199" spans="2:13" ht="15.75" customHeight="1" x14ac:dyDescent="0.2">
      <c r="B199" s="2"/>
      <c r="C199" s="2"/>
      <c r="D199" s="2"/>
      <c r="E199" s="88"/>
      <c r="F199" s="2"/>
      <c r="G199" s="2"/>
      <c r="H199" s="7"/>
      <c r="I199" s="7"/>
      <c r="J199" s="7"/>
      <c r="K199" s="7"/>
      <c r="L199" s="2"/>
      <c r="M199" s="2"/>
    </row>
    <row r="200" spans="2:13" ht="15.75" customHeight="1" x14ac:dyDescent="0.2">
      <c r="B200" s="2"/>
      <c r="C200" s="2"/>
      <c r="D200" s="2"/>
      <c r="E200" s="88"/>
      <c r="F200" s="2"/>
      <c r="G200" s="2"/>
      <c r="H200" s="7"/>
      <c r="I200" s="7"/>
      <c r="J200" s="7"/>
      <c r="K200" s="7"/>
      <c r="L200" s="2"/>
      <c r="M200" s="2"/>
    </row>
    <row r="201" spans="2:13" ht="15.75" customHeight="1" x14ac:dyDescent="0.2">
      <c r="B201" s="2"/>
      <c r="C201" s="2"/>
      <c r="D201" s="2"/>
      <c r="E201" s="88"/>
      <c r="F201" s="2"/>
      <c r="G201" s="2"/>
      <c r="H201" s="7"/>
      <c r="I201" s="7"/>
      <c r="J201" s="7"/>
      <c r="K201" s="7"/>
      <c r="L201" s="2"/>
      <c r="M201" s="2"/>
    </row>
    <row r="202" spans="2:13" ht="15.75" customHeight="1" x14ac:dyDescent="0.2">
      <c r="B202" s="2"/>
      <c r="C202" s="2"/>
      <c r="D202" s="2"/>
      <c r="E202" s="88"/>
      <c r="F202" s="2"/>
      <c r="G202" s="2"/>
      <c r="H202" s="7"/>
      <c r="I202" s="7"/>
      <c r="J202" s="7"/>
      <c r="K202" s="7"/>
      <c r="L202" s="2"/>
      <c r="M202" s="2"/>
    </row>
    <row r="203" spans="2:13" ht="15.75" customHeight="1" x14ac:dyDescent="0.2">
      <c r="B203" s="2"/>
      <c r="C203" s="2"/>
      <c r="D203" s="2"/>
      <c r="E203" s="88"/>
      <c r="F203" s="2"/>
      <c r="G203" s="2"/>
      <c r="H203" s="7"/>
      <c r="I203" s="7"/>
      <c r="J203" s="7"/>
      <c r="K203" s="7"/>
      <c r="L203" s="2"/>
      <c r="M203" s="2"/>
    </row>
    <row r="204" spans="2:13" ht="15.75" customHeight="1" x14ac:dyDescent="0.2">
      <c r="B204" s="2"/>
      <c r="C204" s="2"/>
      <c r="D204" s="2"/>
      <c r="E204" s="88"/>
      <c r="F204" s="2"/>
      <c r="G204" s="2"/>
      <c r="H204" s="7"/>
      <c r="I204" s="7"/>
      <c r="J204" s="7"/>
      <c r="K204" s="7"/>
      <c r="L204" s="2"/>
      <c r="M204" s="2"/>
    </row>
    <row r="205" spans="2:13" ht="15.75" customHeight="1" x14ac:dyDescent="0.2">
      <c r="B205" s="2"/>
      <c r="C205" s="2"/>
      <c r="D205" s="2"/>
      <c r="E205" s="88"/>
      <c r="F205" s="2"/>
      <c r="G205" s="2"/>
      <c r="H205" s="7"/>
      <c r="I205" s="7"/>
      <c r="J205" s="7"/>
      <c r="K205" s="7"/>
      <c r="L205" s="2"/>
      <c r="M205" s="2"/>
    </row>
    <row r="206" spans="2:13" ht="15.75" customHeight="1" x14ac:dyDescent="0.2">
      <c r="B206" s="2"/>
      <c r="C206" s="2"/>
      <c r="D206" s="2"/>
      <c r="E206" s="88"/>
      <c r="F206" s="2"/>
      <c r="G206" s="2"/>
      <c r="H206" s="7"/>
      <c r="I206" s="7"/>
      <c r="J206" s="7"/>
      <c r="K206" s="7"/>
      <c r="L206" s="2"/>
      <c r="M206" s="2"/>
    </row>
    <row r="207" spans="2:13" ht="15.75" customHeight="1" x14ac:dyDescent="0.2">
      <c r="B207" s="2"/>
      <c r="C207" s="2"/>
      <c r="D207" s="2"/>
      <c r="E207" s="88"/>
      <c r="F207" s="2"/>
      <c r="G207" s="2"/>
      <c r="H207" s="7"/>
      <c r="I207" s="7"/>
      <c r="J207" s="7"/>
      <c r="K207" s="7"/>
      <c r="L207" s="2"/>
      <c r="M207" s="2"/>
    </row>
    <row r="208" spans="2:13" ht="15.75" customHeight="1" x14ac:dyDescent="0.2">
      <c r="B208" s="2"/>
      <c r="C208" s="2"/>
      <c r="D208" s="2"/>
      <c r="E208" s="88"/>
      <c r="F208" s="2"/>
      <c r="G208" s="2"/>
      <c r="H208" s="7"/>
      <c r="I208" s="7"/>
      <c r="J208" s="7"/>
      <c r="K208" s="7"/>
      <c r="L208" s="2"/>
      <c r="M208" s="2"/>
    </row>
    <row r="209" spans="2:13" ht="15.75" customHeight="1" x14ac:dyDescent="0.2">
      <c r="B209" s="2"/>
      <c r="C209" s="2"/>
      <c r="D209" s="2"/>
      <c r="E209" s="88"/>
      <c r="F209" s="2"/>
      <c r="G209" s="2"/>
      <c r="H209" s="7"/>
      <c r="I209" s="7"/>
      <c r="J209" s="7"/>
      <c r="K209" s="7"/>
      <c r="L209" s="2"/>
      <c r="M209" s="2"/>
    </row>
    <row r="210" spans="2:13" ht="15.75" customHeight="1" x14ac:dyDescent="0.2">
      <c r="B210" s="2"/>
      <c r="C210" s="2"/>
      <c r="D210" s="2"/>
      <c r="E210" s="88"/>
      <c r="F210" s="2"/>
      <c r="G210" s="2"/>
      <c r="H210" s="7"/>
      <c r="I210" s="7"/>
      <c r="J210" s="7"/>
      <c r="K210" s="7"/>
      <c r="L210" s="2"/>
      <c r="M210" s="2"/>
    </row>
    <row r="211" spans="2:13" ht="15.75" customHeight="1" x14ac:dyDescent="0.2">
      <c r="B211" s="2"/>
      <c r="C211" s="2"/>
      <c r="D211" s="2"/>
      <c r="E211" s="88"/>
      <c r="F211" s="2"/>
      <c r="G211" s="2"/>
      <c r="H211" s="7"/>
      <c r="I211" s="7"/>
      <c r="J211" s="7"/>
      <c r="K211" s="7"/>
      <c r="L211" s="2"/>
      <c r="M211" s="2"/>
    </row>
    <row r="212" spans="2:13" ht="15.75" customHeight="1" x14ac:dyDescent="0.2">
      <c r="B212" s="2"/>
      <c r="C212" s="2"/>
      <c r="D212" s="2"/>
      <c r="E212" s="88"/>
      <c r="F212" s="2"/>
      <c r="G212" s="2"/>
      <c r="H212" s="7"/>
      <c r="I212" s="7"/>
      <c r="J212" s="7"/>
      <c r="K212" s="7"/>
      <c r="L212" s="2"/>
      <c r="M212" s="2"/>
    </row>
    <row r="213" spans="2:13" ht="15.75" customHeight="1" x14ac:dyDescent="0.2">
      <c r="B213" s="2"/>
      <c r="C213" s="2"/>
      <c r="D213" s="2"/>
      <c r="E213" s="88"/>
      <c r="F213" s="2"/>
      <c r="G213" s="2"/>
      <c r="H213" s="7"/>
      <c r="I213" s="7"/>
      <c r="J213" s="7"/>
      <c r="K213" s="7"/>
      <c r="L213" s="2"/>
      <c r="M213" s="2"/>
    </row>
    <row r="214" spans="2:13" ht="15.75" customHeight="1" x14ac:dyDescent="0.2">
      <c r="B214" s="2"/>
      <c r="C214" s="2"/>
      <c r="D214" s="2"/>
      <c r="E214" s="88"/>
      <c r="F214" s="2"/>
      <c r="G214" s="2"/>
      <c r="H214" s="7"/>
      <c r="I214" s="7"/>
      <c r="J214" s="7"/>
      <c r="K214" s="7"/>
      <c r="L214" s="2"/>
      <c r="M214" s="2"/>
    </row>
    <row r="215" spans="2:13" ht="15.75" customHeight="1" x14ac:dyDescent="0.2">
      <c r="B215" s="2"/>
      <c r="C215" s="2"/>
      <c r="D215" s="2"/>
      <c r="E215" s="88"/>
      <c r="F215" s="2"/>
      <c r="G215" s="2"/>
      <c r="H215" s="7"/>
      <c r="I215" s="7"/>
      <c r="J215" s="7"/>
      <c r="K215" s="7"/>
      <c r="L215" s="2"/>
      <c r="M215" s="2"/>
    </row>
    <row r="216" spans="2:13" ht="15.75" customHeight="1" x14ac:dyDescent="0.2">
      <c r="B216" s="2"/>
      <c r="C216" s="2"/>
      <c r="D216" s="2"/>
      <c r="E216" s="88"/>
      <c r="F216" s="2"/>
      <c r="G216" s="2"/>
      <c r="H216" s="7"/>
      <c r="I216" s="7"/>
      <c r="J216" s="7"/>
      <c r="K216" s="7"/>
      <c r="L216" s="2"/>
      <c r="M216" s="2"/>
    </row>
    <row r="217" spans="2:13" ht="15.75" customHeight="1" x14ac:dyDescent="0.2">
      <c r="B217" s="2"/>
      <c r="C217" s="2"/>
      <c r="D217" s="2"/>
      <c r="E217" s="88"/>
      <c r="F217" s="2"/>
      <c r="G217" s="2"/>
      <c r="H217" s="7"/>
      <c r="I217" s="7"/>
      <c r="J217" s="7"/>
      <c r="K217" s="7"/>
      <c r="L217" s="2"/>
      <c r="M217" s="2"/>
    </row>
    <row r="218" spans="2:13" ht="15.75" customHeight="1" x14ac:dyDescent="0.2">
      <c r="B218" s="2"/>
      <c r="C218" s="2"/>
      <c r="D218" s="2"/>
      <c r="E218" s="88"/>
      <c r="F218" s="2"/>
      <c r="G218" s="2"/>
      <c r="H218" s="7"/>
      <c r="I218" s="7"/>
      <c r="J218" s="7"/>
      <c r="K218" s="7"/>
      <c r="L218" s="2"/>
      <c r="M218" s="2"/>
    </row>
    <row r="219" spans="2:13" ht="15.75" customHeight="1" x14ac:dyDescent="0.2">
      <c r="B219" s="2"/>
      <c r="C219" s="2"/>
      <c r="D219" s="2"/>
      <c r="E219" s="88"/>
      <c r="F219" s="2"/>
      <c r="G219" s="2"/>
      <c r="H219" s="7"/>
      <c r="I219" s="7"/>
      <c r="J219" s="7"/>
      <c r="K219" s="7"/>
      <c r="L219" s="2"/>
      <c r="M219" s="2"/>
    </row>
    <row r="220" spans="2:13" ht="15.75" customHeight="1" x14ac:dyDescent="0.2">
      <c r="B220" s="2"/>
      <c r="C220" s="2"/>
      <c r="D220" s="2"/>
      <c r="E220" s="88"/>
      <c r="F220" s="2"/>
      <c r="G220" s="2"/>
      <c r="H220" s="7"/>
      <c r="I220" s="7"/>
      <c r="J220" s="7"/>
      <c r="K220" s="7"/>
      <c r="L220" s="2"/>
      <c r="M220" s="2"/>
    </row>
    <row r="221" spans="2:13" ht="15.75" customHeight="1" x14ac:dyDescent="0.2">
      <c r="B221" s="2"/>
      <c r="C221" s="2"/>
      <c r="D221" s="2"/>
      <c r="E221" s="88"/>
      <c r="F221" s="2"/>
      <c r="G221" s="2"/>
      <c r="H221" s="7"/>
      <c r="I221" s="7"/>
      <c r="J221" s="7"/>
      <c r="K221" s="7"/>
      <c r="L221" s="2"/>
      <c r="M221" s="2"/>
    </row>
    <row r="222" spans="2:13" ht="15.75" customHeight="1" x14ac:dyDescent="0.2">
      <c r="B222" s="2"/>
      <c r="C222" s="2"/>
      <c r="D222" s="2"/>
      <c r="E222" s="88"/>
      <c r="F222" s="2"/>
      <c r="G222" s="2"/>
      <c r="H222" s="7"/>
      <c r="I222" s="7"/>
      <c r="J222" s="7"/>
      <c r="K222" s="7"/>
      <c r="L222" s="2"/>
      <c r="M222" s="2"/>
    </row>
    <row r="223" spans="2:13" ht="15.75" customHeight="1" x14ac:dyDescent="0.2">
      <c r="B223" s="2"/>
      <c r="C223" s="2"/>
      <c r="D223" s="2"/>
      <c r="E223" s="88"/>
      <c r="F223" s="2"/>
      <c r="G223" s="2"/>
      <c r="H223" s="7"/>
      <c r="I223" s="7"/>
      <c r="J223" s="7"/>
      <c r="K223" s="7"/>
      <c r="L223" s="2"/>
      <c r="M223" s="2"/>
    </row>
    <row r="224" spans="2:13" ht="15.75" customHeight="1" x14ac:dyDescent="0.2">
      <c r="B224" s="2"/>
      <c r="C224" s="27"/>
      <c r="D224" s="27"/>
      <c r="E224" s="253"/>
      <c r="F224" s="27"/>
      <c r="G224" s="27"/>
      <c r="H224" s="7"/>
      <c r="I224" s="7"/>
      <c r="J224" s="7"/>
      <c r="K224" s="7"/>
      <c r="L224" s="2"/>
      <c r="M224" s="2"/>
    </row>
    <row r="225" spans="2:13" ht="15.75" customHeight="1" x14ac:dyDescent="0.2">
      <c r="B225" s="2"/>
      <c r="C225" s="27"/>
      <c r="D225" s="27"/>
      <c r="E225" s="253"/>
      <c r="F225" s="27"/>
      <c r="G225" s="27"/>
      <c r="H225" s="7"/>
      <c r="I225" s="7"/>
      <c r="J225" s="7"/>
      <c r="K225" s="7"/>
      <c r="L225" s="2"/>
      <c r="M225" s="2"/>
    </row>
    <row r="226" spans="2:13" ht="15.75" customHeight="1" x14ac:dyDescent="0.2">
      <c r="B226" s="2"/>
      <c r="C226" s="27"/>
      <c r="D226" s="27"/>
      <c r="E226" s="253"/>
      <c r="F226" s="27"/>
      <c r="G226" s="27"/>
      <c r="H226" s="7"/>
      <c r="I226" s="7"/>
      <c r="J226" s="7"/>
      <c r="K226" s="7"/>
      <c r="L226" s="2"/>
      <c r="M226" s="2"/>
    </row>
    <row r="227" spans="2:13" ht="15.75" customHeight="1" x14ac:dyDescent="0.2">
      <c r="B227" s="2"/>
      <c r="C227" s="27"/>
      <c r="D227" s="27"/>
      <c r="E227" s="253"/>
      <c r="F227" s="27"/>
      <c r="G227" s="27"/>
      <c r="H227" s="7"/>
      <c r="I227" s="7"/>
      <c r="J227" s="7"/>
      <c r="K227" s="7"/>
      <c r="L227" s="2"/>
      <c r="M227" s="2"/>
    </row>
    <row r="228" spans="2:13" ht="15.75" customHeight="1" x14ac:dyDescent="0.2">
      <c r="B228" s="2"/>
      <c r="C228" s="27"/>
      <c r="D228" s="27"/>
      <c r="E228" s="253"/>
      <c r="F228" s="27"/>
      <c r="G228" s="27"/>
      <c r="H228" s="7"/>
      <c r="I228" s="7"/>
      <c r="J228" s="7"/>
      <c r="K228" s="7"/>
      <c r="L228" s="2"/>
      <c r="M228" s="2"/>
    </row>
    <row r="229" spans="2:13" ht="15.75" customHeight="1" x14ac:dyDescent="0.2">
      <c r="B229" s="2"/>
      <c r="C229" s="27"/>
      <c r="D229" s="27"/>
      <c r="E229" s="253"/>
      <c r="F229" s="27"/>
      <c r="G229" s="27"/>
      <c r="H229" s="7"/>
      <c r="I229" s="7"/>
      <c r="J229" s="7"/>
      <c r="K229" s="7"/>
      <c r="L229" s="2"/>
      <c r="M229" s="2"/>
    </row>
    <row r="230" spans="2:13" ht="15.75" customHeight="1" x14ac:dyDescent="0.2">
      <c r="B230" s="2"/>
      <c r="C230" s="27"/>
      <c r="D230" s="27"/>
      <c r="E230" s="253"/>
      <c r="F230" s="27"/>
      <c r="G230" s="27"/>
      <c r="H230" s="7"/>
      <c r="I230" s="7"/>
      <c r="J230" s="7"/>
      <c r="K230" s="7"/>
      <c r="L230" s="2"/>
      <c r="M230" s="2"/>
    </row>
    <row r="231" spans="2:13" ht="15.75" customHeight="1" x14ac:dyDescent="0.2">
      <c r="B231" s="2"/>
      <c r="C231" s="27"/>
      <c r="D231" s="27"/>
      <c r="E231" s="253"/>
      <c r="F231" s="27"/>
      <c r="G231" s="27"/>
      <c r="H231" s="7"/>
      <c r="I231" s="7"/>
      <c r="J231" s="7"/>
      <c r="K231" s="7"/>
      <c r="L231" s="2"/>
      <c r="M231" s="2"/>
    </row>
    <row r="232" spans="2:13" ht="15.75" customHeight="1" x14ac:dyDescent="0.2">
      <c r="B232" s="2"/>
      <c r="C232" s="27"/>
      <c r="D232" s="27"/>
      <c r="E232" s="253"/>
      <c r="F232" s="27"/>
      <c r="G232" s="27"/>
      <c r="H232" s="7"/>
      <c r="I232" s="7"/>
      <c r="J232" s="7"/>
      <c r="K232" s="7"/>
      <c r="L232" s="2"/>
      <c r="M232" s="2"/>
    </row>
    <row r="233" spans="2:13" ht="15.75" customHeight="1" x14ac:dyDescent="0.2">
      <c r="B233" s="2"/>
      <c r="C233" s="27"/>
      <c r="D233" s="27"/>
      <c r="E233" s="253"/>
      <c r="F233" s="27"/>
      <c r="G233" s="27"/>
      <c r="H233" s="7"/>
      <c r="I233" s="7"/>
      <c r="J233" s="7"/>
      <c r="K233" s="7"/>
      <c r="L233" s="2"/>
      <c r="M233" s="2"/>
    </row>
    <row r="234" spans="2:13" ht="15.75" customHeight="1" x14ac:dyDescent="0.2">
      <c r="B234" s="2"/>
      <c r="C234" s="27"/>
      <c r="D234" s="27"/>
      <c r="E234" s="253"/>
      <c r="F234" s="27"/>
      <c r="G234" s="27"/>
      <c r="H234" s="7"/>
      <c r="I234" s="7"/>
      <c r="J234" s="7"/>
      <c r="K234" s="7"/>
      <c r="L234" s="2"/>
      <c r="M234" s="2"/>
    </row>
    <row r="235" spans="2:13" ht="15.75" customHeight="1" x14ac:dyDescent="0.2">
      <c r="B235" s="2"/>
      <c r="C235" s="27"/>
      <c r="D235" s="27"/>
      <c r="E235" s="253"/>
      <c r="F235" s="27"/>
      <c r="G235" s="27"/>
      <c r="H235" s="7"/>
      <c r="I235" s="7"/>
      <c r="J235" s="7"/>
      <c r="K235" s="7"/>
      <c r="L235" s="2"/>
      <c r="M235" s="2"/>
    </row>
    <row r="236" spans="2:13" ht="15.75" customHeight="1" x14ac:dyDescent="0.2">
      <c r="B236" s="2"/>
      <c r="C236" s="27"/>
      <c r="D236" s="27"/>
      <c r="E236" s="253"/>
      <c r="F236" s="27"/>
      <c r="G236" s="27"/>
      <c r="H236" s="7"/>
      <c r="I236" s="7"/>
      <c r="J236" s="7"/>
      <c r="K236" s="7"/>
      <c r="L236" s="2"/>
      <c r="M236" s="2"/>
    </row>
    <row r="237" spans="2:13" ht="15.75" customHeight="1" x14ac:dyDescent="0.2">
      <c r="B237" s="2"/>
      <c r="C237" s="27"/>
      <c r="D237" s="27"/>
      <c r="E237" s="253"/>
      <c r="F237" s="27"/>
      <c r="G237" s="27"/>
      <c r="H237" s="7"/>
      <c r="I237" s="7"/>
      <c r="J237" s="7"/>
      <c r="K237" s="7"/>
      <c r="L237" s="2"/>
      <c r="M237" s="2"/>
    </row>
    <row r="238" spans="2:13" ht="15.75" customHeight="1" x14ac:dyDescent="0.2">
      <c r="B238" s="2"/>
      <c r="C238" s="27"/>
      <c r="D238" s="27"/>
      <c r="E238" s="253"/>
      <c r="F238" s="27"/>
      <c r="G238" s="27"/>
      <c r="H238" s="7"/>
      <c r="I238" s="7"/>
      <c r="J238" s="7"/>
      <c r="K238" s="7"/>
      <c r="L238" s="2"/>
      <c r="M238" s="2"/>
    </row>
    <row r="239" spans="2:13" ht="15.75" customHeight="1" x14ac:dyDescent="0.2">
      <c r="B239" s="2"/>
      <c r="C239" s="27"/>
      <c r="D239" s="27"/>
      <c r="E239" s="253"/>
      <c r="F239" s="27"/>
      <c r="G239" s="27"/>
      <c r="H239" s="7"/>
      <c r="I239" s="7"/>
      <c r="J239" s="7"/>
      <c r="K239" s="7"/>
      <c r="L239" s="2"/>
      <c r="M239" s="2"/>
    </row>
    <row r="240" spans="2:13" ht="15.75" customHeight="1" x14ac:dyDescent="0.2">
      <c r="B240" s="2"/>
      <c r="C240" s="27"/>
      <c r="D240" s="27"/>
      <c r="E240" s="253"/>
      <c r="F240" s="27"/>
      <c r="G240" s="27"/>
      <c r="H240" s="7"/>
      <c r="I240" s="7"/>
      <c r="J240" s="7"/>
      <c r="K240" s="7"/>
      <c r="L240" s="2"/>
      <c r="M240" s="2"/>
    </row>
    <row r="241" spans="2:13" ht="15.75" customHeight="1" x14ac:dyDescent="0.2">
      <c r="B241" s="2"/>
      <c r="C241" s="27"/>
      <c r="D241" s="27"/>
      <c r="E241" s="253"/>
      <c r="F241" s="27"/>
      <c r="G241" s="27"/>
      <c r="H241" s="7"/>
      <c r="I241" s="7"/>
      <c r="J241" s="7"/>
      <c r="K241" s="7"/>
      <c r="L241" s="2"/>
      <c r="M241" s="2"/>
    </row>
    <row r="242" spans="2:13" ht="15.75" customHeight="1" x14ac:dyDescent="0.2">
      <c r="B242" s="2"/>
      <c r="C242" s="27"/>
      <c r="D242" s="27"/>
      <c r="E242" s="253"/>
      <c r="F242" s="27"/>
      <c r="G242" s="27"/>
      <c r="H242" s="7"/>
      <c r="I242" s="7"/>
      <c r="J242" s="7"/>
      <c r="K242" s="7"/>
      <c r="L242" s="2"/>
      <c r="M242" s="2"/>
    </row>
    <row r="243" spans="2:13" ht="15.75" customHeight="1" x14ac:dyDescent="0.2">
      <c r="B243" s="2"/>
      <c r="C243" s="27"/>
      <c r="D243" s="27"/>
      <c r="E243" s="253"/>
      <c r="F243" s="27"/>
      <c r="G243" s="27"/>
      <c r="H243" s="7"/>
      <c r="I243" s="7"/>
      <c r="J243" s="7"/>
      <c r="K243" s="7"/>
      <c r="L243" s="2"/>
      <c r="M243" s="2"/>
    </row>
    <row r="244" spans="2:13" ht="15.75" customHeight="1" x14ac:dyDescent="0.2">
      <c r="B244" s="2"/>
      <c r="C244" s="27"/>
      <c r="D244" s="27"/>
      <c r="E244" s="253"/>
      <c r="F244" s="27"/>
      <c r="G244" s="27"/>
      <c r="H244" s="7"/>
      <c r="I244" s="7"/>
      <c r="J244" s="7"/>
      <c r="K244" s="7"/>
      <c r="L244" s="2"/>
      <c r="M244" s="2"/>
    </row>
    <row r="245" spans="2:13" ht="15.75" customHeight="1" x14ac:dyDescent="0.2">
      <c r="B245" s="2"/>
      <c r="C245" s="27"/>
      <c r="D245" s="27"/>
      <c r="E245" s="253"/>
      <c r="F245" s="27"/>
      <c r="G245" s="27"/>
      <c r="H245" s="7"/>
      <c r="I245" s="7"/>
      <c r="J245" s="7"/>
      <c r="K245" s="7"/>
      <c r="L245" s="2"/>
      <c r="M245" s="2"/>
    </row>
    <row r="246" spans="2:13" ht="15.75" customHeight="1" x14ac:dyDescent="0.2">
      <c r="B246" s="2"/>
      <c r="C246" s="27"/>
      <c r="D246" s="27"/>
      <c r="E246" s="253"/>
      <c r="F246" s="27"/>
      <c r="G246" s="27"/>
      <c r="H246" s="7"/>
      <c r="I246" s="7"/>
      <c r="J246" s="7"/>
      <c r="K246" s="7"/>
      <c r="L246" s="2"/>
      <c r="M246" s="2"/>
    </row>
    <row r="247" spans="2:13" ht="15.75" customHeight="1" x14ac:dyDescent="0.2">
      <c r="B247" s="2"/>
      <c r="C247" s="27"/>
      <c r="D247" s="27"/>
      <c r="E247" s="253"/>
      <c r="F247" s="27"/>
      <c r="G247" s="27"/>
      <c r="H247" s="7"/>
      <c r="I247" s="7"/>
      <c r="J247" s="7"/>
      <c r="K247" s="7"/>
      <c r="L247" s="2"/>
      <c r="M247" s="2"/>
    </row>
    <row r="248" spans="2:13" ht="15.75" customHeight="1" x14ac:dyDescent="0.2">
      <c r="B248" s="2"/>
      <c r="C248" s="27"/>
      <c r="D248" s="27"/>
      <c r="E248" s="253"/>
      <c r="F248" s="27"/>
      <c r="G248" s="27"/>
      <c r="H248" s="7"/>
      <c r="I248" s="7"/>
      <c r="J248" s="7"/>
      <c r="K248" s="7"/>
      <c r="L248" s="2"/>
      <c r="M248" s="2"/>
    </row>
    <row r="249" spans="2:13" ht="15.75" customHeight="1" x14ac:dyDescent="0.2">
      <c r="B249" s="2"/>
      <c r="C249" s="27"/>
      <c r="D249" s="27"/>
      <c r="E249" s="253"/>
      <c r="F249" s="27"/>
      <c r="G249" s="27"/>
      <c r="H249" s="7"/>
      <c r="I249" s="7"/>
      <c r="J249" s="7"/>
      <c r="K249" s="7"/>
      <c r="L249" s="2"/>
      <c r="M249" s="2"/>
    </row>
    <row r="250" spans="2:13" ht="15.75" customHeight="1" x14ac:dyDescent="0.2">
      <c r="B250" s="2"/>
      <c r="C250" s="27"/>
      <c r="D250" s="27"/>
      <c r="E250" s="253"/>
      <c r="F250" s="27"/>
      <c r="G250" s="27"/>
      <c r="H250" s="7"/>
      <c r="I250" s="7"/>
      <c r="J250" s="7"/>
      <c r="K250" s="7"/>
      <c r="L250" s="2"/>
      <c r="M250" s="2"/>
    </row>
    <row r="251" spans="2:13" ht="15.75" customHeight="1" x14ac:dyDescent="0.2">
      <c r="B251" s="2"/>
      <c r="C251" s="27"/>
      <c r="D251" s="27"/>
      <c r="E251" s="253"/>
      <c r="F251" s="27"/>
      <c r="G251" s="27"/>
      <c r="H251" s="7"/>
      <c r="I251" s="7"/>
      <c r="J251" s="7"/>
      <c r="K251" s="7"/>
      <c r="L251" s="2"/>
      <c r="M251" s="2"/>
    </row>
    <row r="252" spans="2:13" ht="15.75" customHeight="1" x14ac:dyDescent="0.2">
      <c r="B252" s="2"/>
      <c r="C252" s="27"/>
      <c r="D252" s="27"/>
      <c r="E252" s="253"/>
      <c r="F252" s="27"/>
      <c r="G252" s="27"/>
      <c r="H252" s="7"/>
      <c r="I252" s="7"/>
      <c r="J252" s="7"/>
      <c r="K252" s="7"/>
      <c r="L252" s="2"/>
      <c r="M252" s="2"/>
    </row>
    <row r="253" spans="2:13" ht="15.75" customHeight="1" x14ac:dyDescent="0.2">
      <c r="B253" s="2"/>
      <c r="C253" s="27"/>
      <c r="D253" s="27"/>
      <c r="E253" s="253"/>
      <c r="F253" s="27"/>
      <c r="G253" s="27"/>
      <c r="H253" s="7"/>
      <c r="I253" s="7"/>
      <c r="J253" s="7"/>
      <c r="K253" s="7"/>
      <c r="L253" s="2"/>
      <c r="M253" s="2"/>
    </row>
    <row r="254" spans="2:13" ht="15.75" customHeight="1" x14ac:dyDescent="0.2">
      <c r="B254" s="2"/>
      <c r="C254" s="27"/>
      <c r="D254" s="27"/>
      <c r="E254" s="253"/>
      <c r="F254" s="27"/>
      <c r="G254" s="27"/>
      <c r="H254" s="7"/>
      <c r="I254" s="7"/>
      <c r="J254" s="7"/>
      <c r="K254" s="7"/>
      <c r="L254" s="2"/>
      <c r="M254" s="2"/>
    </row>
    <row r="255" spans="2:13" ht="15.75" customHeight="1" x14ac:dyDescent="0.2">
      <c r="B255" s="2"/>
      <c r="C255" s="27"/>
      <c r="D255" s="27"/>
      <c r="E255" s="253"/>
      <c r="F255" s="27"/>
      <c r="G255" s="27"/>
      <c r="H255" s="7"/>
      <c r="I255" s="7"/>
      <c r="J255" s="7"/>
      <c r="K255" s="7"/>
      <c r="L255" s="2"/>
      <c r="M255" s="2"/>
    </row>
    <row r="256" spans="2:13" ht="15.75" customHeight="1" x14ac:dyDescent="0.2">
      <c r="B256" s="2"/>
      <c r="C256" s="27"/>
      <c r="D256" s="27"/>
      <c r="E256" s="253"/>
      <c r="F256" s="27"/>
      <c r="G256" s="27"/>
      <c r="H256" s="7"/>
      <c r="I256" s="7"/>
      <c r="J256" s="7"/>
      <c r="K256" s="7"/>
      <c r="L256" s="2"/>
      <c r="M256" s="2"/>
    </row>
    <row r="257" spans="2:13" ht="15.75" customHeight="1" x14ac:dyDescent="0.2">
      <c r="B257" s="2"/>
      <c r="C257" s="27"/>
      <c r="D257" s="27"/>
      <c r="E257" s="253"/>
      <c r="F257" s="27"/>
      <c r="G257" s="27"/>
      <c r="H257" s="7"/>
      <c r="I257" s="7"/>
      <c r="J257" s="7"/>
      <c r="K257" s="7"/>
      <c r="L257" s="2"/>
      <c r="M257" s="2"/>
    </row>
    <row r="258" spans="2:13" ht="15.75" customHeight="1" x14ac:dyDescent="0.2">
      <c r="B258" s="2"/>
      <c r="C258" s="27"/>
      <c r="D258" s="27"/>
      <c r="E258" s="253"/>
      <c r="F258" s="27"/>
      <c r="G258" s="27"/>
      <c r="H258" s="7"/>
      <c r="I258" s="7"/>
      <c r="J258" s="7"/>
      <c r="K258" s="7"/>
      <c r="L258" s="2"/>
      <c r="M258" s="2"/>
    </row>
    <row r="259" spans="2:13" ht="15.75" customHeight="1" x14ac:dyDescent="0.2">
      <c r="B259" s="2"/>
      <c r="C259" s="27"/>
      <c r="D259" s="27"/>
      <c r="E259" s="253"/>
      <c r="F259" s="27"/>
      <c r="G259" s="27"/>
      <c r="H259" s="7"/>
      <c r="I259" s="7"/>
      <c r="J259" s="7"/>
      <c r="K259" s="7"/>
      <c r="L259" s="2"/>
      <c r="M259" s="2"/>
    </row>
    <row r="260" spans="2:13" ht="15.75" customHeight="1" x14ac:dyDescent="0.2">
      <c r="B260" s="2"/>
      <c r="C260" s="27"/>
      <c r="D260" s="27"/>
      <c r="E260" s="253"/>
      <c r="F260" s="27"/>
      <c r="G260" s="27"/>
      <c r="H260" s="7"/>
      <c r="I260" s="7"/>
      <c r="J260" s="7"/>
      <c r="K260" s="7"/>
      <c r="L260" s="2"/>
      <c r="M260" s="2"/>
    </row>
    <row r="261" spans="2:13" ht="15.75" customHeight="1" x14ac:dyDescent="0.2">
      <c r="B261" s="2"/>
      <c r="C261" s="27"/>
      <c r="D261" s="27"/>
      <c r="E261" s="253"/>
      <c r="F261" s="27"/>
      <c r="G261" s="27"/>
      <c r="H261" s="7"/>
      <c r="I261" s="7"/>
      <c r="J261" s="7"/>
      <c r="K261" s="7"/>
      <c r="L261" s="2"/>
      <c r="M261" s="2"/>
    </row>
    <row r="262" spans="2:13" ht="15.75" customHeight="1" x14ac:dyDescent="0.2">
      <c r="B262" s="2"/>
      <c r="C262" s="27"/>
      <c r="D262" s="27"/>
      <c r="E262" s="253"/>
      <c r="F262" s="27"/>
      <c r="G262" s="27"/>
      <c r="H262" s="7"/>
      <c r="I262" s="7"/>
      <c r="J262" s="7"/>
      <c r="K262" s="7"/>
      <c r="L262" s="2"/>
      <c r="M262" s="2"/>
    </row>
    <row r="263" spans="2:13" ht="15.75" customHeight="1" x14ac:dyDescent="0.2">
      <c r="B263" s="2"/>
      <c r="C263" s="27"/>
      <c r="D263" s="27"/>
      <c r="E263" s="253"/>
      <c r="F263" s="27"/>
      <c r="G263" s="27"/>
      <c r="H263" s="7"/>
      <c r="I263" s="7"/>
      <c r="J263" s="7"/>
      <c r="K263" s="7"/>
      <c r="L263" s="2"/>
      <c r="M263" s="2"/>
    </row>
    <row r="264" spans="2:13" ht="15.75" customHeight="1" x14ac:dyDescent="0.2">
      <c r="B264" s="2"/>
      <c r="C264" s="27"/>
      <c r="D264" s="27"/>
      <c r="E264" s="253"/>
      <c r="F264" s="27"/>
      <c r="G264" s="27"/>
      <c r="H264" s="7"/>
      <c r="I264" s="7"/>
      <c r="J264" s="7"/>
      <c r="K264" s="7"/>
      <c r="L264" s="2"/>
      <c r="M264" s="2"/>
    </row>
    <row r="265" spans="2:13" ht="15.75" customHeight="1" x14ac:dyDescent="0.2">
      <c r="B265" s="2"/>
      <c r="C265" s="27"/>
      <c r="D265" s="27"/>
      <c r="E265" s="253"/>
      <c r="F265" s="27"/>
      <c r="G265" s="27"/>
      <c r="H265" s="7"/>
      <c r="I265" s="7"/>
      <c r="J265" s="7"/>
      <c r="K265" s="7"/>
      <c r="L265" s="2"/>
      <c r="M265" s="2"/>
    </row>
    <row r="266" spans="2:13" ht="15.75" customHeight="1" x14ac:dyDescent="0.2">
      <c r="B266" s="2"/>
      <c r="C266" s="27"/>
      <c r="D266" s="27"/>
      <c r="E266" s="253"/>
      <c r="F266" s="27"/>
      <c r="G266" s="27"/>
      <c r="H266" s="7"/>
      <c r="I266" s="7"/>
      <c r="J266" s="7"/>
      <c r="K266" s="7"/>
      <c r="L266" s="2"/>
      <c r="M266" s="2"/>
    </row>
    <row r="267" spans="2:13" ht="15.75" customHeight="1" x14ac:dyDescent="0.2">
      <c r="B267" s="2"/>
      <c r="C267" s="27"/>
      <c r="D267" s="27"/>
      <c r="E267" s="253"/>
      <c r="F267" s="27"/>
      <c r="G267" s="27"/>
      <c r="H267" s="7"/>
      <c r="I267" s="7"/>
      <c r="J267" s="7"/>
      <c r="K267" s="7"/>
      <c r="L267" s="2"/>
      <c r="M267" s="2"/>
    </row>
    <row r="268" spans="2:13" ht="15.75" customHeight="1" x14ac:dyDescent="0.2">
      <c r="B268" s="2"/>
      <c r="C268" s="27"/>
      <c r="D268" s="27"/>
      <c r="E268" s="253"/>
      <c r="F268" s="27"/>
      <c r="G268" s="27"/>
      <c r="H268" s="7"/>
      <c r="I268" s="7"/>
      <c r="J268" s="7"/>
      <c r="K268" s="7"/>
      <c r="L268" s="2"/>
      <c r="M268" s="2"/>
    </row>
    <row r="269" spans="2:13" ht="15.75" customHeight="1" x14ac:dyDescent="0.2">
      <c r="B269" s="2"/>
      <c r="C269" s="27"/>
      <c r="D269" s="27"/>
      <c r="E269" s="253"/>
      <c r="F269" s="27"/>
      <c r="G269" s="27"/>
      <c r="H269" s="7"/>
      <c r="I269" s="7"/>
      <c r="J269" s="7"/>
      <c r="K269" s="7"/>
      <c r="L269" s="2"/>
      <c r="M269" s="2"/>
    </row>
    <row r="270" spans="2:13" ht="15.75" customHeight="1" x14ac:dyDescent="0.2">
      <c r="B270" s="2"/>
      <c r="C270" s="27"/>
      <c r="D270" s="27"/>
      <c r="E270" s="253"/>
      <c r="F270" s="27"/>
      <c r="G270" s="27"/>
      <c r="H270" s="7"/>
      <c r="I270" s="7"/>
      <c r="J270" s="7"/>
      <c r="K270" s="7"/>
      <c r="L270" s="2"/>
      <c r="M270" s="2"/>
    </row>
    <row r="271" spans="2:13" ht="15.75" customHeight="1" x14ac:dyDescent="0.2">
      <c r="B271" s="2"/>
      <c r="C271" s="27"/>
      <c r="D271" s="27"/>
      <c r="E271" s="253"/>
      <c r="F271" s="27"/>
      <c r="G271" s="27"/>
      <c r="H271" s="7"/>
      <c r="I271" s="7"/>
      <c r="J271" s="7"/>
      <c r="K271" s="7"/>
      <c r="L271" s="2"/>
      <c r="M271" s="2"/>
    </row>
    <row r="272" spans="2:13" ht="15.75" customHeight="1" x14ac:dyDescent="0.2">
      <c r="B272" s="2"/>
      <c r="C272" s="27"/>
      <c r="D272" s="27"/>
      <c r="E272" s="253"/>
      <c r="F272" s="27"/>
      <c r="G272" s="27"/>
      <c r="H272" s="7"/>
      <c r="I272" s="7"/>
      <c r="J272" s="7"/>
      <c r="K272" s="7"/>
      <c r="L272" s="2"/>
      <c r="M272" s="2"/>
    </row>
    <row r="273" spans="2:13" ht="15.75" customHeight="1" x14ac:dyDescent="0.2">
      <c r="B273" s="2"/>
      <c r="C273" s="27"/>
      <c r="D273" s="27"/>
      <c r="E273" s="253"/>
      <c r="F273" s="27"/>
      <c r="G273" s="27"/>
      <c r="H273" s="7"/>
      <c r="I273" s="7"/>
      <c r="J273" s="7"/>
      <c r="K273" s="7"/>
      <c r="L273" s="2"/>
      <c r="M273" s="2"/>
    </row>
    <row r="274" spans="2:13" ht="15.75" customHeight="1" x14ac:dyDescent="0.2">
      <c r="B274" s="2"/>
      <c r="C274" s="27"/>
      <c r="D274" s="27"/>
      <c r="E274" s="253"/>
      <c r="F274" s="27"/>
      <c r="G274" s="27"/>
      <c r="H274" s="7"/>
      <c r="I274" s="7"/>
      <c r="J274" s="7"/>
      <c r="K274" s="7"/>
      <c r="L274" s="2"/>
      <c r="M274" s="2"/>
    </row>
    <row r="275" spans="2:13" ht="15.75" customHeight="1" x14ac:dyDescent="0.2">
      <c r="B275" s="2"/>
      <c r="C275" s="27"/>
      <c r="D275" s="27"/>
      <c r="E275" s="253"/>
      <c r="F275" s="27"/>
      <c r="G275" s="27"/>
      <c r="H275" s="7"/>
      <c r="I275" s="7"/>
      <c r="J275" s="7"/>
      <c r="K275" s="7"/>
      <c r="L275" s="2"/>
      <c r="M275" s="2"/>
    </row>
    <row r="276" spans="2:13" ht="15.75" customHeight="1" x14ac:dyDescent="0.2">
      <c r="B276" s="2"/>
      <c r="C276" s="27"/>
      <c r="D276" s="27"/>
      <c r="E276" s="253"/>
      <c r="F276" s="27"/>
      <c r="G276" s="27"/>
      <c r="H276" s="7"/>
      <c r="I276" s="7"/>
      <c r="J276" s="7"/>
      <c r="K276" s="7"/>
      <c r="L276" s="2"/>
      <c r="M276" s="2"/>
    </row>
    <row r="277" spans="2:13" ht="15.75" customHeight="1" x14ac:dyDescent="0.2">
      <c r="B277" s="2"/>
      <c r="C277" s="27"/>
      <c r="D277" s="27"/>
      <c r="E277" s="253"/>
      <c r="F277" s="27"/>
      <c r="G277" s="27"/>
      <c r="H277" s="7"/>
      <c r="I277" s="7"/>
      <c r="J277" s="7"/>
      <c r="K277" s="7"/>
      <c r="L277" s="2"/>
      <c r="M277" s="2"/>
    </row>
    <row r="278" spans="2:13" ht="15.75" customHeight="1" x14ac:dyDescent="0.2">
      <c r="B278" s="2"/>
      <c r="C278" s="27"/>
      <c r="D278" s="27"/>
      <c r="E278" s="253"/>
      <c r="F278" s="27"/>
      <c r="G278" s="27"/>
      <c r="H278" s="7"/>
      <c r="I278" s="7"/>
      <c r="J278" s="7"/>
      <c r="K278" s="7"/>
      <c r="L278" s="2"/>
      <c r="M278" s="2"/>
    </row>
    <row r="279" spans="2:13" ht="15.75" customHeight="1" x14ac:dyDescent="0.2">
      <c r="B279" s="2"/>
      <c r="C279" s="27"/>
      <c r="D279" s="27"/>
      <c r="E279" s="253"/>
      <c r="F279" s="27"/>
      <c r="G279" s="27"/>
      <c r="H279" s="7"/>
      <c r="I279" s="7"/>
      <c r="J279" s="7"/>
      <c r="K279" s="7"/>
      <c r="L279" s="2"/>
      <c r="M279" s="2"/>
    </row>
    <row r="280" spans="2:13" ht="15.75" customHeight="1" x14ac:dyDescent="0.2">
      <c r="B280" s="2"/>
      <c r="C280" s="27"/>
      <c r="D280" s="27"/>
      <c r="E280" s="253"/>
      <c r="F280" s="27"/>
      <c r="G280" s="27"/>
      <c r="H280" s="7"/>
      <c r="I280" s="7"/>
      <c r="J280" s="7"/>
      <c r="K280" s="7"/>
      <c r="L280" s="2"/>
      <c r="M280" s="2"/>
    </row>
    <row r="281" spans="2:13" ht="15.75" customHeight="1" x14ac:dyDescent="0.2">
      <c r="B281" s="2"/>
      <c r="C281" s="27"/>
      <c r="D281" s="27"/>
      <c r="E281" s="253"/>
      <c r="F281" s="27"/>
      <c r="G281" s="27"/>
      <c r="H281" s="7"/>
      <c r="I281" s="7"/>
      <c r="J281" s="7"/>
      <c r="K281" s="7"/>
      <c r="L281" s="2"/>
      <c r="M281" s="2"/>
    </row>
    <row r="282" spans="2:13" ht="15.75" customHeight="1" x14ac:dyDescent="0.2">
      <c r="B282" s="2"/>
      <c r="C282" s="27"/>
      <c r="D282" s="27"/>
      <c r="E282" s="253"/>
      <c r="F282" s="27"/>
      <c r="G282" s="27"/>
      <c r="H282" s="7"/>
      <c r="I282" s="7"/>
      <c r="J282" s="7"/>
      <c r="K282" s="7"/>
      <c r="L282" s="2"/>
      <c r="M282" s="2"/>
    </row>
    <row r="283" spans="2:13" ht="15.75" customHeight="1" x14ac:dyDescent="0.2">
      <c r="B283" s="2"/>
      <c r="C283" s="27"/>
      <c r="D283" s="27"/>
      <c r="E283" s="253"/>
      <c r="F283" s="27"/>
      <c r="G283" s="27"/>
      <c r="H283" s="7"/>
      <c r="I283" s="7"/>
      <c r="J283" s="7"/>
      <c r="K283" s="7"/>
      <c r="L283" s="2"/>
      <c r="M283" s="2"/>
    </row>
    <row r="284" spans="2:13" ht="15.75" customHeight="1" x14ac:dyDescent="0.2">
      <c r="B284" s="2"/>
      <c r="C284" s="27"/>
      <c r="D284" s="27"/>
      <c r="E284" s="253"/>
      <c r="F284" s="27"/>
      <c r="G284" s="27"/>
      <c r="H284" s="7"/>
      <c r="I284" s="7"/>
      <c r="J284" s="7"/>
      <c r="K284" s="7"/>
      <c r="L284" s="2"/>
      <c r="M284" s="2"/>
    </row>
    <row r="285" spans="2:13" ht="15.75" customHeight="1" x14ac:dyDescent="0.2">
      <c r="B285" s="2"/>
      <c r="C285" s="27"/>
      <c r="D285" s="27"/>
      <c r="E285" s="253"/>
      <c r="F285" s="27"/>
      <c r="G285" s="27"/>
      <c r="H285" s="7"/>
      <c r="I285" s="7"/>
      <c r="J285" s="7"/>
      <c r="K285" s="7"/>
      <c r="L285" s="2"/>
      <c r="M285" s="2"/>
    </row>
    <row r="286" spans="2:13" ht="15.75" customHeight="1" x14ac:dyDescent="0.2">
      <c r="B286" s="2"/>
      <c r="C286" s="27"/>
      <c r="D286" s="27"/>
      <c r="E286" s="253"/>
      <c r="F286" s="27"/>
      <c r="G286" s="27"/>
      <c r="H286" s="7"/>
      <c r="I286" s="7"/>
      <c r="J286" s="7"/>
      <c r="K286" s="7"/>
      <c r="L286" s="2"/>
      <c r="M286" s="2"/>
    </row>
    <row r="287" spans="2:13" ht="15.75" customHeight="1" x14ac:dyDescent="0.2">
      <c r="B287" s="2"/>
      <c r="C287" s="27"/>
      <c r="D287" s="27"/>
      <c r="E287" s="253"/>
      <c r="F287" s="27"/>
      <c r="G287" s="27"/>
      <c r="H287" s="7"/>
      <c r="I287" s="7"/>
      <c r="J287" s="7"/>
      <c r="K287" s="7"/>
      <c r="L287" s="2"/>
      <c r="M287" s="2"/>
    </row>
    <row r="288" spans="2:13" ht="15.75" customHeight="1" x14ac:dyDescent="0.2">
      <c r="B288" s="2"/>
      <c r="C288" s="27"/>
      <c r="D288" s="27"/>
      <c r="E288" s="253"/>
      <c r="F288" s="27"/>
      <c r="G288" s="27"/>
      <c r="H288" s="7"/>
      <c r="I288" s="7"/>
      <c r="J288" s="7"/>
      <c r="K288" s="7"/>
      <c r="L288" s="2"/>
      <c r="M288" s="2"/>
    </row>
    <row r="289" spans="2:13" ht="15.75" customHeight="1" x14ac:dyDescent="0.2">
      <c r="B289" s="2"/>
      <c r="C289" s="27"/>
      <c r="D289" s="27"/>
      <c r="E289" s="253"/>
      <c r="F289" s="27"/>
      <c r="G289" s="27"/>
      <c r="H289" s="7"/>
      <c r="I289" s="7"/>
      <c r="J289" s="7"/>
      <c r="K289" s="7"/>
      <c r="L289" s="2"/>
      <c r="M289" s="2"/>
    </row>
    <row r="290" spans="2:13" ht="15.75" customHeight="1" x14ac:dyDescent="0.2">
      <c r="B290" s="2"/>
      <c r="C290" s="27"/>
      <c r="D290" s="27"/>
      <c r="E290" s="253"/>
      <c r="F290" s="27"/>
      <c r="G290" s="27"/>
      <c r="H290" s="7"/>
      <c r="I290" s="7"/>
      <c r="J290" s="7"/>
      <c r="K290" s="7"/>
      <c r="L290" s="2"/>
      <c r="M290" s="2"/>
    </row>
    <row r="291" spans="2:13" ht="15.75" customHeight="1" x14ac:dyDescent="0.2">
      <c r="B291" s="2"/>
      <c r="C291" s="27"/>
      <c r="D291" s="27"/>
      <c r="E291" s="253"/>
      <c r="F291" s="27"/>
      <c r="G291" s="27"/>
      <c r="H291" s="7"/>
      <c r="I291" s="7"/>
      <c r="J291" s="7"/>
      <c r="K291" s="7"/>
      <c r="L291" s="2"/>
      <c r="M291" s="2"/>
    </row>
    <row r="292" spans="2:13" ht="15.75" customHeight="1" x14ac:dyDescent="0.2">
      <c r="B292" s="2"/>
      <c r="C292" s="27"/>
      <c r="D292" s="27"/>
      <c r="E292" s="253"/>
      <c r="F292" s="27"/>
      <c r="G292" s="27"/>
      <c r="H292" s="7"/>
      <c r="I292" s="7"/>
      <c r="J292" s="7"/>
      <c r="K292" s="7"/>
      <c r="L292" s="2"/>
      <c r="M292" s="2"/>
    </row>
    <row r="293" spans="2:13" ht="15.75" customHeight="1" x14ac:dyDescent="0.2">
      <c r="B293" s="2"/>
      <c r="C293" s="27"/>
      <c r="D293" s="27"/>
      <c r="E293" s="253"/>
      <c r="F293" s="27"/>
      <c r="G293" s="27"/>
      <c r="H293" s="7"/>
      <c r="I293" s="7"/>
      <c r="J293" s="7"/>
      <c r="K293" s="7"/>
      <c r="L293" s="2"/>
      <c r="M293" s="2"/>
    </row>
    <row r="294" spans="2:13" ht="15.75" customHeight="1" x14ac:dyDescent="0.2">
      <c r="B294" s="2"/>
      <c r="C294" s="27"/>
      <c r="D294" s="27"/>
      <c r="E294" s="253"/>
      <c r="F294" s="27"/>
      <c r="G294" s="27"/>
      <c r="H294" s="7"/>
      <c r="I294" s="7"/>
      <c r="J294" s="7"/>
      <c r="K294" s="7"/>
      <c r="L294" s="2"/>
      <c r="M294" s="2"/>
    </row>
    <row r="295" spans="2:13" ht="15.75" customHeight="1" x14ac:dyDescent="0.2">
      <c r="B295" s="2"/>
      <c r="C295" s="27"/>
      <c r="D295" s="27"/>
      <c r="E295" s="253"/>
      <c r="F295" s="27"/>
      <c r="G295" s="27"/>
      <c r="H295" s="7"/>
      <c r="I295" s="7"/>
      <c r="J295" s="7"/>
      <c r="K295" s="7"/>
      <c r="L295" s="2"/>
      <c r="M295" s="2"/>
    </row>
    <row r="296" spans="2:13" ht="15.75" customHeight="1" x14ac:dyDescent="0.2">
      <c r="B296" s="2"/>
      <c r="C296" s="27"/>
      <c r="D296" s="27"/>
      <c r="E296" s="253"/>
      <c r="F296" s="27"/>
      <c r="G296" s="27"/>
      <c r="H296" s="7"/>
      <c r="I296" s="7"/>
      <c r="J296" s="7"/>
      <c r="K296" s="7"/>
      <c r="L296" s="2"/>
      <c r="M296" s="2"/>
    </row>
    <row r="297" spans="2:13" ht="15.75" customHeight="1" x14ac:dyDescent="0.2">
      <c r="B297" s="2"/>
      <c r="C297" s="27"/>
      <c r="D297" s="27"/>
      <c r="E297" s="253"/>
      <c r="F297" s="27"/>
      <c r="G297" s="27"/>
      <c r="H297" s="7"/>
      <c r="I297" s="7"/>
      <c r="J297" s="7"/>
      <c r="K297" s="7"/>
      <c r="L297" s="2"/>
      <c r="M297" s="2"/>
    </row>
    <row r="298" spans="2:13" ht="15.75" customHeight="1" x14ac:dyDescent="0.2">
      <c r="B298" s="2"/>
      <c r="C298" s="27"/>
      <c r="D298" s="27"/>
      <c r="E298" s="253"/>
      <c r="F298" s="27"/>
      <c r="G298" s="27"/>
      <c r="H298" s="7"/>
      <c r="I298" s="7"/>
      <c r="J298" s="7"/>
      <c r="K298" s="7"/>
      <c r="L298" s="2"/>
      <c r="M298" s="2"/>
    </row>
    <row r="299" spans="2:13" ht="15.75" customHeight="1" x14ac:dyDescent="0.2">
      <c r="B299" s="2"/>
      <c r="C299" s="27"/>
      <c r="D299" s="27"/>
      <c r="E299" s="253"/>
      <c r="F299" s="27"/>
      <c r="G299" s="27"/>
      <c r="H299" s="7"/>
      <c r="I299" s="7"/>
      <c r="J299" s="7"/>
      <c r="K299" s="7"/>
      <c r="L299" s="2"/>
      <c r="M299" s="2"/>
    </row>
    <row r="300" spans="2:13" ht="15.75" customHeight="1" x14ac:dyDescent="0.2">
      <c r="B300" s="2"/>
      <c r="C300" s="27"/>
      <c r="D300" s="27"/>
      <c r="E300" s="253"/>
      <c r="F300" s="27"/>
      <c r="G300" s="27"/>
      <c r="H300" s="7"/>
      <c r="I300" s="7"/>
      <c r="J300" s="7"/>
      <c r="K300" s="7"/>
      <c r="L300" s="2"/>
      <c r="M300" s="2"/>
    </row>
    <row r="301" spans="2:13" ht="15.75" customHeight="1" x14ac:dyDescent="0.2">
      <c r="B301" s="2"/>
      <c r="C301" s="27"/>
      <c r="D301" s="27"/>
      <c r="E301" s="253"/>
      <c r="F301" s="27"/>
      <c r="G301" s="27"/>
      <c r="H301" s="7"/>
      <c r="I301" s="7"/>
      <c r="J301" s="7"/>
      <c r="K301" s="7"/>
      <c r="L301" s="2"/>
      <c r="M301" s="2"/>
    </row>
    <row r="302" spans="2:13" ht="15.75" customHeight="1" x14ac:dyDescent="0.2">
      <c r="B302" s="2"/>
      <c r="C302" s="27"/>
      <c r="D302" s="27"/>
      <c r="E302" s="253"/>
      <c r="F302" s="27"/>
      <c r="G302" s="27"/>
      <c r="H302" s="7"/>
      <c r="I302" s="7"/>
      <c r="J302" s="7"/>
      <c r="K302" s="7"/>
      <c r="L302" s="2"/>
      <c r="M302" s="2"/>
    </row>
    <row r="303" spans="2:13" ht="15.75" customHeight="1" x14ac:dyDescent="0.2">
      <c r="B303" s="2"/>
      <c r="C303" s="27"/>
      <c r="D303" s="27"/>
      <c r="E303" s="253"/>
      <c r="F303" s="27"/>
      <c r="G303" s="27"/>
      <c r="H303" s="7"/>
      <c r="I303" s="7"/>
      <c r="J303" s="7"/>
      <c r="K303" s="7"/>
      <c r="L303" s="2"/>
      <c r="M303" s="2"/>
    </row>
    <row r="304" spans="2:13" ht="15.75" customHeight="1" x14ac:dyDescent="0.2">
      <c r="B304" s="2"/>
      <c r="C304" s="27"/>
      <c r="D304" s="27"/>
      <c r="E304" s="253"/>
      <c r="F304" s="27"/>
      <c r="G304" s="27"/>
      <c r="H304" s="7"/>
      <c r="I304" s="7"/>
      <c r="J304" s="7"/>
      <c r="K304" s="7"/>
      <c r="L304" s="2"/>
      <c r="M304" s="2"/>
    </row>
    <row r="305" spans="2:13" ht="15.75" customHeight="1" x14ac:dyDescent="0.2">
      <c r="B305" s="2"/>
      <c r="C305" s="27"/>
      <c r="D305" s="27"/>
      <c r="E305" s="253"/>
      <c r="F305" s="27"/>
      <c r="G305" s="27"/>
      <c r="H305" s="7"/>
      <c r="I305" s="7"/>
      <c r="J305" s="7"/>
      <c r="K305" s="7"/>
      <c r="L305" s="2"/>
      <c r="M305" s="2"/>
    </row>
    <row r="306" spans="2:13" ht="15.75" customHeight="1" x14ac:dyDescent="0.2">
      <c r="B306" s="2"/>
      <c r="C306" s="27"/>
      <c r="D306" s="27"/>
      <c r="E306" s="253"/>
      <c r="F306" s="27"/>
      <c r="G306" s="27"/>
      <c r="H306" s="7"/>
      <c r="I306" s="7"/>
      <c r="J306" s="7"/>
      <c r="K306" s="7"/>
      <c r="L306" s="2"/>
      <c r="M306" s="2"/>
    </row>
    <row r="307" spans="2:13" ht="15.75" customHeight="1" x14ac:dyDescent="0.2">
      <c r="B307" s="2"/>
      <c r="C307" s="27"/>
      <c r="D307" s="27"/>
      <c r="E307" s="253"/>
      <c r="F307" s="27"/>
      <c r="G307" s="27"/>
      <c r="H307" s="7"/>
      <c r="I307" s="7"/>
      <c r="J307" s="7"/>
      <c r="K307" s="7"/>
      <c r="L307" s="2"/>
      <c r="M307" s="2"/>
    </row>
    <row r="308" spans="2:13" ht="15.75" customHeight="1" x14ac:dyDescent="0.2">
      <c r="B308" s="2"/>
      <c r="C308" s="27"/>
      <c r="D308" s="27"/>
      <c r="E308" s="253"/>
      <c r="F308" s="27"/>
      <c r="G308" s="27"/>
      <c r="H308" s="7"/>
      <c r="I308" s="7"/>
      <c r="J308" s="7"/>
      <c r="K308" s="7"/>
      <c r="L308" s="2"/>
      <c r="M308" s="2"/>
    </row>
    <row r="309" spans="2:13" ht="15.75" customHeight="1" x14ac:dyDescent="0.2">
      <c r="B309" s="2"/>
      <c r="C309" s="27"/>
      <c r="D309" s="27"/>
      <c r="E309" s="253"/>
      <c r="F309" s="27"/>
      <c r="G309" s="27"/>
      <c r="H309" s="7"/>
      <c r="I309" s="7"/>
      <c r="J309" s="7"/>
      <c r="K309" s="7"/>
      <c r="L309" s="2"/>
      <c r="M309" s="2"/>
    </row>
    <row r="310" spans="2:13" ht="15.75" customHeight="1" x14ac:dyDescent="0.2">
      <c r="B310" s="2"/>
      <c r="C310" s="27"/>
      <c r="D310" s="27"/>
      <c r="E310" s="253"/>
      <c r="F310" s="27"/>
      <c r="G310" s="27"/>
      <c r="H310" s="7"/>
      <c r="I310" s="7"/>
      <c r="J310" s="7"/>
      <c r="K310" s="7"/>
      <c r="L310" s="2"/>
      <c r="M310" s="2"/>
    </row>
    <row r="311" spans="2:13" ht="15.75" customHeight="1" x14ac:dyDescent="0.2">
      <c r="B311" s="2"/>
      <c r="C311" s="27"/>
      <c r="D311" s="27"/>
      <c r="E311" s="253"/>
      <c r="F311" s="27"/>
      <c r="G311" s="27"/>
      <c r="H311" s="7"/>
      <c r="I311" s="7"/>
      <c r="J311" s="7"/>
      <c r="K311" s="7"/>
      <c r="L311" s="2"/>
      <c r="M311" s="2"/>
    </row>
    <row r="312" spans="2:13" ht="15.75" customHeight="1" x14ac:dyDescent="0.2">
      <c r="B312" s="2"/>
      <c r="C312" s="27"/>
      <c r="D312" s="27"/>
      <c r="E312" s="253"/>
      <c r="F312" s="27"/>
      <c r="G312" s="27"/>
      <c r="H312" s="7"/>
      <c r="I312" s="7"/>
      <c r="J312" s="7"/>
      <c r="K312" s="7"/>
      <c r="L312" s="2"/>
      <c r="M312" s="2"/>
    </row>
    <row r="313" spans="2:13" ht="15.75" customHeight="1" x14ac:dyDescent="0.2">
      <c r="B313" s="2"/>
      <c r="C313" s="27"/>
      <c r="D313" s="27"/>
      <c r="E313" s="253"/>
      <c r="F313" s="27"/>
      <c r="G313" s="27"/>
      <c r="H313" s="7"/>
      <c r="I313" s="7"/>
      <c r="J313" s="7"/>
      <c r="K313" s="7"/>
      <c r="L313" s="2"/>
      <c r="M313" s="2"/>
    </row>
    <row r="314" spans="2:13" ht="15.75" customHeight="1" x14ac:dyDescent="0.2">
      <c r="B314" s="2"/>
      <c r="C314" s="27"/>
      <c r="D314" s="27"/>
      <c r="E314" s="253"/>
      <c r="F314" s="27"/>
      <c r="G314" s="27"/>
      <c r="H314" s="7"/>
      <c r="I314" s="7"/>
      <c r="J314" s="7"/>
      <c r="K314" s="7"/>
      <c r="L314" s="2"/>
      <c r="M314" s="2"/>
    </row>
    <row r="315" spans="2:13" ht="15.75" customHeight="1" x14ac:dyDescent="0.2">
      <c r="B315" s="2"/>
      <c r="C315" s="27"/>
      <c r="D315" s="27"/>
      <c r="E315" s="253"/>
      <c r="F315" s="27"/>
      <c r="G315" s="27"/>
      <c r="H315" s="7"/>
      <c r="I315" s="7"/>
      <c r="J315" s="7"/>
      <c r="K315" s="7"/>
      <c r="L315" s="2"/>
      <c r="M315" s="2"/>
    </row>
    <row r="316" spans="2:13" ht="15.75" customHeight="1" x14ac:dyDescent="0.2">
      <c r="B316" s="2"/>
      <c r="C316" s="27"/>
      <c r="D316" s="27"/>
      <c r="E316" s="253"/>
      <c r="F316" s="27"/>
      <c r="G316" s="27"/>
      <c r="H316" s="7"/>
      <c r="I316" s="7"/>
      <c r="J316" s="7"/>
      <c r="K316" s="7"/>
      <c r="L316" s="2"/>
      <c r="M316" s="2"/>
    </row>
    <row r="317" spans="2:13" ht="15.75" customHeight="1" x14ac:dyDescent="0.2">
      <c r="B317" s="2"/>
      <c r="C317" s="27"/>
      <c r="D317" s="27"/>
      <c r="E317" s="253"/>
      <c r="F317" s="27"/>
      <c r="G317" s="27"/>
      <c r="H317" s="7"/>
      <c r="I317" s="7"/>
      <c r="J317" s="7"/>
      <c r="K317" s="7"/>
      <c r="L317" s="2"/>
      <c r="M317" s="2"/>
    </row>
    <row r="318" spans="2:13" ht="15.75" customHeight="1" x14ac:dyDescent="0.2">
      <c r="B318" s="2"/>
      <c r="C318" s="27"/>
      <c r="D318" s="27"/>
      <c r="E318" s="253"/>
      <c r="F318" s="27"/>
      <c r="G318" s="27"/>
      <c r="H318" s="7"/>
      <c r="I318" s="7"/>
      <c r="J318" s="7"/>
      <c r="K318" s="7"/>
      <c r="L318" s="2"/>
      <c r="M318" s="2"/>
    </row>
    <row r="319" spans="2:13" ht="15.75" customHeight="1" x14ac:dyDescent="0.2">
      <c r="B319" s="2"/>
      <c r="C319" s="27"/>
      <c r="D319" s="27"/>
      <c r="E319" s="253"/>
      <c r="F319" s="27"/>
      <c r="G319" s="27"/>
      <c r="H319" s="7"/>
      <c r="I319" s="7"/>
      <c r="J319" s="7"/>
      <c r="K319" s="7"/>
      <c r="L319" s="2"/>
      <c r="M319" s="2"/>
    </row>
    <row r="320" spans="2:13" ht="15.75" customHeight="1" x14ac:dyDescent="0.2">
      <c r="B320" s="2"/>
      <c r="C320" s="27"/>
      <c r="D320" s="27"/>
      <c r="E320" s="253"/>
      <c r="F320" s="27"/>
      <c r="G320" s="27"/>
      <c r="H320" s="7"/>
      <c r="I320" s="7"/>
      <c r="J320" s="7"/>
      <c r="K320" s="7"/>
      <c r="L320" s="2"/>
      <c r="M320" s="2"/>
    </row>
    <row r="321" spans="2:13" ht="15.75" customHeight="1" x14ac:dyDescent="0.2">
      <c r="B321" s="2"/>
      <c r="C321" s="27"/>
      <c r="D321" s="27"/>
      <c r="E321" s="253"/>
      <c r="F321" s="27"/>
      <c r="G321" s="27"/>
      <c r="H321" s="7"/>
      <c r="I321" s="7"/>
      <c r="J321" s="7"/>
      <c r="K321" s="7"/>
      <c r="L321" s="2"/>
      <c r="M321" s="2"/>
    </row>
    <row r="322" spans="2:13" ht="15.75" customHeight="1" x14ac:dyDescent="0.2">
      <c r="B322" s="2"/>
      <c r="C322" s="27"/>
      <c r="D322" s="27"/>
      <c r="E322" s="253"/>
      <c r="F322" s="27"/>
      <c r="G322" s="27"/>
      <c r="H322" s="7"/>
      <c r="I322" s="7"/>
      <c r="J322" s="7"/>
      <c r="K322" s="7"/>
      <c r="L322" s="2"/>
      <c r="M322" s="2"/>
    </row>
    <row r="323" spans="2:13" ht="15.75" customHeight="1" x14ac:dyDescent="0.2">
      <c r="B323" s="2"/>
      <c r="C323" s="27"/>
      <c r="D323" s="27"/>
      <c r="E323" s="253"/>
      <c r="F323" s="27"/>
      <c r="G323" s="27"/>
      <c r="H323" s="7"/>
      <c r="I323" s="7"/>
      <c r="J323" s="7"/>
      <c r="K323" s="7"/>
      <c r="L323" s="2"/>
      <c r="M323" s="2"/>
    </row>
    <row r="324" spans="2:13" ht="15.75" customHeight="1" x14ac:dyDescent="0.2">
      <c r="B324" s="2"/>
      <c r="C324" s="27"/>
      <c r="D324" s="27"/>
      <c r="E324" s="253"/>
      <c r="F324" s="27"/>
      <c r="G324" s="27"/>
      <c r="H324" s="7"/>
      <c r="I324" s="7"/>
      <c r="J324" s="7"/>
      <c r="K324" s="7"/>
      <c r="L324" s="2"/>
      <c r="M324" s="2"/>
    </row>
    <row r="325" spans="2:13" ht="15.75" customHeight="1" x14ac:dyDescent="0.2">
      <c r="B325" s="2"/>
      <c r="C325" s="27"/>
      <c r="D325" s="27"/>
      <c r="E325" s="253"/>
      <c r="F325" s="27"/>
      <c r="G325" s="27"/>
      <c r="H325" s="7"/>
      <c r="I325" s="7"/>
      <c r="J325" s="7"/>
      <c r="K325" s="7"/>
      <c r="L325" s="2"/>
      <c r="M325" s="2"/>
    </row>
    <row r="326" spans="2:13" ht="15.75" customHeight="1" x14ac:dyDescent="0.2">
      <c r="B326" s="2"/>
      <c r="C326" s="27"/>
      <c r="D326" s="27"/>
      <c r="E326" s="253"/>
      <c r="F326" s="27"/>
      <c r="G326" s="27"/>
      <c r="H326" s="7"/>
      <c r="I326" s="7"/>
      <c r="J326" s="7"/>
      <c r="K326" s="7"/>
      <c r="L326" s="2"/>
      <c r="M326" s="2"/>
    </row>
    <row r="327" spans="2:13" ht="15.75" customHeight="1" x14ac:dyDescent="0.2">
      <c r="B327" s="2"/>
      <c r="C327" s="27"/>
      <c r="D327" s="27"/>
      <c r="E327" s="253"/>
      <c r="F327" s="27"/>
      <c r="G327" s="27"/>
      <c r="H327" s="7"/>
      <c r="I327" s="7"/>
      <c r="J327" s="7"/>
      <c r="K327" s="7"/>
      <c r="L327" s="2"/>
      <c r="M327" s="2"/>
    </row>
    <row r="328" spans="2:13" ht="15.75" customHeight="1" x14ac:dyDescent="0.2">
      <c r="B328" s="2"/>
      <c r="C328" s="27"/>
      <c r="D328" s="27"/>
      <c r="E328" s="253"/>
      <c r="F328" s="27"/>
      <c r="G328" s="27"/>
      <c r="H328" s="7"/>
      <c r="I328" s="7"/>
      <c r="J328" s="7"/>
      <c r="K328" s="7"/>
      <c r="L328" s="2"/>
      <c r="M328" s="2"/>
    </row>
    <row r="329" spans="2:13" ht="15.75" customHeight="1" x14ac:dyDescent="0.2">
      <c r="B329" s="2"/>
      <c r="C329" s="27"/>
      <c r="D329" s="27"/>
      <c r="E329" s="253"/>
      <c r="F329" s="27"/>
      <c r="G329" s="27"/>
      <c r="H329" s="7"/>
      <c r="I329" s="7"/>
      <c r="J329" s="7"/>
      <c r="K329" s="7"/>
      <c r="L329" s="2"/>
      <c r="M329" s="2"/>
    </row>
    <row r="330" spans="2:13" ht="15.75" customHeight="1" x14ac:dyDescent="0.2">
      <c r="B330" s="2"/>
      <c r="C330" s="27"/>
      <c r="D330" s="27"/>
      <c r="E330" s="253"/>
      <c r="F330" s="27"/>
      <c r="G330" s="27"/>
      <c r="H330" s="7"/>
      <c r="I330" s="7"/>
      <c r="J330" s="7"/>
      <c r="K330" s="7"/>
      <c r="L330" s="2"/>
      <c r="M330" s="2"/>
    </row>
    <row r="331" spans="2:13" ht="15.75" customHeight="1" x14ac:dyDescent="0.2">
      <c r="B331" s="2"/>
      <c r="C331" s="27"/>
      <c r="D331" s="27"/>
      <c r="E331" s="253"/>
      <c r="F331" s="27"/>
      <c r="G331" s="27"/>
      <c r="H331" s="7"/>
      <c r="I331" s="7"/>
      <c r="J331" s="7"/>
      <c r="K331" s="7"/>
      <c r="L331" s="2"/>
      <c r="M331" s="2"/>
    </row>
    <row r="332" spans="2:13" ht="15.75" customHeight="1" x14ac:dyDescent="0.2">
      <c r="B332" s="2"/>
      <c r="C332" s="27"/>
      <c r="D332" s="27"/>
      <c r="E332" s="253"/>
      <c r="F332" s="27"/>
      <c r="G332" s="27"/>
      <c r="H332" s="7"/>
      <c r="I332" s="7"/>
      <c r="J332" s="7"/>
      <c r="K332" s="7"/>
      <c r="L332" s="2"/>
      <c r="M332" s="2"/>
    </row>
    <row r="333" spans="2:13" ht="15.75" customHeight="1" x14ac:dyDescent="0.2">
      <c r="B333" s="2"/>
      <c r="C333" s="27"/>
      <c r="D333" s="27"/>
      <c r="E333" s="253"/>
      <c r="F333" s="27"/>
      <c r="G333" s="27"/>
      <c r="H333" s="7"/>
      <c r="I333" s="7"/>
      <c r="J333" s="7"/>
      <c r="K333" s="7"/>
      <c r="L333" s="2"/>
      <c r="M333" s="2"/>
    </row>
    <row r="334" spans="2:13" ht="15.75" customHeight="1" x14ac:dyDescent="0.2">
      <c r="B334" s="2"/>
      <c r="C334" s="27"/>
      <c r="D334" s="27"/>
      <c r="E334" s="253"/>
      <c r="F334" s="27"/>
      <c r="G334" s="27"/>
      <c r="H334" s="7"/>
      <c r="I334" s="7"/>
      <c r="J334" s="7"/>
      <c r="K334" s="7"/>
      <c r="L334" s="2"/>
      <c r="M334" s="2"/>
    </row>
    <row r="335" spans="2:13" ht="15.75" customHeight="1" x14ac:dyDescent="0.2">
      <c r="B335" s="2"/>
      <c r="C335" s="27"/>
      <c r="D335" s="27"/>
      <c r="E335" s="253"/>
      <c r="F335" s="27"/>
      <c r="G335" s="27"/>
      <c r="H335" s="7"/>
      <c r="I335" s="7"/>
      <c r="J335" s="7"/>
      <c r="K335" s="7"/>
      <c r="L335" s="2"/>
      <c r="M335" s="2"/>
    </row>
    <row r="336" spans="2:13" ht="15.75" customHeight="1" x14ac:dyDescent="0.2">
      <c r="B336" s="2"/>
      <c r="C336" s="27"/>
      <c r="D336" s="27"/>
      <c r="E336" s="253"/>
      <c r="F336" s="27"/>
      <c r="G336" s="27"/>
      <c r="H336" s="7"/>
      <c r="I336" s="7"/>
      <c r="J336" s="7"/>
      <c r="K336" s="7"/>
      <c r="L336" s="2"/>
      <c r="M336" s="2"/>
    </row>
    <row r="337" spans="2:13" ht="15.75" customHeight="1" x14ac:dyDescent="0.2">
      <c r="B337" s="2"/>
      <c r="C337" s="27"/>
      <c r="D337" s="27"/>
      <c r="E337" s="253"/>
      <c r="F337" s="27"/>
      <c r="G337" s="27"/>
      <c r="H337" s="7"/>
      <c r="I337" s="7"/>
      <c r="J337" s="7"/>
      <c r="K337" s="7"/>
      <c r="L337" s="2"/>
      <c r="M337" s="2"/>
    </row>
    <row r="338" spans="2:13" ht="15.75" customHeight="1" x14ac:dyDescent="0.2">
      <c r="B338" s="2"/>
      <c r="C338" s="27"/>
      <c r="D338" s="27"/>
      <c r="E338" s="253"/>
      <c r="F338" s="27"/>
      <c r="G338" s="27"/>
      <c r="H338" s="7"/>
      <c r="I338" s="7"/>
      <c r="J338" s="7"/>
      <c r="K338" s="7"/>
      <c r="L338" s="2"/>
      <c r="M338" s="2"/>
    </row>
    <row r="339" spans="2:13" ht="15.75" customHeight="1" x14ac:dyDescent="0.2">
      <c r="B339" s="2"/>
      <c r="C339" s="27"/>
      <c r="D339" s="27"/>
      <c r="E339" s="253"/>
      <c r="F339" s="27"/>
      <c r="G339" s="27"/>
      <c r="H339" s="7"/>
      <c r="I339" s="7"/>
      <c r="J339" s="7"/>
      <c r="K339" s="7"/>
      <c r="L339" s="2"/>
      <c r="M339" s="2"/>
    </row>
    <row r="340" spans="2:13" ht="15.75" customHeight="1" x14ac:dyDescent="0.2">
      <c r="B340" s="2"/>
      <c r="C340" s="27"/>
      <c r="D340" s="27"/>
      <c r="E340" s="253"/>
      <c r="F340" s="27"/>
      <c r="G340" s="27"/>
      <c r="H340" s="7"/>
      <c r="I340" s="7"/>
      <c r="J340" s="7"/>
      <c r="K340" s="7"/>
      <c r="L340" s="2"/>
      <c r="M340" s="2"/>
    </row>
    <row r="341" spans="2:13" ht="15.75" customHeight="1" x14ac:dyDescent="0.2">
      <c r="B341" s="2"/>
      <c r="C341" s="27"/>
      <c r="D341" s="27"/>
      <c r="E341" s="253"/>
      <c r="F341" s="27"/>
      <c r="G341" s="27"/>
      <c r="H341" s="7"/>
      <c r="I341" s="7"/>
      <c r="J341" s="7"/>
      <c r="K341" s="7"/>
      <c r="L341" s="2"/>
      <c r="M341" s="2"/>
    </row>
    <row r="342" spans="2:13" ht="15.75" customHeight="1" x14ac:dyDescent="0.2">
      <c r="B342" s="2"/>
      <c r="C342" s="27"/>
      <c r="D342" s="27"/>
      <c r="E342" s="253"/>
      <c r="F342" s="27"/>
      <c r="G342" s="27"/>
      <c r="H342" s="7"/>
      <c r="I342" s="7"/>
      <c r="J342" s="7"/>
      <c r="K342" s="7"/>
      <c r="L342" s="2"/>
      <c r="M342" s="2"/>
    </row>
    <row r="343" spans="2:13" ht="15.75" customHeight="1" x14ac:dyDescent="0.2">
      <c r="B343" s="2"/>
      <c r="C343" s="27"/>
      <c r="D343" s="27"/>
      <c r="E343" s="253"/>
      <c r="F343" s="27"/>
      <c r="G343" s="27"/>
      <c r="H343" s="7"/>
      <c r="I343" s="7"/>
      <c r="J343" s="7"/>
      <c r="K343" s="7"/>
      <c r="L343" s="2"/>
      <c r="M343" s="2"/>
    </row>
    <row r="344" spans="2:13" ht="15.75" customHeight="1" x14ac:dyDescent="0.2">
      <c r="B344" s="2"/>
      <c r="C344" s="27"/>
      <c r="D344" s="27"/>
      <c r="E344" s="253"/>
      <c r="F344" s="27"/>
      <c r="G344" s="27"/>
      <c r="H344" s="7"/>
      <c r="I344" s="7"/>
      <c r="J344" s="7"/>
      <c r="K344" s="7"/>
      <c r="L344" s="2"/>
      <c r="M344" s="2"/>
    </row>
    <row r="345" spans="2:13" ht="15.75" customHeight="1" x14ac:dyDescent="0.2">
      <c r="B345" s="2"/>
      <c r="C345" s="27"/>
      <c r="D345" s="27"/>
      <c r="E345" s="253"/>
      <c r="F345" s="27"/>
      <c r="G345" s="27"/>
      <c r="H345" s="7"/>
      <c r="I345" s="7"/>
      <c r="J345" s="7"/>
      <c r="K345" s="7"/>
      <c r="L345" s="2"/>
      <c r="M345" s="2"/>
    </row>
    <row r="346" spans="2:13" ht="15.75" customHeight="1" x14ac:dyDescent="0.2">
      <c r="B346" s="2"/>
      <c r="C346" s="27"/>
      <c r="D346" s="27"/>
      <c r="E346" s="253"/>
      <c r="F346" s="27"/>
      <c r="G346" s="27"/>
      <c r="H346" s="7"/>
      <c r="I346" s="7"/>
      <c r="J346" s="7"/>
      <c r="K346" s="7"/>
      <c r="L346" s="2"/>
      <c r="M346" s="2"/>
    </row>
    <row r="347" spans="2:13" ht="15.75" customHeight="1" x14ac:dyDescent="0.2">
      <c r="B347" s="2"/>
      <c r="C347" s="27"/>
      <c r="D347" s="27"/>
      <c r="E347" s="253"/>
      <c r="F347" s="27"/>
      <c r="G347" s="27"/>
      <c r="H347" s="7"/>
      <c r="I347" s="7"/>
      <c r="J347" s="7"/>
      <c r="K347" s="7"/>
      <c r="L347" s="2"/>
      <c r="M347" s="2"/>
    </row>
    <row r="348" spans="2:13" ht="15.75" customHeight="1" x14ac:dyDescent="0.2">
      <c r="B348" s="2"/>
      <c r="C348" s="27"/>
      <c r="D348" s="27"/>
      <c r="E348" s="253"/>
      <c r="F348" s="27"/>
      <c r="G348" s="27"/>
      <c r="H348" s="7"/>
      <c r="I348" s="7"/>
      <c r="J348" s="7"/>
      <c r="K348" s="7"/>
      <c r="L348" s="2"/>
      <c r="M348" s="2"/>
    </row>
    <row r="349" spans="2:13" ht="15.75" customHeight="1" x14ac:dyDescent="0.2">
      <c r="B349" s="2"/>
      <c r="C349" s="27"/>
      <c r="D349" s="27"/>
      <c r="E349" s="253"/>
      <c r="F349" s="27"/>
      <c r="G349" s="27"/>
      <c r="H349" s="7"/>
      <c r="I349" s="7"/>
      <c r="J349" s="7"/>
      <c r="K349" s="7"/>
      <c r="L349" s="2"/>
      <c r="M349" s="2"/>
    </row>
    <row r="350" spans="2:13" ht="15.75" customHeight="1" x14ac:dyDescent="0.2">
      <c r="B350" s="2"/>
      <c r="C350" s="27"/>
      <c r="D350" s="27"/>
      <c r="E350" s="253"/>
      <c r="F350" s="27"/>
      <c r="G350" s="27"/>
      <c r="H350" s="7"/>
      <c r="I350" s="7"/>
      <c r="J350" s="7"/>
      <c r="K350" s="7"/>
      <c r="L350" s="2"/>
      <c r="M350" s="2"/>
    </row>
    <row r="351" spans="2:13" ht="15.75" customHeight="1" x14ac:dyDescent="0.2">
      <c r="B351" s="2"/>
      <c r="C351" s="27"/>
      <c r="D351" s="27"/>
      <c r="E351" s="253"/>
      <c r="F351" s="27"/>
      <c r="G351" s="27"/>
      <c r="H351" s="7"/>
      <c r="I351" s="7"/>
      <c r="J351" s="7"/>
      <c r="K351" s="7"/>
      <c r="L351" s="2"/>
      <c r="M351" s="2"/>
    </row>
    <row r="352" spans="2:13" ht="15.75" customHeight="1" x14ac:dyDescent="0.2">
      <c r="B352" s="2"/>
      <c r="C352" s="27"/>
      <c r="D352" s="27"/>
      <c r="E352" s="253"/>
      <c r="F352" s="27"/>
      <c r="G352" s="27"/>
      <c r="H352" s="7"/>
      <c r="I352" s="7"/>
      <c r="J352" s="7"/>
      <c r="K352" s="7"/>
      <c r="L352" s="2"/>
      <c r="M352" s="2"/>
    </row>
    <row r="353" spans="2:13" ht="15.75" customHeight="1" x14ac:dyDescent="0.2">
      <c r="B353" s="2"/>
      <c r="C353" s="27"/>
      <c r="D353" s="27"/>
      <c r="E353" s="253"/>
      <c r="F353" s="27"/>
      <c r="G353" s="27"/>
      <c r="H353" s="7"/>
      <c r="I353" s="7"/>
      <c r="J353" s="7"/>
      <c r="K353" s="7"/>
      <c r="L353" s="2"/>
      <c r="M353" s="2"/>
    </row>
    <row r="354" spans="2:13" ht="15.75" customHeight="1" x14ac:dyDescent="0.2">
      <c r="B354" s="2"/>
      <c r="C354" s="27"/>
      <c r="D354" s="27"/>
      <c r="E354" s="253"/>
      <c r="F354" s="27"/>
      <c r="G354" s="27"/>
      <c r="H354" s="7"/>
      <c r="I354" s="7"/>
      <c r="J354" s="7"/>
      <c r="K354" s="7"/>
      <c r="L354" s="2"/>
      <c r="M354" s="2"/>
    </row>
    <row r="355" spans="2:13" ht="15.75" customHeight="1" x14ac:dyDescent="0.2">
      <c r="B355" s="2"/>
      <c r="C355" s="27"/>
      <c r="D355" s="27"/>
      <c r="E355" s="253"/>
      <c r="F355" s="27"/>
      <c r="G355" s="27"/>
      <c r="H355" s="7"/>
      <c r="I355" s="7"/>
      <c r="J355" s="7"/>
      <c r="K355" s="7"/>
      <c r="L355" s="2"/>
      <c r="M355" s="2"/>
    </row>
    <row r="356" spans="2:13" ht="15.75" customHeight="1" x14ac:dyDescent="0.2">
      <c r="B356" s="2"/>
      <c r="C356" s="27"/>
      <c r="D356" s="27"/>
      <c r="E356" s="253"/>
      <c r="F356" s="27"/>
      <c r="G356" s="27"/>
      <c r="H356" s="7"/>
      <c r="I356" s="7"/>
      <c r="J356" s="7"/>
      <c r="K356" s="7"/>
      <c r="L356" s="2"/>
      <c r="M356" s="2"/>
    </row>
    <row r="357" spans="2:13" ht="15.75" customHeight="1" x14ac:dyDescent="0.2">
      <c r="B357" s="2"/>
      <c r="C357" s="27"/>
      <c r="D357" s="27"/>
      <c r="E357" s="253"/>
      <c r="F357" s="27"/>
      <c r="G357" s="27"/>
      <c r="H357" s="7"/>
      <c r="I357" s="7"/>
      <c r="J357" s="7"/>
      <c r="K357" s="7"/>
      <c r="L357" s="2"/>
      <c r="M357" s="2"/>
    </row>
    <row r="358" spans="2:13" ht="15.75" customHeight="1" x14ac:dyDescent="0.2">
      <c r="B358" s="2"/>
      <c r="C358" s="27"/>
      <c r="D358" s="27"/>
      <c r="E358" s="253"/>
      <c r="F358" s="27"/>
      <c r="G358" s="27"/>
      <c r="H358" s="7"/>
      <c r="I358" s="7"/>
      <c r="J358" s="7"/>
      <c r="K358" s="7"/>
      <c r="L358" s="2"/>
      <c r="M358" s="2"/>
    </row>
    <row r="359" spans="2:13" ht="15.75" customHeight="1" x14ac:dyDescent="0.2">
      <c r="B359" s="2"/>
      <c r="C359" s="27"/>
      <c r="D359" s="27"/>
      <c r="E359" s="253"/>
      <c r="F359" s="27"/>
      <c r="G359" s="27"/>
      <c r="H359" s="7"/>
      <c r="I359" s="7"/>
      <c r="J359" s="7"/>
      <c r="K359" s="7"/>
      <c r="L359" s="2"/>
      <c r="M359" s="2"/>
    </row>
    <row r="360" spans="2:13" ht="15.75" customHeight="1" x14ac:dyDescent="0.2">
      <c r="B360" s="2"/>
      <c r="C360" s="27"/>
      <c r="D360" s="27"/>
      <c r="E360" s="253"/>
      <c r="F360" s="27"/>
      <c r="G360" s="27"/>
      <c r="H360" s="7"/>
      <c r="I360" s="7"/>
      <c r="J360" s="7"/>
      <c r="K360" s="7"/>
      <c r="L360" s="2"/>
      <c r="M360" s="2"/>
    </row>
    <row r="361" spans="2:13" ht="15.75" customHeight="1" x14ac:dyDescent="0.2">
      <c r="B361" s="2"/>
      <c r="C361" s="27"/>
      <c r="D361" s="27"/>
      <c r="E361" s="253"/>
      <c r="F361" s="27"/>
      <c r="G361" s="27"/>
      <c r="H361" s="7"/>
      <c r="I361" s="7"/>
      <c r="J361" s="7"/>
      <c r="K361" s="7"/>
      <c r="L361" s="2"/>
      <c r="M361" s="2"/>
    </row>
    <row r="362" spans="2:13" ht="15.75" customHeight="1" x14ac:dyDescent="0.2">
      <c r="B362" s="2"/>
      <c r="C362" s="27"/>
      <c r="D362" s="27"/>
      <c r="E362" s="253"/>
      <c r="F362" s="27"/>
      <c r="G362" s="27"/>
      <c r="H362" s="7"/>
      <c r="I362" s="7"/>
      <c r="J362" s="7"/>
      <c r="K362" s="7"/>
      <c r="L362" s="2"/>
      <c r="M362" s="2"/>
    </row>
    <row r="363" spans="2:13" ht="15.75" customHeight="1" x14ac:dyDescent="0.2">
      <c r="B363" s="2"/>
      <c r="C363" s="27"/>
      <c r="D363" s="27"/>
      <c r="E363" s="253"/>
      <c r="F363" s="27"/>
      <c r="G363" s="27"/>
      <c r="H363" s="7"/>
      <c r="I363" s="7"/>
      <c r="J363" s="7"/>
      <c r="K363" s="7"/>
      <c r="L363" s="2"/>
      <c r="M363" s="2"/>
    </row>
    <row r="364" spans="2:13" ht="15.75" customHeight="1" x14ac:dyDescent="0.2">
      <c r="B364" s="2"/>
      <c r="C364" s="27"/>
      <c r="D364" s="27"/>
      <c r="E364" s="253"/>
      <c r="F364" s="27"/>
      <c r="G364" s="27"/>
      <c r="H364" s="7"/>
      <c r="I364" s="7"/>
      <c r="J364" s="7"/>
      <c r="K364" s="7"/>
      <c r="L364" s="2"/>
      <c r="M364" s="2"/>
    </row>
    <row r="365" spans="2:13" ht="15.75" customHeight="1" x14ac:dyDescent="0.2">
      <c r="B365" s="2"/>
      <c r="C365" s="27"/>
      <c r="D365" s="27"/>
      <c r="E365" s="253"/>
      <c r="F365" s="27"/>
      <c r="G365" s="27"/>
      <c r="H365" s="7"/>
      <c r="I365" s="7"/>
      <c r="J365" s="7"/>
      <c r="K365" s="7"/>
      <c r="L365" s="2"/>
      <c r="M365" s="2"/>
    </row>
    <row r="366" spans="2:13" ht="15.75" customHeight="1" x14ac:dyDescent="0.2">
      <c r="B366" s="2"/>
      <c r="C366" s="27"/>
      <c r="D366" s="27"/>
      <c r="E366" s="253"/>
      <c r="F366" s="27"/>
      <c r="G366" s="27"/>
      <c r="H366" s="7"/>
      <c r="I366" s="7"/>
      <c r="J366" s="7"/>
      <c r="K366" s="7"/>
      <c r="L366" s="2"/>
      <c r="M366" s="2"/>
    </row>
    <row r="367" spans="2:13" ht="15.75" customHeight="1" x14ac:dyDescent="0.2">
      <c r="B367" s="2"/>
      <c r="C367" s="27"/>
      <c r="D367" s="27"/>
      <c r="E367" s="253"/>
      <c r="F367" s="27"/>
      <c r="G367" s="27"/>
      <c r="H367" s="7"/>
      <c r="I367" s="7"/>
      <c r="J367" s="7"/>
      <c r="K367" s="7"/>
      <c r="L367" s="2"/>
      <c r="M367" s="2"/>
    </row>
    <row r="368" spans="2:13" ht="15.75" customHeight="1" x14ac:dyDescent="0.2">
      <c r="B368" s="2"/>
      <c r="C368" s="27"/>
      <c r="D368" s="27"/>
      <c r="E368" s="253"/>
      <c r="F368" s="27"/>
      <c r="G368" s="27"/>
      <c r="H368" s="7"/>
      <c r="I368" s="7"/>
      <c r="J368" s="7"/>
      <c r="K368" s="7"/>
      <c r="L368" s="2"/>
      <c r="M368" s="2"/>
    </row>
    <row r="369" spans="2:13" ht="15.75" customHeight="1" x14ac:dyDescent="0.2">
      <c r="B369" s="2"/>
      <c r="C369" s="27"/>
      <c r="D369" s="27"/>
      <c r="E369" s="253"/>
      <c r="F369" s="27"/>
      <c r="G369" s="27"/>
      <c r="H369" s="7"/>
      <c r="I369" s="7"/>
      <c r="J369" s="7"/>
      <c r="K369" s="7"/>
      <c r="L369" s="2"/>
      <c r="M369" s="2"/>
    </row>
    <row r="370" spans="2:13" ht="15.75" customHeight="1" x14ac:dyDescent="0.2">
      <c r="B370" s="2"/>
      <c r="C370" s="27"/>
      <c r="D370" s="27"/>
      <c r="E370" s="253"/>
      <c r="F370" s="27"/>
      <c r="G370" s="27"/>
      <c r="H370" s="7"/>
      <c r="I370" s="7"/>
      <c r="J370" s="7"/>
      <c r="K370" s="7"/>
      <c r="L370" s="2"/>
      <c r="M370" s="2"/>
    </row>
    <row r="371" spans="2:13" ht="15.75" customHeight="1" x14ac:dyDescent="0.2">
      <c r="B371" s="2"/>
      <c r="C371" s="27"/>
      <c r="D371" s="27"/>
      <c r="E371" s="253"/>
      <c r="F371" s="27"/>
      <c r="G371" s="27"/>
      <c r="H371" s="7"/>
      <c r="I371" s="7"/>
      <c r="J371" s="7"/>
      <c r="K371" s="7"/>
      <c r="L371" s="2"/>
      <c r="M371" s="2"/>
    </row>
    <row r="372" spans="2:13" ht="15.75" customHeight="1" x14ac:dyDescent="0.2">
      <c r="B372" s="2"/>
      <c r="C372" s="27"/>
      <c r="D372" s="27"/>
      <c r="E372" s="253"/>
      <c r="F372" s="27"/>
      <c r="G372" s="27"/>
      <c r="H372" s="7"/>
      <c r="I372" s="7"/>
      <c r="J372" s="7"/>
      <c r="K372" s="7"/>
      <c r="L372" s="2"/>
      <c r="M372" s="2"/>
    </row>
    <row r="373" spans="2:13" ht="15.75" customHeight="1" x14ac:dyDescent="0.2">
      <c r="B373" s="2"/>
      <c r="C373" s="27"/>
      <c r="D373" s="27"/>
      <c r="E373" s="253"/>
      <c r="F373" s="27"/>
      <c r="G373" s="27"/>
      <c r="H373" s="7"/>
      <c r="I373" s="7"/>
      <c r="J373" s="7"/>
      <c r="K373" s="7"/>
      <c r="L373" s="2"/>
      <c r="M373" s="2"/>
    </row>
    <row r="374" spans="2:13" ht="15.75" customHeight="1" x14ac:dyDescent="0.2">
      <c r="B374" s="2"/>
      <c r="C374" s="27"/>
      <c r="D374" s="27"/>
      <c r="E374" s="253"/>
      <c r="F374" s="27"/>
      <c r="G374" s="27"/>
      <c r="H374" s="7"/>
      <c r="I374" s="7"/>
      <c r="J374" s="7"/>
      <c r="K374" s="7"/>
      <c r="L374" s="2"/>
      <c r="M374" s="2"/>
    </row>
    <row r="375" spans="2:13" ht="15.75" customHeight="1" x14ac:dyDescent="0.2">
      <c r="B375" s="2"/>
      <c r="C375" s="27"/>
      <c r="D375" s="27"/>
      <c r="E375" s="253"/>
      <c r="F375" s="27"/>
      <c r="G375" s="27"/>
      <c r="H375" s="7"/>
      <c r="I375" s="7"/>
      <c r="J375" s="7"/>
      <c r="K375" s="7"/>
      <c r="L375" s="2"/>
      <c r="M375" s="2"/>
    </row>
    <row r="376" spans="2:13" ht="15.75" customHeight="1" x14ac:dyDescent="0.2">
      <c r="B376" s="2"/>
      <c r="C376" s="27"/>
      <c r="D376" s="27"/>
      <c r="E376" s="253"/>
      <c r="F376" s="27"/>
      <c r="G376" s="27"/>
      <c r="H376" s="7"/>
      <c r="I376" s="7"/>
      <c r="J376" s="7"/>
      <c r="K376" s="7"/>
      <c r="L376" s="2"/>
      <c r="M376" s="2"/>
    </row>
    <row r="377" spans="2:13" ht="15.75" customHeight="1" x14ac:dyDescent="0.2">
      <c r="B377" s="2"/>
      <c r="C377" s="27"/>
      <c r="D377" s="27"/>
      <c r="E377" s="253"/>
      <c r="F377" s="27"/>
      <c r="G377" s="27"/>
      <c r="H377" s="7"/>
      <c r="I377" s="7"/>
      <c r="J377" s="7"/>
      <c r="K377" s="7"/>
      <c r="L377" s="2"/>
      <c r="M377" s="2"/>
    </row>
    <row r="378" spans="2:13" ht="15.75" customHeight="1" x14ac:dyDescent="0.2">
      <c r="B378" s="2"/>
      <c r="C378" s="27"/>
      <c r="D378" s="27"/>
      <c r="E378" s="253"/>
      <c r="F378" s="27"/>
      <c r="G378" s="27"/>
      <c r="H378" s="7"/>
      <c r="I378" s="7"/>
      <c r="J378" s="7"/>
      <c r="K378" s="7"/>
      <c r="L378" s="2"/>
      <c r="M378" s="2"/>
    </row>
    <row r="379" spans="2:13" ht="15.75" customHeight="1" x14ac:dyDescent="0.2">
      <c r="B379" s="2"/>
      <c r="C379" s="27"/>
      <c r="D379" s="27"/>
      <c r="E379" s="253"/>
      <c r="F379" s="27"/>
      <c r="G379" s="27"/>
      <c r="H379" s="7"/>
      <c r="I379" s="7"/>
      <c r="J379" s="7"/>
      <c r="K379" s="7"/>
      <c r="L379" s="2"/>
      <c r="M379" s="2"/>
    </row>
    <row r="380" spans="2:13" ht="15.75" customHeight="1" x14ac:dyDescent="0.2">
      <c r="B380" s="2"/>
      <c r="C380" s="27"/>
      <c r="D380" s="27"/>
      <c r="E380" s="253"/>
      <c r="F380" s="27"/>
      <c r="G380" s="27"/>
      <c r="H380" s="7"/>
      <c r="I380" s="7"/>
      <c r="J380" s="7"/>
      <c r="K380" s="7"/>
      <c r="L380" s="2"/>
      <c r="M380" s="2"/>
    </row>
    <row r="381" spans="2:13" ht="15.75" customHeight="1" x14ac:dyDescent="0.2">
      <c r="B381" s="2"/>
      <c r="C381" s="27"/>
      <c r="D381" s="27"/>
      <c r="E381" s="253"/>
      <c r="F381" s="27"/>
      <c r="G381" s="27"/>
      <c r="H381" s="7"/>
      <c r="I381" s="7"/>
      <c r="J381" s="7"/>
      <c r="K381" s="7"/>
      <c r="L381" s="2"/>
      <c r="M381" s="2"/>
    </row>
    <row r="382" spans="2:13" ht="15.75" customHeight="1" x14ac:dyDescent="0.2">
      <c r="B382" s="2"/>
      <c r="C382" s="27"/>
      <c r="D382" s="27"/>
      <c r="E382" s="253"/>
      <c r="F382" s="27"/>
      <c r="G382" s="27"/>
      <c r="H382" s="7"/>
      <c r="I382" s="7"/>
      <c r="J382" s="7"/>
      <c r="K382" s="7"/>
      <c r="L382" s="2"/>
      <c r="M382" s="2"/>
    </row>
    <row r="383" spans="2:13" ht="15.75" customHeight="1" x14ac:dyDescent="0.2">
      <c r="B383" s="2"/>
      <c r="C383" s="27"/>
      <c r="D383" s="27"/>
      <c r="E383" s="253"/>
      <c r="F383" s="27"/>
      <c r="G383" s="27"/>
      <c r="H383" s="7"/>
      <c r="I383" s="7"/>
      <c r="J383" s="7"/>
      <c r="K383" s="7"/>
      <c r="L383" s="2"/>
      <c r="M383" s="2"/>
    </row>
    <row r="384" spans="2:13" ht="15.75" customHeight="1" x14ac:dyDescent="0.2">
      <c r="B384" s="2"/>
      <c r="C384" s="27"/>
      <c r="D384" s="27"/>
      <c r="E384" s="253"/>
      <c r="F384" s="27"/>
      <c r="G384" s="27"/>
      <c r="H384" s="7"/>
      <c r="I384" s="7"/>
      <c r="J384" s="7"/>
      <c r="K384" s="7"/>
      <c r="L384" s="2"/>
      <c r="M384" s="2"/>
    </row>
    <row r="385" spans="2:13" ht="15.75" customHeight="1" x14ac:dyDescent="0.2">
      <c r="B385" s="2"/>
      <c r="C385" s="27"/>
      <c r="D385" s="27"/>
      <c r="E385" s="253"/>
      <c r="F385" s="27"/>
      <c r="G385" s="27"/>
      <c r="H385" s="7"/>
      <c r="I385" s="7"/>
      <c r="J385" s="7"/>
      <c r="K385" s="7"/>
      <c r="L385" s="2"/>
      <c r="M385" s="2"/>
    </row>
    <row r="386" spans="2:13" ht="15.75" customHeight="1" x14ac:dyDescent="0.2">
      <c r="B386" s="2"/>
      <c r="C386" s="27"/>
      <c r="D386" s="27"/>
      <c r="E386" s="253"/>
      <c r="F386" s="27"/>
      <c r="G386" s="27"/>
      <c r="H386" s="7"/>
      <c r="I386" s="7"/>
      <c r="J386" s="7"/>
      <c r="K386" s="7"/>
      <c r="L386" s="2"/>
      <c r="M386" s="2"/>
    </row>
    <row r="387" spans="2:13" ht="15.75" customHeight="1" x14ac:dyDescent="0.2">
      <c r="B387" s="2"/>
      <c r="C387" s="27"/>
      <c r="D387" s="27"/>
      <c r="E387" s="253"/>
      <c r="F387" s="27"/>
      <c r="G387" s="27"/>
      <c r="H387" s="7"/>
      <c r="I387" s="7"/>
      <c r="J387" s="7"/>
      <c r="K387" s="7"/>
      <c r="L387" s="2"/>
      <c r="M387" s="2"/>
    </row>
    <row r="388" spans="2:13" ht="15.75" customHeight="1" x14ac:dyDescent="0.2">
      <c r="B388" s="2"/>
      <c r="C388" s="27"/>
      <c r="D388" s="27"/>
      <c r="E388" s="253"/>
      <c r="F388" s="27"/>
      <c r="G388" s="27"/>
      <c r="H388" s="7"/>
      <c r="I388" s="7"/>
      <c r="J388" s="7"/>
      <c r="K388" s="7"/>
      <c r="L388" s="2"/>
      <c r="M388" s="2"/>
    </row>
    <row r="389" spans="2:13" ht="15.75" customHeight="1" x14ac:dyDescent="0.2">
      <c r="B389" s="2"/>
      <c r="C389" s="27"/>
      <c r="D389" s="27"/>
      <c r="E389" s="253"/>
      <c r="F389" s="27"/>
      <c r="G389" s="27"/>
      <c r="H389" s="7"/>
      <c r="I389" s="7"/>
      <c r="J389" s="7"/>
      <c r="K389" s="7"/>
      <c r="L389" s="2"/>
      <c r="M389" s="2"/>
    </row>
    <row r="390" spans="2:13" ht="15.75" customHeight="1" x14ac:dyDescent="0.2">
      <c r="B390" s="2"/>
      <c r="C390" s="27"/>
      <c r="D390" s="27"/>
      <c r="E390" s="253"/>
      <c r="F390" s="27"/>
      <c r="G390" s="27"/>
      <c r="H390" s="7"/>
      <c r="I390" s="7"/>
      <c r="J390" s="7"/>
      <c r="K390" s="7"/>
      <c r="L390" s="2"/>
      <c r="M390" s="2"/>
    </row>
    <row r="391" spans="2:13" ht="15.75" customHeight="1" x14ac:dyDescent="0.2">
      <c r="B391" s="2"/>
      <c r="C391" s="27"/>
      <c r="D391" s="27"/>
      <c r="E391" s="253"/>
      <c r="F391" s="27"/>
      <c r="G391" s="27"/>
      <c r="H391" s="7"/>
      <c r="I391" s="7"/>
      <c r="J391" s="7"/>
      <c r="K391" s="7"/>
      <c r="L391" s="2"/>
      <c r="M391" s="2"/>
    </row>
    <row r="392" spans="2:13" ht="15.75" customHeight="1" x14ac:dyDescent="0.2">
      <c r="B392" s="2"/>
      <c r="C392" s="27"/>
      <c r="D392" s="27"/>
      <c r="E392" s="253"/>
      <c r="F392" s="27"/>
      <c r="G392" s="27"/>
      <c r="H392" s="7"/>
      <c r="I392" s="7"/>
      <c r="J392" s="7"/>
      <c r="K392" s="7"/>
      <c r="L392" s="2"/>
      <c r="M392" s="2"/>
    </row>
    <row r="393" spans="2:13" ht="15.75" customHeight="1" x14ac:dyDescent="0.2">
      <c r="B393" s="2"/>
      <c r="C393" s="27"/>
      <c r="D393" s="27"/>
      <c r="E393" s="253"/>
      <c r="F393" s="27"/>
      <c r="G393" s="27"/>
      <c r="H393" s="7"/>
      <c r="I393" s="7"/>
      <c r="J393" s="7"/>
      <c r="K393" s="7"/>
      <c r="L393" s="2"/>
      <c r="M393" s="2"/>
    </row>
    <row r="394" spans="2:13" ht="15.75" customHeight="1" x14ac:dyDescent="0.2">
      <c r="B394" s="2"/>
      <c r="C394" s="27"/>
      <c r="D394" s="27"/>
      <c r="E394" s="253"/>
      <c r="F394" s="27"/>
      <c r="G394" s="27"/>
      <c r="H394" s="7"/>
      <c r="I394" s="7"/>
      <c r="J394" s="7"/>
      <c r="K394" s="7"/>
      <c r="L394" s="2"/>
      <c r="M394" s="2"/>
    </row>
    <row r="395" spans="2:13" ht="15.75" customHeight="1" x14ac:dyDescent="0.2">
      <c r="B395" s="2"/>
      <c r="C395" s="27"/>
      <c r="D395" s="27"/>
      <c r="E395" s="253"/>
      <c r="F395" s="27"/>
      <c r="G395" s="27"/>
      <c r="H395" s="7"/>
      <c r="I395" s="7"/>
      <c r="J395" s="7"/>
      <c r="K395" s="7"/>
      <c r="L395" s="2"/>
      <c r="M395" s="2"/>
    </row>
    <row r="396" spans="2:13" ht="15.75" customHeight="1" x14ac:dyDescent="0.2">
      <c r="B396" s="2"/>
      <c r="C396" s="27"/>
      <c r="D396" s="27"/>
      <c r="E396" s="253"/>
      <c r="F396" s="27"/>
      <c r="G396" s="27"/>
      <c r="H396" s="7"/>
      <c r="I396" s="7"/>
      <c r="J396" s="7"/>
      <c r="K396" s="7"/>
      <c r="L396" s="2"/>
      <c r="M396" s="2"/>
    </row>
    <row r="397" spans="2:13" ht="15.75" customHeight="1" x14ac:dyDescent="0.2">
      <c r="B397" s="2"/>
      <c r="C397" s="27"/>
      <c r="D397" s="27"/>
      <c r="E397" s="253"/>
      <c r="F397" s="27"/>
      <c r="G397" s="27"/>
      <c r="H397" s="7"/>
      <c r="I397" s="7"/>
      <c r="J397" s="7"/>
      <c r="K397" s="7"/>
      <c r="L397" s="2"/>
      <c r="M397" s="2"/>
    </row>
    <row r="398" spans="2:13" ht="15.75" customHeight="1" x14ac:dyDescent="0.2">
      <c r="B398" s="2"/>
      <c r="C398" s="27"/>
      <c r="D398" s="27"/>
      <c r="E398" s="253"/>
      <c r="F398" s="27"/>
      <c r="G398" s="27"/>
      <c r="H398" s="7"/>
      <c r="I398" s="7"/>
      <c r="J398" s="7"/>
      <c r="K398" s="7"/>
      <c r="L398" s="2"/>
      <c r="M398" s="2"/>
    </row>
    <row r="399" spans="2:13" ht="15.75" customHeight="1" x14ac:dyDescent="0.2">
      <c r="B399" s="2"/>
      <c r="C399" s="27"/>
      <c r="D399" s="27"/>
      <c r="E399" s="253"/>
      <c r="F399" s="27"/>
      <c r="G399" s="27"/>
      <c r="H399" s="7"/>
      <c r="I399" s="7"/>
      <c r="J399" s="7"/>
      <c r="K399" s="7"/>
      <c r="L399" s="2"/>
      <c r="M399" s="2"/>
    </row>
    <row r="400" spans="2:13" ht="15.75" customHeight="1" x14ac:dyDescent="0.2">
      <c r="B400" s="2"/>
      <c r="C400" s="27"/>
      <c r="D400" s="27"/>
      <c r="E400" s="253"/>
      <c r="F400" s="27"/>
      <c r="G400" s="27"/>
      <c r="H400" s="7"/>
      <c r="I400" s="7"/>
      <c r="J400" s="7"/>
      <c r="K400" s="7"/>
      <c r="L400" s="2"/>
      <c r="M400" s="2"/>
    </row>
    <row r="401" spans="2:13" ht="15.75" customHeight="1" x14ac:dyDescent="0.2">
      <c r="B401" s="2"/>
      <c r="C401" s="27"/>
      <c r="D401" s="27"/>
      <c r="E401" s="253"/>
      <c r="F401" s="27"/>
      <c r="G401" s="27"/>
      <c r="H401" s="7"/>
      <c r="I401" s="7"/>
      <c r="J401" s="7"/>
      <c r="K401" s="7"/>
      <c r="L401" s="2"/>
      <c r="M401" s="2"/>
    </row>
    <row r="402" spans="2:13" ht="15.75" customHeight="1" x14ac:dyDescent="0.2">
      <c r="B402" s="2"/>
      <c r="C402" s="27"/>
      <c r="D402" s="27"/>
      <c r="E402" s="253"/>
      <c r="F402" s="27"/>
      <c r="G402" s="27"/>
      <c r="H402" s="7"/>
      <c r="I402" s="7"/>
      <c r="J402" s="7"/>
      <c r="K402" s="7"/>
      <c r="L402" s="2"/>
      <c r="M402" s="2"/>
    </row>
    <row r="403" spans="2:13" ht="15.75" customHeight="1" x14ac:dyDescent="0.2">
      <c r="B403" s="2"/>
      <c r="C403" s="27"/>
      <c r="D403" s="27"/>
      <c r="E403" s="253"/>
      <c r="F403" s="27"/>
      <c r="G403" s="27"/>
      <c r="H403" s="7"/>
      <c r="I403" s="7"/>
      <c r="J403" s="7"/>
      <c r="K403" s="7"/>
      <c r="L403" s="2"/>
      <c r="M403" s="2"/>
    </row>
    <row r="404" spans="2:13" ht="15.75" customHeight="1" x14ac:dyDescent="0.2">
      <c r="B404" s="2"/>
      <c r="C404" s="27"/>
      <c r="D404" s="27"/>
      <c r="E404" s="253"/>
      <c r="F404" s="27"/>
      <c r="G404" s="27"/>
      <c r="H404" s="7"/>
      <c r="I404" s="7"/>
      <c r="J404" s="7"/>
      <c r="K404" s="7"/>
      <c r="L404" s="2"/>
      <c r="M404" s="2"/>
    </row>
    <row r="405" spans="2:13" ht="15.75" customHeight="1" x14ac:dyDescent="0.2">
      <c r="B405" s="2"/>
      <c r="C405" s="27"/>
      <c r="D405" s="27"/>
      <c r="E405" s="253"/>
      <c r="F405" s="27"/>
      <c r="G405" s="27"/>
      <c r="H405" s="7"/>
      <c r="I405" s="7"/>
      <c r="J405" s="7"/>
      <c r="K405" s="7"/>
      <c r="L405" s="2"/>
      <c r="M405" s="2"/>
    </row>
    <row r="406" spans="2:13" ht="15.75" customHeight="1" x14ac:dyDescent="0.2">
      <c r="B406" s="2"/>
      <c r="C406" s="27"/>
      <c r="D406" s="27"/>
      <c r="E406" s="253"/>
      <c r="F406" s="27"/>
      <c r="G406" s="27"/>
      <c r="H406" s="7"/>
      <c r="I406" s="7"/>
      <c r="J406" s="7"/>
      <c r="K406" s="7"/>
      <c r="L406" s="2"/>
      <c r="M406" s="2"/>
    </row>
    <row r="407" spans="2:13" ht="15.75" customHeight="1" x14ac:dyDescent="0.2">
      <c r="B407" s="2"/>
      <c r="C407" s="27"/>
      <c r="D407" s="27"/>
      <c r="E407" s="253"/>
      <c r="F407" s="27"/>
      <c r="G407" s="27"/>
      <c r="H407" s="7"/>
      <c r="I407" s="7"/>
      <c r="J407" s="7"/>
      <c r="K407" s="7"/>
      <c r="L407" s="2"/>
      <c r="M407" s="2"/>
    </row>
    <row r="408" spans="2:13" ht="15.75" customHeight="1" x14ac:dyDescent="0.2">
      <c r="B408" s="2"/>
      <c r="C408" s="27"/>
      <c r="D408" s="27"/>
      <c r="E408" s="253"/>
      <c r="F408" s="27"/>
      <c r="G408" s="27"/>
      <c r="H408" s="7"/>
      <c r="I408" s="7"/>
      <c r="J408" s="7"/>
      <c r="K408" s="7"/>
      <c r="L408" s="2"/>
      <c r="M408" s="2"/>
    </row>
    <row r="409" spans="2:13" ht="15.75" customHeight="1" x14ac:dyDescent="0.2">
      <c r="B409" s="2"/>
      <c r="C409" s="27"/>
      <c r="D409" s="27"/>
      <c r="E409" s="253"/>
      <c r="F409" s="27"/>
      <c r="G409" s="27"/>
      <c r="H409" s="7"/>
      <c r="I409" s="7"/>
      <c r="J409" s="7"/>
      <c r="K409" s="7"/>
      <c r="L409" s="2"/>
      <c r="M409" s="2"/>
    </row>
    <row r="410" spans="2:13" ht="15.75" customHeight="1" x14ac:dyDescent="0.2">
      <c r="B410" s="2"/>
      <c r="C410" s="27"/>
      <c r="D410" s="27"/>
      <c r="E410" s="253"/>
      <c r="F410" s="27"/>
      <c r="G410" s="27"/>
      <c r="H410" s="7"/>
      <c r="I410" s="7"/>
      <c r="J410" s="7"/>
      <c r="K410" s="7"/>
      <c r="L410" s="2"/>
      <c r="M410" s="2"/>
    </row>
    <row r="411" spans="2:13" ht="15.75" customHeight="1" x14ac:dyDescent="0.2">
      <c r="B411" s="2"/>
      <c r="C411" s="27"/>
      <c r="D411" s="27"/>
      <c r="E411" s="253"/>
      <c r="F411" s="27"/>
      <c r="G411" s="27"/>
      <c r="H411" s="7"/>
      <c r="I411" s="7"/>
      <c r="J411" s="7"/>
      <c r="K411" s="7"/>
      <c r="L411" s="2"/>
      <c r="M411" s="2"/>
    </row>
    <row r="412" spans="2:13" ht="15.75" customHeight="1" x14ac:dyDescent="0.2">
      <c r="B412" s="2"/>
      <c r="C412" s="27"/>
      <c r="D412" s="27"/>
      <c r="E412" s="253"/>
      <c r="F412" s="27"/>
      <c r="G412" s="27"/>
      <c r="H412" s="7"/>
      <c r="I412" s="7"/>
      <c r="J412" s="7"/>
      <c r="K412" s="7"/>
      <c r="L412" s="2"/>
      <c r="M412" s="2"/>
    </row>
    <row r="413" spans="2:13" ht="15.75" customHeight="1" x14ac:dyDescent="0.2">
      <c r="B413" s="2"/>
      <c r="C413" s="27"/>
      <c r="D413" s="27"/>
      <c r="E413" s="253"/>
      <c r="F413" s="27"/>
      <c r="G413" s="27"/>
      <c r="H413" s="7"/>
      <c r="I413" s="7"/>
      <c r="J413" s="7"/>
      <c r="K413" s="7"/>
      <c r="L413" s="2"/>
      <c r="M413" s="2"/>
    </row>
    <row r="414" spans="2:13" ht="15.75" customHeight="1" x14ac:dyDescent="0.2">
      <c r="B414" s="2"/>
      <c r="C414" s="27"/>
      <c r="D414" s="27"/>
      <c r="E414" s="253"/>
      <c r="F414" s="27"/>
      <c r="G414" s="27"/>
      <c r="H414" s="7"/>
      <c r="I414" s="7"/>
      <c r="J414" s="7"/>
      <c r="K414" s="7"/>
      <c r="L414" s="2"/>
      <c r="M414" s="2"/>
    </row>
    <row r="415" spans="2:13" ht="15.75" customHeight="1" x14ac:dyDescent="0.2">
      <c r="B415" s="2"/>
      <c r="C415" s="27"/>
      <c r="D415" s="27"/>
      <c r="E415" s="253"/>
      <c r="F415" s="27"/>
      <c r="G415" s="27"/>
      <c r="H415" s="7"/>
      <c r="I415" s="7"/>
      <c r="J415" s="7"/>
      <c r="K415" s="7"/>
      <c r="L415" s="2"/>
      <c r="M415" s="2"/>
    </row>
    <row r="416" spans="2:13" ht="15.75" customHeight="1" x14ac:dyDescent="0.2">
      <c r="B416" s="2"/>
      <c r="C416" s="27"/>
      <c r="D416" s="27"/>
      <c r="E416" s="253"/>
      <c r="F416" s="27"/>
      <c r="G416" s="27"/>
      <c r="H416" s="7"/>
      <c r="I416" s="7"/>
      <c r="J416" s="7"/>
      <c r="K416" s="7"/>
      <c r="L416" s="2"/>
      <c r="M416" s="2"/>
    </row>
    <row r="417" spans="2:13" ht="15.75" customHeight="1" x14ac:dyDescent="0.2">
      <c r="B417" s="2"/>
      <c r="C417" s="27"/>
      <c r="D417" s="27"/>
      <c r="E417" s="253"/>
      <c r="F417" s="27"/>
      <c r="G417" s="27"/>
      <c r="H417" s="7"/>
      <c r="I417" s="7"/>
      <c r="J417" s="7"/>
      <c r="K417" s="7"/>
      <c r="L417" s="2"/>
      <c r="M417" s="2"/>
    </row>
    <row r="418" spans="2:13" ht="15.75" customHeight="1" x14ac:dyDescent="0.2">
      <c r="B418" s="2"/>
      <c r="C418" s="27"/>
      <c r="D418" s="27"/>
      <c r="E418" s="253"/>
      <c r="F418" s="27"/>
      <c r="G418" s="27"/>
      <c r="H418" s="7"/>
      <c r="I418" s="7"/>
      <c r="J418" s="7"/>
      <c r="K418" s="7"/>
      <c r="L418" s="2"/>
      <c r="M418" s="2"/>
    </row>
    <row r="419" spans="2:13" ht="15.75" customHeight="1" x14ac:dyDescent="0.2">
      <c r="B419" s="2"/>
      <c r="C419" s="27"/>
      <c r="D419" s="27"/>
      <c r="E419" s="253"/>
      <c r="F419" s="27"/>
      <c r="G419" s="27"/>
      <c r="H419" s="7"/>
      <c r="I419" s="7"/>
      <c r="J419" s="7"/>
      <c r="K419" s="7"/>
      <c r="L419" s="2"/>
      <c r="M419" s="2"/>
    </row>
    <row r="420" spans="2:13" ht="15.75" customHeight="1" x14ac:dyDescent="0.2">
      <c r="B420" s="2"/>
      <c r="C420" s="27"/>
      <c r="D420" s="27"/>
      <c r="E420" s="253"/>
      <c r="F420" s="27"/>
      <c r="G420" s="27"/>
      <c r="H420" s="7"/>
      <c r="I420" s="7"/>
      <c r="J420" s="7"/>
      <c r="K420" s="7"/>
      <c r="L420" s="2"/>
      <c r="M420" s="2"/>
    </row>
    <row r="421" spans="2:13" ht="15.75" customHeight="1" x14ac:dyDescent="0.2">
      <c r="B421" s="2"/>
      <c r="C421" s="27"/>
      <c r="D421" s="27"/>
      <c r="E421" s="253"/>
      <c r="F421" s="27"/>
      <c r="G421" s="27"/>
      <c r="H421" s="7"/>
      <c r="I421" s="7"/>
      <c r="J421" s="7"/>
      <c r="K421" s="7"/>
      <c r="L421" s="2"/>
      <c r="M421" s="2"/>
    </row>
    <row r="422" spans="2:13" ht="15.75" customHeight="1" x14ac:dyDescent="0.2">
      <c r="B422" s="2"/>
      <c r="C422" s="27"/>
      <c r="D422" s="27"/>
      <c r="E422" s="253"/>
      <c r="F422" s="27"/>
      <c r="G422" s="27"/>
      <c r="H422" s="7"/>
      <c r="I422" s="7"/>
      <c r="J422" s="7"/>
      <c r="K422" s="7"/>
      <c r="L422" s="2"/>
      <c r="M422" s="2"/>
    </row>
    <row r="423" spans="2:13" ht="15.75" customHeight="1" x14ac:dyDescent="0.2">
      <c r="B423" s="2"/>
      <c r="C423" s="27"/>
      <c r="D423" s="27"/>
      <c r="E423" s="253"/>
      <c r="F423" s="27"/>
      <c r="G423" s="27"/>
      <c r="H423" s="7"/>
      <c r="I423" s="7"/>
      <c r="J423" s="7"/>
      <c r="K423" s="7"/>
      <c r="L423" s="2"/>
      <c r="M423" s="2"/>
    </row>
    <row r="424" spans="2:13" ht="15.75" customHeight="1" x14ac:dyDescent="0.2">
      <c r="B424" s="2"/>
      <c r="C424" s="27"/>
      <c r="D424" s="27"/>
      <c r="E424" s="253"/>
      <c r="F424" s="27"/>
      <c r="G424" s="27"/>
      <c r="H424" s="7"/>
      <c r="I424" s="7"/>
      <c r="J424" s="7"/>
      <c r="K424" s="7"/>
      <c r="L424" s="2"/>
      <c r="M424" s="2"/>
    </row>
    <row r="425" spans="2:13" ht="15.75" customHeight="1" x14ac:dyDescent="0.2">
      <c r="B425" s="2"/>
      <c r="C425" s="27"/>
      <c r="D425" s="27"/>
      <c r="E425" s="253"/>
      <c r="F425" s="27"/>
      <c r="G425" s="27"/>
      <c r="H425" s="7"/>
      <c r="I425" s="7"/>
      <c r="J425" s="7"/>
      <c r="K425" s="7"/>
      <c r="L425" s="2"/>
      <c r="M425" s="2"/>
    </row>
    <row r="426" spans="2:13" ht="15.75" customHeight="1" x14ac:dyDescent="0.2">
      <c r="B426" s="2"/>
      <c r="C426" s="27"/>
      <c r="D426" s="27"/>
      <c r="E426" s="253"/>
      <c r="F426" s="27"/>
      <c r="G426" s="27"/>
      <c r="H426" s="7"/>
      <c r="I426" s="7"/>
      <c r="J426" s="7"/>
      <c r="K426" s="7"/>
      <c r="L426" s="2"/>
      <c r="M426" s="2"/>
    </row>
    <row r="427" spans="2:13" ht="15.75" customHeight="1" x14ac:dyDescent="0.2">
      <c r="B427" s="2"/>
      <c r="C427" s="27"/>
      <c r="D427" s="27"/>
      <c r="E427" s="253"/>
      <c r="F427" s="27"/>
      <c r="G427" s="27"/>
      <c r="H427" s="7"/>
      <c r="I427" s="7"/>
      <c r="J427" s="7"/>
      <c r="K427" s="7"/>
      <c r="L427" s="2"/>
      <c r="M427" s="2"/>
    </row>
    <row r="428" spans="2:13" ht="15.75" customHeight="1" x14ac:dyDescent="0.2">
      <c r="B428" s="2"/>
      <c r="C428" s="27"/>
      <c r="D428" s="27"/>
      <c r="E428" s="253"/>
      <c r="F428" s="27"/>
      <c r="G428" s="27"/>
      <c r="H428" s="7"/>
      <c r="I428" s="7"/>
      <c r="J428" s="7"/>
      <c r="K428" s="7"/>
      <c r="L428" s="2"/>
      <c r="M428" s="2"/>
    </row>
    <row r="429" spans="2:13" ht="15.75" customHeight="1" x14ac:dyDescent="0.2">
      <c r="B429" s="2"/>
      <c r="C429" s="27"/>
      <c r="D429" s="27"/>
      <c r="E429" s="253"/>
      <c r="F429" s="27"/>
      <c r="G429" s="27"/>
      <c r="H429" s="7"/>
      <c r="I429" s="7"/>
      <c r="J429" s="7"/>
      <c r="K429" s="7"/>
      <c r="L429" s="2"/>
      <c r="M429" s="2"/>
    </row>
    <row r="430" spans="2:13" ht="15.75" customHeight="1" x14ac:dyDescent="0.2">
      <c r="B430" s="2"/>
      <c r="C430" s="27"/>
      <c r="D430" s="27"/>
      <c r="E430" s="253"/>
      <c r="F430" s="27"/>
      <c r="G430" s="27"/>
      <c r="H430" s="7"/>
      <c r="I430" s="7"/>
      <c r="J430" s="7"/>
      <c r="K430" s="7"/>
      <c r="L430" s="2"/>
      <c r="M430" s="2"/>
    </row>
    <row r="431" spans="2:13" ht="15.75" customHeight="1" x14ac:dyDescent="0.2">
      <c r="B431" s="2"/>
      <c r="C431" s="27"/>
      <c r="D431" s="27"/>
      <c r="E431" s="253"/>
      <c r="F431" s="27"/>
      <c r="G431" s="27"/>
      <c r="H431" s="7"/>
      <c r="I431" s="7"/>
      <c r="J431" s="7"/>
      <c r="K431" s="7"/>
      <c r="L431" s="2"/>
      <c r="M431" s="2"/>
    </row>
    <row r="432" spans="2:13" ht="15.75" customHeight="1" x14ac:dyDescent="0.2">
      <c r="B432" s="2"/>
      <c r="C432" s="27"/>
      <c r="D432" s="27"/>
      <c r="E432" s="253"/>
      <c r="F432" s="27"/>
      <c r="G432" s="27"/>
      <c r="H432" s="7"/>
      <c r="I432" s="7"/>
      <c r="J432" s="7"/>
      <c r="K432" s="7"/>
      <c r="L432" s="2"/>
      <c r="M432" s="2"/>
    </row>
    <row r="433" spans="2:13" ht="15.75" customHeight="1" x14ac:dyDescent="0.2">
      <c r="B433" s="2"/>
      <c r="C433" s="27"/>
      <c r="D433" s="27"/>
      <c r="E433" s="253"/>
      <c r="F433" s="27"/>
      <c r="G433" s="27"/>
      <c r="H433" s="7"/>
      <c r="I433" s="7"/>
      <c r="J433" s="7"/>
      <c r="K433" s="7"/>
      <c r="L433" s="2"/>
      <c r="M433" s="2"/>
    </row>
    <row r="434" spans="2:13" ht="15.75" customHeight="1" x14ac:dyDescent="0.2">
      <c r="B434" s="2"/>
      <c r="C434" s="27"/>
      <c r="D434" s="27"/>
      <c r="E434" s="253"/>
      <c r="F434" s="27"/>
      <c r="G434" s="27"/>
      <c r="H434" s="7"/>
      <c r="I434" s="7"/>
      <c r="J434" s="7"/>
      <c r="K434" s="7"/>
      <c r="L434" s="2"/>
      <c r="M434" s="2"/>
    </row>
    <row r="435" spans="2:13" ht="15.75" customHeight="1" x14ac:dyDescent="0.2">
      <c r="B435" s="2"/>
      <c r="C435" s="27"/>
      <c r="D435" s="27"/>
      <c r="E435" s="253"/>
      <c r="F435" s="27"/>
      <c r="G435" s="27"/>
      <c r="H435" s="7"/>
      <c r="I435" s="7"/>
      <c r="J435" s="7"/>
      <c r="K435" s="7"/>
      <c r="L435" s="2"/>
      <c r="M435" s="2"/>
    </row>
    <row r="436" spans="2:13" ht="15.75" customHeight="1" x14ac:dyDescent="0.2">
      <c r="B436" s="2"/>
      <c r="C436" s="27"/>
      <c r="D436" s="27"/>
      <c r="E436" s="253"/>
      <c r="F436" s="27"/>
      <c r="G436" s="27"/>
      <c r="H436" s="7"/>
      <c r="I436" s="7"/>
      <c r="J436" s="7"/>
      <c r="K436" s="7"/>
      <c r="L436" s="2"/>
      <c r="M436" s="2"/>
    </row>
    <row r="437" spans="2:13" ht="15.75" customHeight="1" x14ac:dyDescent="0.2">
      <c r="B437" s="2"/>
      <c r="C437" s="27"/>
      <c r="D437" s="27"/>
      <c r="E437" s="253"/>
      <c r="F437" s="27"/>
      <c r="G437" s="27"/>
      <c r="H437" s="7"/>
      <c r="I437" s="7"/>
      <c r="J437" s="7"/>
      <c r="K437" s="7"/>
      <c r="L437" s="2"/>
      <c r="M437" s="2"/>
    </row>
    <row r="438" spans="2:13" ht="15.75" customHeight="1" x14ac:dyDescent="0.2">
      <c r="B438" s="2"/>
      <c r="C438" s="27"/>
      <c r="D438" s="27"/>
      <c r="E438" s="253"/>
      <c r="F438" s="27"/>
      <c r="G438" s="27"/>
      <c r="H438" s="7"/>
      <c r="I438" s="7"/>
      <c r="J438" s="7"/>
      <c r="K438" s="7"/>
      <c r="L438" s="2"/>
      <c r="M438" s="2"/>
    </row>
    <row r="439" spans="2:13" ht="15.75" customHeight="1" x14ac:dyDescent="0.2">
      <c r="B439" s="2"/>
      <c r="C439" s="27"/>
      <c r="D439" s="27"/>
      <c r="E439" s="253"/>
      <c r="F439" s="27"/>
      <c r="G439" s="27"/>
      <c r="H439" s="7"/>
      <c r="I439" s="7"/>
      <c r="J439" s="7"/>
      <c r="K439" s="7"/>
      <c r="L439" s="2"/>
      <c r="M439" s="2"/>
    </row>
    <row r="440" spans="2:13" ht="15.75" customHeight="1" x14ac:dyDescent="0.2">
      <c r="B440" s="2"/>
      <c r="C440" s="27"/>
      <c r="D440" s="27"/>
      <c r="E440" s="253"/>
      <c r="F440" s="27"/>
      <c r="G440" s="27"/>
      <c r="H440" s="7"/>
      <c r="I440" s="7"/>
      <c r="J440" s="7"/>
      <c r="K440" s="7"/>
      <c r="L440" s="2"/>
      <c r="M440" s="2"/>
    </row>
    <row r="441" spans="2:13" ht="15.75" customHeight="1" x14ac:dyDescent="0.2">
      <c r="B441" s="2"/>
      <c r="C441" s="27"/>
      <c r="D441" s="27"/>
      <c r="E441" s="253"/>
      <c r="F441" s="27"/>
      <c r="G441" s="27"/>
      <c r="H441" s="7"/>
      <c r="I441" s="7"/>
      <c r="J441" s="7"/>
      <c r="K441" s="7"/>
      <c r="L441" s="2"/>
      <c r="M441" s="2"/>
    </row>
    <row r="442" spans="2:13" ht="15.75" customHeight="1" x14ac:dyDescent="0.2">
      <c r="B442" s="2"/>
      <c r="C442" s="27"/>
      <c r="D442" s="27"/>
      <c r="E442" s="253"/>
      <c r="F442" s="27"/>
      <c r="G442" s="27"/>
      <c r="H442" s="7"/>
      <c r="I442" s="7"/>
      <c r="J442" s="7"/>
      <c r="K442" s="7"/>
      <c r="L442" s="2"/>
      <c r="M442" s="2"/>
    </row>
    <row r="443" spans="2:13" ht="15.75" customHeight="1" x14ac:dyDescent="0.2">
      <c r="B443" s="2"/>
      <c r="C443" s="27"/>
      <c r="D443" s="27"/>
      <c r="E443" s="253"/>
      <c r="F443" s="27"/>
      <c r="G443" s="27"/>
      <c r="H443" s="7"/>
      <c r="I443" s="7"/>
      <c r="J443" s="7"/>
      <c r="K443" s="7"/>
      <c r="L443" s="2"/>
      <c r="M443" s="2"/>
    </row>
    <row r="444" spans="2:13" ht="15.75" customHeight="1" x14ac:dyDescent="0.2">
      <c r="B444" s="2"/>
      <c r="C444" s="27"/>
      <c r="D444" s="27"/>
      <c r="E444" s="253"/>
      <c r="F444" s="27"/>
      <c r="G444" s="27"/>
      <c r="H444" s="7"/>
      <c r="I444" s="7"/>
      <c r="J444" s="7"/>
      <c r="K444" s="7"/>
      <c r="L444" s="2"/>
      <c r="M444" s="2"/>
    </row>
    <row r="445" spans="2:13" ht="15.75" customHeight="1" x14ac:dyDescent="0.2">
      <c r="B445" s="2"/>
      <c r="C445" s="27"/>
      <c r="D445" s="27"/>
      <c r="E445" s="253"/>
      <c r="F445" s="27"/>
      <c r="G445" s="27"/>
      <c r="H445" s="7"/>
      <c r="I445" s="7"/>
      <c r="J445" s="7"/>
      <c r="K445" s="7"/>
      <c r="L445" s="2"/>
      <c r="M445" s="2"/>
    </row>
    <row r="446" spans="2:13" ht="15.75" customHeight="1" x14ac:dyDescent="0.2">
      <c r="B446" s="2"/>
      <c r="C446" s="27"/>
      <c r="D446" s="27"/>
      <c r="E446" s="253"/>
      <c r="F446" s="27"/>
      <c r="G446" s="27"/>
      <c r="H446" s="7"/>
      <c r="I446" s="7"/>
      <c r="J446" s="7"/>
      <c r="K446" s="7"/>
      <c r="L446" s="2"/>
      <c r="M446" s="2"/>
    </row>
    <row r="447" spans="2:13" ht="15.75" customHeight="1" x14ac:dyDescent="0.2">
      <c r="B447" s="2"/>
      <c r="C447" s="27"/>
      <c r="D447" s="27"/>
      <c r="E447" s="253"/>
      <c r="F447" s="27"/>
      <c r="G447" s="27"/>
      <c r="H447" s="7"/>
      <c r="I447" s="7"/>
      <c r="J447" s="7"/>
      <c r="K447" s="7"/>
      <c r="L447" s="2"/>
      <c r="M447" s="2"/>
    </row>
    <row r="448" spans="2:13" ht="15.75" customHeight="1" x14ac:dyDescent="0.2">
      <c r="B448" s="2"/>
      <c r="C448" s="27"/>
      <c r="D448" s="27"/>
      <c r="E448" s="253"/>
      <c r="F448" s="27"/>
      <c r="G448" s="27"/>
      <c r="H448" s="7"/>
      <c r="I448" s="7"/>
      <c r="J448" s="7"/>
      <c r="K448" s="7"/>
      <c r="L448" s="2"/>
      <c r="M448" s="2"/>
    </row>
    <row r="449" spans="2:13" ht="15.75" customHeight="1" x14ac:dyDescent="0.2">
      <c r="B449" s="2"/>
      <c r="C449" s="27"/>
      <c r="D449" s="27"/>
      <c r="E449" s="253"/>
      <c r="F449" s="27"/>
      <c r="G449" s="27"/>
      <c r="H449" s="7"/>
      <c r="I449" s="7"/>
      <c r="J449" s="7"/>
      <c r="K449" s="7"/>
      <c r="L449" s="2"/>
      <c r="M449" s="2"/>
    </row>
    <row r="450" spans="2:13" ht="15.75" customHeight="1" x14ac:dyDescent="0.2">
      <c r="B450" s="2"/>
      <c r="C450" s="27"/>
      <c r="D450" s="27"/>
      <c r="E450" s="253"/>
      <c r="F450" s="27"/>
      <c r="G450" s="27"/>
      <c r="H450" s="7"/>
      <c r="I450" s="7"/>
      <c r="J450" s="7"/>
      <c r="K450" s="7"/>
      <c r="L450" s="2"/>
      <c r="M450" s="2"/>
    </row>
    <row r="451" spans="2:13" ht="15.75" customHeight="1" x14ac:dyDescent="0.2">
      <c r="B451" s="2"/>
      <c r="C451" s="27"/>
      <c r="D451" s="27"/>
      <c r="E451" s="253"/>
      <c r="F451" s="27"/>
      <c r="G451" s="27"/>
      <c r="H451" s="7"/>
      <c r="I451" s="7"/>
      <c r="J451" s="7"/>
      <c r="K451" s="7"/>
      <c r="L451" s="2"/>
      <c r="M451" s="2"/>
    </row>
    <row r="452" spans="2:13" ht="15.75" customHeight="1" x14ac:dyDescent="0.2">
      <c r="B452" s="2"/>
      <c r="C452" s="27"/>
      <c r="D452" s="27"/>
      <c r="E452" s="253"/>
      <c r="F452" s="27"/>
      <c r="G452" s="27"/>
      <c r="H452" s="7"/>
      <c r="I452" s="7"/>
      <c r="J452" s="7"/>
      <c r="K452" s="7"/>
      <c r="L452" s="2"/>
      <c r="M452" s="2"/>
    </row>
    <row r="453" spans="2:13" ht="15.75" customHeight="1" x14ac:dyDescent="0.2">
      <c r="B453" s="2"/>
      <c r="C453" s="27"/>
      <c r="D453" s="27"/>
      <c r="E453" s="253"/>
      <c r="F453" s="27"/>
      <c r="G453" s="27"/>
      <c r="H453" s="7"/>
      <c r="I453" s="7"/>
      <c r="J453" s="7"/>
      <c r="K453" s="7"/>
      <c r="L453" s="2"/>
      <c r="M453" s="2"/>
    </row>
    <row r="454" spans="2:13" ht="15.75" customHeight="1" x14ac:dyDescent="0.2">
      <c r="B454" s="2"/>
      <c r="C454" s="27"/>
      <c r="D454" s="27"/>
      <c r="E454" s="253"/>
      <c r="F454" s="27"/>
      <c r="G454" s="27"/>
      <c r="H454" s="7"/>
      <c r="I454" s="7"/>
      <c r="J454" s="7"/>
      <c r="K454" s="7"/>
      <c r="L454" s="2"/>
      <c r="M454" s="2"/>
    </row>
    <row r="455" spans="2:13" ht="15.75" customHeight="1" x14ac:dyDescent="0.2">
      <c r="B455" s="2"/>
      <c r="C455" s="27"/>
      <c r="D455" s="27"/>
      <c r="E455" s="253"/>
      <c r="F455" s="27"/>
      <c r="G455" s="27"/>
      <c r="H455" s="7"/>
      <c r="I455" s="7"/>
      <c r="J455" s="7"/>
      <c r="K455" s="7"/>
      <c r="L455" s="2"/>
      <c r="M455" s="2"/>
    </row>
    <row r="456" spans="2:13" ht="15.75" customHeight="1" x14ac:dyDescent="0.2">
      <c r="B456" s="2"/>
      <c r="C456" s="27"/>
      <c r="D456" s="27"/>
      <c r="E456" s="253"/>
      <c r="F456" s="27"/>
      <c r="G456" s="27"/>
      <c r="H456" s="7"/>
      <c r="I456" s="7"/>
      <c r="J456" s="7"/>
      <c r="K456" s="7"/>
      <c r="L456" s="2"/>
      <c r="M456" s="2"/>
    </row>
    <row r="457" spans="2:13" ht="15.75" customHeight="1" x14ac:dyDescent="0.2">
      <c r="B457" s="2"/>
      <c r="C457" s="27"/>
      <c r="D457" s="27"/>
      <c r="E457" s="253"/>
      <c r="F457" s="27"/>
      <c r="G457" s="27"/>
      <c r="H457" s="7"/>
      <c r="I457" s="7"/>
      <c r="J457" s="7"/>
      <c r="K457" s="7"/>
      <c r="L457" s="2"/>
      <c r="M457" s="2"/>
    </row>
    <row r="458" spans="2:13" ht="15.75" customHeight="1" x14ac:dyDescent="0.2">
      <c r="B458" s="2"/>
      <c r="C458" s="27"/>
      <c r="D458" s="27"/>
      <c r="E458" s="253"/>
      <c r="F458" s="27"/>
      <c r="G458" s="27"/>
      <c r="H458" s="7"/>
      <c r="I458" s="7"/>
      <c r="J458" s="7"/>
      <c r="K458" s="7"/>
      <c r="L458" s="2"/>
      <c r="M458" s="2"/>
    </row>
    <row r="459" spans="2:13" ht="15.75" customHeight="1" x14ac:dyDescent="0.2">
      <c r="B459" s="2"/>
      <c r="C459" s="27"/>
      <c r="D459" s="27"/>
      <c r="E459" s="253"/>
      <c r="F459" s="27"/>
      <c r="G459" s="27"/>
      <c r="H459" s="7"/>
      <c r="I459" s="7"/>
      <c r="J459" s="7"/>
      <c r="K459" s="7"/>
      <c r="L459" s="2"/>
      <c r="M459" s="2"/>
    </row>
    <row r="460" spans="2:13" ht="15.75" customHeight="1" x14ac:dyDescent="0.2">
      <c r="B460" s="2"/>
      <c r="C460" s="27"/>
      <c r="D460" s="27"/>
      <c r="E460" s="253"/>
      <c r="F460" s="27"/>
      <c r="G460" s="27"/>
      <c r="H460" s="7"/>
      <c r="I460" s="7"/>
      <c r="J460" s="7"/>
      <c r="K460" s="7"/>
      <c r="L460" s="2"/>
      <c r="M460" s="2"/>
    </row>
    <row r="461" spans="2:13" ht="15.75" customHeight="1" x14ac:dyDescent="0.2">
      <c r="B461" s="2"/>
      <c r="C461" s="27"/>
      <c r="D461" s="27"/>
      <c r="E461" s="253"/>
      <c r="F461" s="27"/>
      <c r="G461" s="27"/>
      <c r="H461" s="7"/>
      <c r="I461" s="7"/>
      <c r="J461" s="7"/>
      <c r="K461" s="7"/>
      <c r="L461" s="2"/>
      <c r="M461" s="2"/>
    </row>
    <row r="462" spans="2:13" ht="15.75" customHeight="1" x14ac:dyDescent="0.2">
      <c r="B462" s="2"/>
      <c r="C462" s="27"/>
      <c r="D462" s="27"/>
      <c r="E462" s="253"/>
      <c r="F462" s="27"/>
      <c r="G462" s="27"/>
      <c r="H462" s="7"/>
      <c r="I462" s="7"/>
      <c r="J462" s="7"/>
      <c r="K462" s="7"/>
      <c r="L462" s="2"/>
      <c r="M462" s="2"/>
    </row>
    <row r="463" spans="2:13" ht="15.75" customHeight="1" x14ac:dyDescent="0.2">
      <c r="B463" s="2"/>
      <c r="C463" s="27"/>
      <c r="D463" s="27"/>
      <c r="E463" s="253"/>
      <c r="F463" s="27"/>
      <c r="G463" s="27"/>
      <c r="H463" s="7"/>
      <c r="I463" s="7"/>
      <c r="J463" s="7"/>
      <c r="K463" s="7"/>
      <c r="L463" s="2"/>
      <c r="M463" s="2"/>
    </row>
    <row r="464" spans="2:13" ht="15.75" customHeight="1" x14ac:dyDescent="0.2">
      <c r="B464" s="2"/>
      <c r="C464" s="27"/>
      <c r="D464" s="27"/>
      <c r="E464" s="253"/>
      <c r="F464" s="27"/>
      <c r="G464" s="27"/>
      <c r="H464" s="7"/>
      <c r="I464" s="7"/>
      <c r="J464" s="7"/>
      <c r="K464" s="7"/>
      <c r="L464" s="2"/>
      <c r="M464" s="2"/>
    </row>
    <row r="465" spans="2:13" ht="15.75" customHeight="1" x14ac:dyDescent="0.2">
      <c r="B465" s="2"/>
      <c r="C465" s="27"/>
      <c r="D465" s="27"/>
      <c r="E465" s="253"/>
      <c r="F465" s="27"/>
      <c r="G465" s="27"/>
      <c r="H465" s="7"/>
      <c r="I465" s="7"/>
      <c r="J465" s="7"/>
      <c r="K465" s="7"/>
      <c r="L465" s="2"/>
      <c r="M465" s="2"/>
    </row>
    <row r="466" spans="2:13" ht="15.75" customHeight="1" x14ac:dyDescent="0.2">
      <c r="B466" s="2"/>
      <c r="C466" s="27"/>
      <c r="D466" s="27"/>
      <c r="E466" s="253"/>
      <c r="F466" s="27"/>
      <c r="G466" s="27"/>
      <c r="H466" s="7"/>
      <c r="I466" s="7"/>
      <c r="J466" s="7"/>
      <c r="K466" s="7"/>
      <c r="L466" s="2"/>
      <c r="M466" s="2"/>
    </row>
    <row r="467" spans="2:13" ht="15.75" customHeight="1" x14ac:dyDescent="0.2">
      <c r="B467" s="2"/>
      <c r="C467" s="27"/>
      <c r="D467" s="27"/>
      <c r="E467" s="253"/>
      <c r="F467" s="27"/>
      <c r="G467" s="27"/>
      <c r="H467" s="7"/>
      <c r="I467" s="7"/>
      <c r="J467" s="7"/>
      <c r="K467" s="7"/>
      <c r="L467" s="2"/>
      <c r="M467" s="2"/>
    </row>
    <row r="468" spans="2:13" ht="15.75" customHeight="1" x14ac:dyDescent="0.2">
      <c r="B468" s="2"/>
      <c r="C468" s="27"/>
      <c r="D468" s="27"/>
      <c r="E468" s="253"/>
      <c r="F468" s="27"/>
      <c r="G468" s="27"/>
      <c r="H468" s="7"/>
      <c r="I468" s="7"/>
      <c r="J468" s="7"/>
      <c r="K468" s="7"/>
      <c r="L468" s="2"/>
      <c r="M468" s="2"/>
    </row>
    <row r="469" spans="2:13" ht="15.75" customHeight="1" x14ac:dyDescent="0.2">
      <c r="B469" s="2"/>
      <c r="C469" s="27"/>
      <c r="D469" s="27"/>
      <c r="E469" s="253"/>
      <c r="F469" s="27"/>
      <c r="G469" s="27"/>
      <c r="H469" s="7"/>
      <c r="I469" s="7"/>
      <c r="J469" s="7"/>
      <c r="K469" s="7"/>
      <c r="L469" s="2"/>
      <c r="M469" s="2"/>
    </row>
    <row r="470" spans="2:13" ht="15.75" customHeight="1" x14ac:dyDescent="0.2">
      <c r="B470" s="2"/>
      <c r="C470" s="27"/>
      <c r="D470" s="27"/>
      <c r="E470" s="253"/>
      <c r="F470" s="27"/>
      <c r="G470" s="27"/>
      <c r="H470" s="7"/>
      <c r="I470" s="7"/>
      <c r="J470" s="7"/>
      <c r="K470" s="7"/>
      <c r="L470" s="2"/>
      <c r="M470" s="2"/>
    </row>
    <row r="471" spans="2:13" ht="15.75" customHeight="1" x14ac:dyDescent="0.2">
      <c r="B471" s="2"/>
      <c r="C471" s="27"/>
      <c r="D471" s="27"/>
      <c r="E471" s="253"/>
      <c r="F471" s="27"/>
      <c r="G471" s="27"/>
      <c r="H471" s="7"/>
      <c r="I471" s="7"/>
      <c r="J471" s="7"/>
      <c r="K471" s="7"/>
      <c r="L471" s="2"/>
      <c r="M471" s="2"/>
    </row>
    <row r="472" spans="2:13" ht="15.75" customHeight="1" x14ac:dyDescent="0.2">
      <c r="B472" s="2"/>
      <c r="C472" s="27"/>
      <c r="D472" s="27"/>
      <c r="E472" s="253"/>
      <c r="F472" s="27"/>
      <c r="G472" s="27"/>
      <c r="H472" s="7"/>
      <c r="I472" s="7"/>
      <c r="J472" s="7"/>
      <c r="K472" s="7"/>
      <c r="L472" s="2"/>
      <c r="M472" s="2"/>
    </row>
    <row r="473" spans="2:13" ht="15.75" customHeight="1" x14ac:dyDescent="0.2">
      <c r="B473" s="2"/>
      <c r="C473" s="27"/>
      <c r="D473" s="27"/>
      <c r="E473" s="253"/>
      <c r="F473" s="27"/>
      <c r="G473" s="27"/>
      <c r="H473" s="7"/>
      <c r="I473" s="7"/>
      <c r="J473" s="7"/>
      <c r="K473" s="7"/>
      <c r="L473" s="2"/>
      <c r="M473" s="2"/>
    </row>
    <row r="474" spans="2:13" ht="15.75" customHeight="1" x14ac:dyDescent="0.2">
      <c r="B474" s="2"/>
      <c r="C474" s="27"/>
      <c r="D474" s="27"/>
      <c r="E474" s="253"/>
      <c r="F474" s="27"/>
      <c r="G474" s="27"/>
      <c r="H474" s="7"/>
      <c r="I474" s="7"/>
      <c r="J474" s="7"/>
      <c r="K474" s="7"/>
      <c r="L474" s="2"/>
      <c r="M474" s="2"/>
    </row>
    <row r="475" spans="2:13" ht="15.75" customHeight="1" x14ac:dyDescent="0.2">
      <c r="B475" s="2"/>
      <c r="C475" s="27"/>
      <c r="D475" s="27"/>
      <c r="E475" s="253"/>
      <c r="F475" s="27"/>
      <c r="G475" s="27"/>
      <c r="H475" s="7"/>
      <c r="I475" s="7"/>
      <c r="J475" s="7"/>
      <c r="K475" s="7"/>
      <c r="L475" s="2"/>
      <c r="M475" s="2"/>
    </row>
    <row r="476" spans="2:13" ht="15.75" customHeight="1" x14ac:dyDescent="0.2">
      <c r="B476" s="2"/>
      <c r="C476" s="27"/>
      <c r="D476" s="27"/>
      <c r="E476" s="253"/>
      <c r="F476" s="27"/>
      <c r="G476" s="27"/>
      <c r="H476" s="7"/>
      <c r="I476" s="7"/>
      <c r="J476" s="7"/>
      <c r="K476" s="7"/>
      <c r="L476" s="2"/>
      <c r="M476" s="2"/>
    </row>
    <row r="477" spans="2:13" ht="15.75" customHeight="1" x14ac:dyDescent="0.2">
      <c r="B477" s="2"/>
      <c r="C477" s="27"/>
      <c r="D477" s="27"/>
      <c r="E477" s="253"/>
      <c r="F477" s="27"/>
      <c r="G477" s="27"/>
      <c r="H477" s="7"/>
      <c r="I477" s="7"/>
      <c r="J477" s="7"/>
      <c r="K477" s="7"/>
      <c r="L477" s="2"/>
      <c r="M477" s="2"/>
    </row>
    <row r="478" spans="2:13" ht="15.75" customHeight="1" x14ac:dyDescent="0.2">
      <c r="B478" s="2"/>
      <c r="C478" s="27"/>
      <c r="D478" s="27"/>
      <c r="E478" s="253"/>
      <c r="F478" s="27"/>
      <c r="G478" s="27"/>
      <c r="H478" s="7"/>
      <c r="I478" s="7"/>
      <c r="J478" s="7"/>
      <c r="K478" s="7"/>
      <c r="L478" s="2"/>
      <c r="M478" s="2"/>
    </row>
    <row r="479" spans="2:13" ht="15.75" customHeight="1" x14ac:dyDescent="0.2">
      <c r="B479" s="2"/>
      <c r="C479" s="27"/>
      <c r="D479" s="27"/>
      <c r="E479" s="253"/>
      <c r="F479" s="27"/>
      <c r="G479" s="27"/>
      <c r="H479" s="7"/>
      <c r="I479" s="7"/>
      <c r="J479" s="7"/>
      <c r="K479" s="7"/>
      <c r="L479" s="2"/>
      <c r="M479" s="2"/>
    </row>
    <row r="480" spans="2:13" ht="15.75" customHeight="1" x14ac:dyDescent="0.2">
      <c r="B480" s="2"/>
      <c r="C480" s="27"/>
      <c r="D480" s="27"/>
      <c r="E480" s="253"/>
      <c r="F480" s="27"/>
      <c r="G480" s="27"/>
      <c r="H480" s="7"/>
      <c r="I480" s="7"/>
      <c r="J480" s="7"/>
      <c r="K480" s="7"/>
      <c r="L480" s="2"/>
      <c r="M480" s="2"/>
    </row>
    <row r="481" spans="2:13" ht="15.75" customHeight="1" x14ac:dyDescent="0.2">
      <c r="B481" s="2"/>
      <c r="C481" s="27"/>
      <c r="D481" s="27"/>
      <c r="E481" s="253"/>
      <c r="F481" s="27"/>
      <c r="G481" s="27"/>
      <c r="H481" s="7"/>
      <c r="I481" s="7"/>
      <c r="J481" s="7"/>
      <c r="K481" s="7"/>
      <c r="L481" s="2"/>
      <c r="M481" s="2"/>
    </row>
    <row r="482" spans="2:13" ht="15.75" customHeight="1" x14ac:dyDescent="0.2">
      <c r="B482" s="2"/>
      <c r="C482" s="27"/>
      <c r="D482" s="27"/>
      <c r="E482" s="253"/>
      <c r="F482" s="27"/>
      <c r="G482" s="27"/>
      <c r="H482" s="7"/>
      <c r="I482" s="7"/>
      <c r="J482" s="7"/>
      <c r="K482" s="7"/>
      <c r="L482" s="2"/>
      <c r="M482" s="2"/>
    </row>
    <row r="483" spans="2:13" ht="15.75" customHeight="1" x14ac:dyDescent="0.2">
      <c r="B483" s="2"/>
      <c r="C483" s="27"/>
      <c r="D483" s="27"/>
      <c r="E483" s="253"/>
      <c r="F483" s="27"/>
      <c r="G483" s="27"/>
      <c r="H483" s="7"/>
      <c r="I483" s="7"/>
      <c r="J483" s="7"/>
      <c r="K483" s="7"/>
      <c r="L483" s="2"/>
      <c r="M483" s="2"/>
    </row>
    <row r="484" spans="2:13" ht="15.75" customHeight="1" x14ac:dyDescent="0.2">
      <c r="B484" s="2"/>
      <c r="C484" s="27"/>
      <c r="D484" s="27"/>
      <c r="E484" s="253"/>
      <c r="F484" s="27"/>
      <c r="G484" s="27"/>
      <c r="H484" s="7"/>
      <c r="I484" s="7"/>
      <c r="J484" s="7"/>
      <c r="K484" s="7"/>
      <c r="L484" s="2"/>
      <c r="M484" s="2"/>
    </row>
    <row r="485" spans="2:13" ht="15.75" customHeight="1" x14ac:dyDescent="0.2">
      <c r="B485" s="2"/>
      <c r="C485" s="27"/>
      <c r="D485" s="27"/>
      <c r="E485" s="253"/>
      <c r="F485" s="27"/>
      <c r="G485" s="27"/>
      <c r="H485" s="7"/>
      <c r="I485" s="7"/>
      <c r="J485" s="7"/>
      <c r="K485" s="7"/>
      <c r="L485" s="2"/>
      <c r="M485" s="2"/>
    </row>
    <row r="486" spans="2:13" ht="15.75" customHeight="1" x14ac:dyDescent="0.2">
      <c r="B486" s="2"/>
      <c r="C486" s="27"/>
      <c r="D486" s="27"/>
      <c r="E486" s="253"/>
      <c r="F486" s="27"/>
      <c r="G486" s="27"/>
      <c r="H486" s="7"/>
      <c r="I486" s="7"/>
      <c r="J486" s="7"/>
      <c r="K486" s="7"/>
      <c r="L486" s="2"/>
      <c r="M486" s="2"/>
    </row>
    <row r="487" spans="2:13" ht="15.75" customHeight="1" x14ac:dyDescent="0.2">
      <c r="B487" s="2"/>
      <c r="C487" s="27"/>
      <c r="D487" s="27"/>
      <c r="E487" s="253"/>
      <c r="F487" s="27"/>
      <c r="G487" s="27"/>
      <c r="H487" s="7"/>
      <c r="I487" s="7"/>
      <c r="J487" s="7"/>
      <c r="K487" s="7"/>
      <c r="L487" s="2"/>
      <c r="M487" s="2"/>
    </row>
    <row r="488" spans="2:13" ht="15.75" customHeight="1" x14ac:dyDescent="0.2">
      <c r="B488" s="2"/>
      <c r="C488" s="27"/>
      <c r="D488" s="27"/>
      <c r="E488" s="253"/>
      <c r="F488" s="27"/>
      <c r="G488" s="27"/>
      <c r="H488" s="7"/>
      <c r="I488" s="7"/>
      <c r="J488" s="7"/>
      <c r="K488" s="7"/>
      <c r="L488" s="2"/>
      <c r="M488" s="2"/>
    </row>
    <row r="489" spans="2:13" ht="15.75" customHeight="1" x14ac:dyDescent="0.2">
      <c r="B489" s="2"/>
      <c r="C489" s="27"/>
      <c r="D489" s="27"/>
      <c r="E489" s="253"/>
      <c r="F489" s="27"/>
      <c r="G489" s="27"/>
      <c r="H489" s="7"/>
      <c r="I489" s="7"/>
      <c r="J489" s="7"/>
      <c r="K489" s="7"/>
      <c r="L489" s="2"/>
      <c r="M489" s="2"/>
    </row>
    <row r="490" spans="2:13" ht="15.75" customHeight="1" x14ac:dyDescent="0.2">
      <c r="B490" s="2"/>
      <c r="C490" s="27"/>
      <c r="D490" s="27"/>
      <c r="E490" s="253"/>
      <c r="F490" s="27"/>
      <c r="G490" s="27"/>
      <c r="H490" s="7"/>
      <c r="I490" s="7"/>
      <c r="J490" s="7"/>
      <c r="K490" s="7"/>
      <c r="L490" s="2"/>
      <c r="M490" s="2"/>
    </row>
    <row r="491" spans="2:13" ht="15.75" customHeight="1" x14ac:dyDescent="0.2">
      <c r="B491" s="2"/>
      <c r="C491" s="27"/>
      <c r="D491" s="27"/>
      <c r="E491" s="253"/>
      <c r="F491" s="27"/>
      <c r="G491" s="27"/>
      <c r="H491" s="7"/>
      <c r="I491" s="7"/>
      <c r="J491" s="7"/>
      <c r="K491" s="7"/>
      <c r="L491" s="2"/>
      <c r="M491" s="2"/>
    </row>
    <row r="492" spans="2:13" ht="15.75" customHeight="1" x14ac:dyDescent="0.2">
      <c r="B492" s="2"/>
      <c r="C492" s="27"/>
      <c r="D492" s="27"/>
      <c r="E492" s="253"/>
      <c r="F492" s="27"/>
      <c r="G492" s="27"/>
      <c r="H492" s="7"/>
      <c r="I492" s="7"/>
      <c r="J492" s="7"/>
      <c r="K492" s="7"/>
      <c r="L492" s="2"/>
      <c r="M492" s="2"/>
    </row>
    <row r="493" spans="2:13" ht="15.75" customHeight="1" x14ac:dyDescent="0.2">
      <c r="B493" s="2"/>
      <c r="C493" s="27"/>
      <c r="D493" s="27"/>
      <c r="E493" s="253"/>
      <c r="F493" s="27"/>
      <c r="G493" s="27"/>
      <c r="H493" s="7"/>
      <c r="I493" s="7"/>
      <c r="J493" s="7"/>
      <c r="K493" s="7"/>
      <c r="L493" s="2"/>
      <c r="M493" s="2"/>
    </row>
    <row r="494" spans="2:13" ht="15.75" customHeight="1" x14ac:dyDescent="0.2">
      <c r="B494" s="2"/>
      <c r="C494" s="27"/>
      <c r="D494" s="27"/>
      <c r="E494" s="253"/>
      <c r="F494" s="27"/>
      <c r="G494" s="27"/>
      <c r="H494" s="7"/>
      <c r="I494" s="7"/>
      <c r="J494" s="7"/>
      <c r="K494" s="7"/>
      <c r="L494" s="2"/>
      <c r="M494" s="2"/>
    </row>
    <row r="495" spans="2:13" ht="15.75" customHeight="1" x14ac:dyDescent="0.2">
      <c r="B495" s="2"/>
      <c r="C495" s="27"/>
      <c r="D495" s="27"/>
      <c r="E495" s="253"/>
      <c r="F495" s="27"/>
      <c r="G495" s="27"/>
      <c r="H495" s="7"/>
      <c r="I495" s="7"/>
      <c r="J495" s="7"/>
      <c r="K495" s="7"/>
      <c r="L495" s="2"/>
      <c r="M495" s="2"/>
    </row>
    <row r="496" spans="2:13" ht="15.75" customHeight="1" x14ac:dyDescent="0.2">
      <c r="B496" s="2"/>
      <c r="C496" s="27"/>
      <c r="D496" s="27"/>
      <c r="E496" s="253"/>
      <c r="F496" s="27"/>
      <c r="G496" s="27"/>
      <c r="H496" s="7"/>
      <c r="I496" s="7"/>
      <c r="J496" s="7"/>
      <c r="K496" s="7"/>
      <c r="L496" s="2"/>
      <c r="M496" s="2"/>
    </row>
    <row r="497" spans="2:13" ht="15.75" customHeight="1" x14ac:dyDescent="0.2">
      <c r="B497" s="2"/>
      <c r="C497" s="27"/>
      <c r="D497" s="27"/>
      <c r="E497" s="253"/>
      <c r="F497" s="27"/>
      <c r="G497" s="27"/>
      <c r="H497" s="7"/>
      <c r="I497" s="7"/>
      <c r="J497" s="7"/>
      <c r="K497" s="7"/>
      <c r="L497" s="2"/>
      <c r="M497" s="2"/>
    </row>
    <row r="498" spans="2:13" ht="15.75" customHeight="1" x14ac:dyDescent="0.2">
      <c r="B498" s="2"/>
      <c r="C498" s="27"/>
      <c r="D498" s="27"/>
      <c r="E498" s="253"/>
      <c r="F498" s="27"/>
      <c r="G498" s="27"/>
      <c r="H498" s="7"/>
      <c r="I498" s="7"/>
      <c r="J498" s="7"/>
      <c r="K498" s="7"/>
      <c r="L498" s="2"/>
      <c r="M498" s="2"/>
    </row>
    <row r="499" spans="2:13" ht="15.75" customHeight="1" x14ac:dyDescent="0.2">
      <c r="B499" s="2"/>
      <c r="C499" s="27"/>
      <c r="D499" s="27"/>
      <c r="E499" s="253"/>
      <c r="F499" s="27"/>
      <c r="G499" s="27"/>
      <c r="H499" s="7"/>
      <c r="I499" s="7"/>
      <c r="J499" s="7"/>
      <c r="K499" s="7"/>
      <c r="L499" s="2"/>
      <c r="M499" s="2"/>
    </row>
    <row r="500" spans="2:13" ht="15.75" customHeight="1" x14ac:dyDescent="0.2">
      <c r="B500" s="2"/>
      <c r="C500" s="27"/>
      <c r="D500" s="27"/>
      <c r="E500" s="253"/>
      <c r="F500" s="27"/>
      <c r="G500" s="27"/>
      <c r="H500" s="7"/>
      <c r="I500" s="7"/>
      <c r="J500" s="7"/>
      <c r="K500" s="7"/>
      <c r="L500" s="2"/>
      <c r="M500" s="2"/>
    </row>
    <row r="501" spans="2:13" ht="15.75" customHeight="1" x14ac:dyDescent="0.2">
      <c r="B501" s="2"/>
      <c r="C501" s="27"/>
      <c r="D501" s="27"/>
      <c r="E501" s="253"/>
      <c r="F501" s="27"/>
      <c r="G501" s="27"/>
      <c r="H501" s="7"/>
      <c r="I501" s="7"/>
      <c r="J501" s="7"/>
      <c r="K501" s="7"/>
      <c r="L501" s="2"/>
      <c r="M501" s="2"/>
    </row>
    <row r="502" spans="2:13" ht="15.75" customHeight="1" x14ac:dyDescent="0.2">
      <c r="B502" s="2"/>
      <c r="C502" s="27"/>
      <c r="D502" s="27"/>
      <c r="E502" s="253"/>
      <c r="F502" s="27"/>
      <c r="G502" s="27"/>
      <c r="H502" s="7"/>
      <c r="I502" s="7"/>
      <c r="J502" s="7"/>
      <c r="K502" s="7"/>
      <c r="L502" s="2"/>
      <c r="M502" s="2"/>
    </row>
    <row r="503" spans="2:13" ht="15.75" customHeight="1" x14ac:dyDescent="0.2">
      <c r="B503" s="2"/>
      <c r="C503" s="27"/>
      <c r="D503" s="27"/>
      <c r="E503" s="253"/>
      <c r="F503" s="27"/>
      <c r="G503" s="27"/>
      <c r="H503" s="7"/>
      <c r="I503" s="7"/>
      <c r="J503" s="7"/>
      <c r="K503" s="7"/>
      <c r="L503" s="2"/>
      <c r="M503" s="2"/>
    </row>
    <row r="504" spans="2:13" ht="15.75" customHeight="1" x14ac:dyDescent="0.2">
      <c r="B504" s="2"/>
      <c r="C504" s="27"/>
      <c r="D504" s="27"/>
      <c r="E504" s="253"/>
      <c r="F504" s="27"/>
      <c r="G504" s="27"/>
      <c r="H504" s="7"/>
      <c r="I504" s="7"/>
      <c r="J504" s="7"/>
      <c r="K504" s="7"/>
      <c r="L504" s="2"/>
      <c r="M504" s="2"/>
    </row>
    <row r="505" spans="2:13" ht="15.75" customHeight="1" x14ac:dyDescent="0.2">
      <c r="B505" s="2"/>
      <c r="C505" s="27"/>
      <c r="D505" s="27"/>
      <c r="E505" s="253"/>
      <c r="F505" s="27"/>
      <c r="G505" s="27"/>
      <c r="H505" s="7"/>
      <c r="I505" s="7"/>
      <c r="J505" s="7"/>
      <c r="K505" s="7"/>
      <c r="L505" s="2"/>
      <c r="M505" s="2"/>
    </row>
    <row r="506" spans="2:13" ht="15.75" customHeight="1" x14ac:dyDescent="0.2">
      <c r="B506" s="2"/>
      <c r="C506" s="27"/>
      <c r="D506" s="27"/>
      <c r="E506" s="253"/>
      <c r="F506" s="27"/>
      <c r="G506" s="27"/>
      <c r="H506" s="7"/>
      <c r="I506" s="7"/>
      <c r="J506" s="7"/>
      <c r="K506" s="7"/>
      <c r="L506" s="2"/>
      <c r="M506" s="2"/>
    </row>
    <row r="507" spans="2:13" ht="15.75" customHeight="1" x14ac:dyDescent="0.2">
      <c r="B507" s="2"/>
      <c r="C507" s="27"/>
      <c r="D507" s="27"/>
      <c r="E507" s="253"/>
      <c r="F507" s="27"/>
      <c r="G507" s="27"/>
      <c r="H507" s="7"/>
      <c r="I507" s="7"/>
      <c r="J507" s="7"/>
      <c r="K507" s="7"/>
      <c r="L507" s="2"/>
      <c r="M507" s="2"/>
    </row>
    <row r="508" spans="2:13" ht="15.75" customHeight="1" x14ac:dyDescent="0.2">
      <c r="B508" s="2"/>
      <c r="C508" s="27"/>
      <c r="D508" s="27"/>
      <c r="E508" s="253"/>
      <c r="F508" s="27"/>
      <c r="G508" s="27"/>
      <c r="H508" s="7"/>
      <c r="I508" s="7"/>
      <c r="J508" s="7"/>
      <c r="K508" s="7"/>
      <c r="L508" s="2"/>
      <c r="M508" s="2"/>
    </row>
    <row r="509" spans="2:13" ht="15.75" customHeight="1" x14ac:dyDescent="0.2">
      <c r="B509" s="2"/>
      <c r="C509" s="27"/>
      <c r="D509" s="27"/>
      <c r="E509" s="253"/>
      <c r="F509" s="27"/>
      <c r="G509" s="27"/>
      <c r="H509" s="7"/>
      <c r="I509" s="7"/>
      <c r="J509" s="7"/>
      <c r="K509" s="7"/>
      <c r="L509" s="2"/>
      <c r="M509" s="2"/>
    </row>
    <row r="510" spans="2:13" ht="15.75" customHeight="1" x14ac:dyDescent="0.2">
      <c r="B510" s="2"/>
      <c r="C510" s="27"/>
      <c r="D510" s="27"/>
      <c r="E510" s="253"/>
      <c r="F510" s="27"/>
      <c r="G510" s="27"/>
      <c r="H510" s="7"/>
      <c r="I510" s="7"/>
      <c r="J510" s="7"/>
      <c r="K510" s="7"/>
      <c r="L510" s="2"/>
      <c r="M510" s="2"/>
    </row>
    <row r="511" spans="2:13" ht="15.75" customHeight="1" x14ac:dyDescent="0.2">
      <c r="B511" s="2"/>
      <c r="C511" s="27"/>
      <c r="D511" s="27"/>
      <c r="E511" s="253"/>
      <c r="F511" s="27"/>
      <c r="G511" s="27"/>
      <c r="H511" s="7"/>
      <c r="I511" s="7"/>
      <c r="J511" s="7"/>
      <c r="K511" s="7"/>
      <c r="L511" s="2"/>
      <c r="M511" s="2"/>
    </row>
    <row r="512" spans="2:13" ht="15.75" customHeight="1" x14ac:dyDescent="0.2">
      <c r="B512" s="2"/>
      <c r="C512" s="27"/>
      <c r="D512" s="27"/>
      <c r="E512" s="253"/>
      <c r="F512" s="27"/>
      <c r="G512" s="27"/>
      <c r="H512" s="7"/>
      <c r="I512" s="7"/>
      <c r="J512" s="7"/>
      <c r="K512" s="7"/>
      <c r="L512" s="2"/>
      <c r="M512" s="2"/>
    </row>
    <row r="513" spans="2:13" ht="15.75" customHeight="1" x14ac:dyDescent="0.2">
      <c r="B513" s="2"/>
      <c r="C513" s="27"/>
      <c r="D513" s="27"/>
      <c r="E513" s="253"/>
      <c r="F513" s="27"/>
      <c r="G513" s="27"/>
      <c r="H513" s="7"/>
      <c r="I513" s="7"/>
      <c r="J513" s="7"/>
      <c r="K513" s="7"/>
      <c r="L513" s="2"/>
      <c r="M513" s="2"/>
    </row>
    <row r="514" spans="2:13" ht="15.75" customHeight="1" x14ac:dyDescent="0.2">
      <c r="B514" s="2"/>
      <c r="C514" s="27"/>
      <c r="D514" s="27"/>
      <c r="E514" s="253"/>
      <c r="F514" s="27"/>
      <c r="G514" s="27"/>
      <c r="H514" s="7"/>
      <c r="I514" s="7"/>
      <c r="J514" s="7"/>
      <c r="K514" s="7"/>
      <c r="L514" s="2"/>
      <c r="M514" s="2"/>
    </row>
    <row r="515" spans="2:13" ht="15.75" customHeight="1" x14ac:dyDescent="0.2">
      <c r="B515" s="2"/>
      <c r="C515" s="27"/>
      <c r="D515" s="27"/>
      <c r="E515" s="253"/>
      <c r="F515" s="27"/>
      <c r="G515" s="27"/>
      <c r="H515" s="7"/>
      <c r="I515" s="7"/>
      <c r="J515" s="7"/>
      <c r="K515" s="7"/>
      <c r="L515" s="2"/>
      <c r="M515" s="2"/>
    </row>
    <row r="516" spans="2:13" ht="15.75" customHeight="1" x14ac:dyDescent="0.2">
      <c r="B516" s="2"/>
      <c r="C516" s="27"/>
      <c r="D516" s="27"/>
      <c r="E516" s="253"/>
      <c r="F516" s="27"/>
      <c r="G516" s="27"/>
      <c r="H516" s="7"/>
      <c r="I516" s="7"/>
      <c r="J516" s="7"/>
      <c r="K516" s="7"/>
      <c r="L516" s="2"/>
      <c r="M516" s="2"/>
    </row>
    <row r="517" spans="2:13" ht="15.75" customHeight="1" x14ac:dyDescent="0.2">
      <c r="B517" s="2"/>
      <c r="C517" s="27"/>
      <c r="D517" s="27"/>
      <c r="E517" s="253"/>
      <c r="F517" s="27"/>
      <c r="G517" s="27"/>
      <c r="H517" s="7"/>
      <c r="I517" s="7"/>
      <c r="J517" s="7"/>
      <c r="K517" s="7"/>
      <c r="L517" s="2"/>
      <c r="M517" s="2"/>
    </row>
    <row r="518" spans="2:13" ht="15.75" customHeight="1" x14ac:dyDescent="0.2">
      <c r="B518" s="2"/>
      <c r="C518" s="27"/>
      <c r="D518" s="27"/>
      <c r="E518" s="253"/>
      <c r="F518" s="27"/>
      <c r="G518" s="27"/>
      <c r="H518" s="7"/>
      <c r="I518" s="7"/>
      <c r="J518" s="7"/>
      <c r="K518" s="7"/>
      <c r="L518" s="2"/>
      <c r="M518" s="2"/>
    </row>
    <row r="519" spans="2:13" ht="15.75" customHeight="1" x14ac:dyDescent="0.2">
      <c r="B519" s="2"/>
      <c r="C519" s="27"/>
      <c r="D519" s="27"/>
      <c r="E519" s="253"/>
      <c r="F519" s="27"/>
      <c r="G519" s="27"/>
      <c r="H519" s="7"/>
      <c r="I519" s="7"/>
      <c r="J519" s="7"/>
      <c r="K519" s="7"/>
      <c r="L519" s="2"/>
      <c r="M519" s="2"/>
    </row>
    <row r="520" spans="2:13" ht="15.75" customHeight="1" x14ac:dyDescent="0.2">
      <c r="B520" s="2"/>
      <c r="C520" s="27"/>
      <c r="D520" s="27"/>
      <c r="E520" s="253"/>
      <c r="F520" s="27"/>
      <c r="G520" s="27"/>
      <c r="H520" s="7"/>
      <c r="I520" s="7"/>
      <c r="J520" s="7"/>
      <c r="K520" s="7"/>
      <c r="L520" s="2"/>
      <c r="M520" s="2"/>
    </row>
    <row r="521" spans="2:13" ht="15.75" customHeight="1" x14ac:dyDescent="0.2">
      <c r="B521" s="2"/>
      <c r="C521" s="27"/>
      <c r="D521" s="27"/>
      <c r="E521" s="253"/>
      <c r="F521" s="27"/>
      <c r="G521" s="27"/>
      <c r="H521" s="7"/>
      <c r="I521" s="7"/>
      <c r="J521" s="7"/>
      <c r="K521" s="7"/>
      <c r="L521" s="2"/>
      <c r="M521" s="2"/>
    </row>
    <row r="522" spans="2:13" ht="15.75" customHeight="1" x14ac:dyDescent="0.2">
      <c r="B522" s="2"/>
      <c r="C522" s="27"/>
      <c r="D522" s="27"/>
      <c r="E522" s="253"/>
      <c r="F522" s="27"/>
      <c r="G522" s="27"/>
      <c r="H522" s="7"/>
      <c r="I522" s="7"/>
      <c r="J522" s="7"/>
      <c r="K522" s="7"/>
      <c r="L522" s="2"/>
      <c r="M522" s="2"/>
    </row>
    <row r="523" spans="2:13" ht="15.75" customHeight="1" x14ac:dyDescent="0.2">
      <c r="B523" s="2"/>
      <c r="C523" s="27"/>
      <c r="D523" s="27"/>
      <c r="E523" s="253"/>
      <c r="F523" s="27"/>
      <c r="G523" s="27"/>
      <c r="H523" s="7"/>
      <c r="I523" s="7"/>
      <c r="J523" s="7"/>
      <c r="K523" s="7"/>
      <c r="L523" s="2"/>
      <c r="M523" s="2"/>
    </row>
    <row r="524" spans="2:13" ht="15.75" customHeight="1" x14ac:dyDescent="0.2">
      <c r="B524" s="2"/>
      <c r="C524" s="27"/>
      <c r="D524" s="27"/>
      <c r="E524" s="253"/>
      <c r="F524" s="27"/>
      <c r="G524" s="27"/>
      <c r="H524" s="7"/>
      <c r="I524" s="7"/>
      <c r="J524" s="7"/>
      <c r="K524" s="7"/>
      <c r="L524" s="2"/>
      <c r="M524" s="2"/>
    </row>
    <row r="525" spans="2:13" ht="15.75" customHeight="1" x14ac:dyDescent="0.2">
      <c r="B525" s="2"/>
      <c r="C525" s="27"/>
      <c r="D525" s="27"/>
      <c r="E525" s="253"/>
      <c r="F525" s="27"/>
      <c r="G525" s="27"/>
      <c r="H525" s="7"/>
      <c r="I525" s="7"/>
      <c r="J525" s="7"/>
      <c r="K525" s="7"/>
      <c r="L525" s="2"/>
      <c r="M525" s="2"/>
    </row>
    <row r="526" spans="2:13" ht="15.75" customHeight="1" x14ac:dyDescent="0.2">
      <c r="B526" s="2"/>
      <c r="C526" s="27"/>
      <c r="D526" s="27"/>
      <c r="E526" s="253"/>
      <c r="F526" s="27"/>
      <c r="G526" s="27"/>
      <c r="H526" s="7"/>
      <c r="I526" s="7"/>
      <c r="J526" s="7"/>
      <c r="K526" s="7"/>
      <c r="L526" s="2"/>
      <c r="M526" s="2"/>
    </row>
    <row r="527" spans="2:13" ht="15.75" customHeight="1" x14ac:dyDescent="0.2">
      <c r="B527" s="2"/>
      <c r="C527" s="27"/>
      <c r="D527" s="27"/>
      <c r="E527" s="253"/>
      <c r="F527" s="27"/>
      <c r="G527" s="27"/>
      <c r="H527" s="7"/>
      <c r="I527" s="7"/>
      <c r="J527" s="7"/>
      <c r="K527" s="7"/>
      <c r="L527" s="2"/>
      <c r="M527" s="2"/>
    </row>
    <row r="528" spans="2:13" ht="15.75" customHeight="1" x14ac:dyDescent="0.2">
      <c r="B528" s="2"/>
      <c r="C528" s="27"/>
      <c r="D528" s="27"/>
      <c r="E528" s="253"/>
      <c r="F528" s="27"/>
      <c r="G528" s="27"/>
      <c r="H528" s="7"/>
      <c r="I528" s="7"/>
      <c r="J528" s="7"/>
      <c r="K528" s="7"/>
      <c r="L528" s="2"/>
      <c r="M528" s="2"/>
    </row>
    <row r="529" spans="2:13" ht="15.75" customHeight="1" x14ac:dyDescent="0.2">
      <c r="B529" s="2"/>
      <c r="C529" s="27"/>
      <c r="D529" s="27"/>
      <c r="E529" s="253"/>
      <c r="F529" s="27"/>
      <c r="G529" s="27"/>
      <c r="H529" s="7"/>
      <c r="I529" s="7"/>
      <c r="J529" s="7"/>
      <c r="K529" s="7"/>
      <c r="L529" s="2"/>
      <c r="M529" s="2"/>
    </row>
    <row r="530" spans="2:13" ht="15.75" customHeight="1" x14ac:dyDescent="0.2">
      <c r="B530" s="2"/>
      <c r="C530" s="27"/>
      <c r="D530" s="27"/>
      <c r="E530" s="253"/>
      <c r="F530" s="27"/>
      <c r="G530" s="27"/>
      <c r="H530" s="7"/>
      <c r="I530" s="7"/>
      <c r="J530" s="7"/>
      <c r="K530" s="7"/>
      <c r="L530" s="2"/>
      <c r="M530" s="2"/>
    </row>
    <row r="531" spans="2:13" ht="15.75" customHeight="1" x14ac:dyDescent="0.2">
      <c r="B531" s="2"/>
      <c r="C531" s="27"/>
      <c r="D531" s="27"/>
      <c r="E531" s="253"/>
      <c r="F531" s="27"/>
      <c r="G531" s="27"/>
      <c r="H531" s="7"/>
      <c r="I531" s="7"/>
      <c r="J531" s="7"/>
      <c r="K531" s="7"/>
      <c r="L531" s="2"/>
      <c r="M531" s="2"/>
    </row>
    <row r="532" spans="2:13" ht="15.75" customHeight="1" x14ac:dyDescent="0.2">
      <c r="B532" s="2"/>
      <c r="C532" s="27"/>
      <c r="D532" s="27"/>
      <c r="E532" s="253"/>
      <c r="F532" s="27"/>
      <c r="G532" s="27"/>
      <c r="H532" s="7"/>
      <c r="I532" s="7"/>
      <c r="J532" s="7"/>
      <c r="K532" s="7"/>
      <c r="L532" s="2"/>
      <c r="M532" s="2"/>
    </row>
    <row r="533" spans="2:13" ht="15.75" customHeight="1" x14ac:dyDescent="0.2">
      <c r="B533" s="2"/>
      <c r="C533" s="27"/>
      <c r="D533" s="27"/>
      <c r="E533" s="253"/>
      <c r="F533" s="27"/>
      <c r="G533" s="27"/>
      <c r="H533" s="7"/>
      <c r="I533" s="7"/>
      <c r="J533" s="7"/>
      <c r="K533" s="7"/>
      <c r="L533" s="2"/>
      <c r="M533" s="2"/>
    </row>
    <row r="534" spans="2:13" ht="15.75" customHeight="1" x14ac:dyDescent="0.2">
      <c r="B534" s="2"/>
      <c r="C534" s="27"/>
      <c r="D534" s="27"/>
      <c r="E534" s="253"/>
      <c r="F534" s="27"/>
      <c r="G534" s="27"/>
      <c r="H534" s="7"/>
      <c r="I534" s="7"/>
      <c r="J534" s="7"/>
      <c r="K534" s="7"/>
      <c r="L534" s="2"/>
      <c r="M534" s="2"/>
    </row>
    <row r="535" spans="2:13" ht="15.75" customHeight="1" x14ac:dyDescent="0.2">
      <c r="B535" s="2"/>
      <c r="C535" s="27"/>
      <c r="D535" s="27"/>
      <c r="E535" s="253"/>
      <c r="F535" s="27"/>
      <c r="G535" s="27"/>
      <c r="H535" s="7"/>
      <c r="I535" s="7"/>
      <c r="J535" s="7"/>
      <c r="K535" s="7"/>
      <c r="L535" s="2"/>
      <c r="M535" s="2"/>
    </row>
    <row r="536" spans="2:13" ht="15.75" customHeight="1" x14ac:dyDescent="0.2">
      <c r="B536" s="2"/>
      <c r="C536" s="27"/>
      <c r="D536" s="27"/>
      <c r="E536" s="253"/>
      <c r="F536" s="27"/>
      <c r="G536" s="27"/>
      <c r="H536" s="7"/>
      <c r="I536" s="7"/>
      <c r="J536" s="7"/>
      <c r="K536" s="7"/>
      <c r="L536" s="2"/>
      <c r="M536" s="2"/>
    </row>
    <row r="537" spans="2:13" ht="15.75" customHeight="1" x14ac:dyDescent="0.2">
      <c r="B537" s="2"/>
      <c r="C537" s="27"/>
      <c r="D537" s="27"/>
      <c r="E537" s="253"/>
      <c r="F537" s="27"/>
      <c r="G537" s="27"/>
      <c r="H537" s="7"/>
      <c r="I537" s="7"/>
      <c r="J537" s="7"/>
      <c r="K537" s="7"/>
      <c r="L537" s="2"/>
      <c r="M537" s="2"/>
    </row>
    <row r="538" spans="2:13" ht="15.75" customHeight="1" x14ac:dyDescent="0.2">
      <c r="B538" s="2"/>
      <c r="C538" s="27"/>
      <c r="D538" s="27"/>
      <c r="E538" s="253"/>
      <c r="F538" s="27"/>
      <c r="G538" s="27"/>
      <c r="H538" s="7"/>
      <c r="I538" s="7"/>
      <c r="J538" s="7"/>
      <c r="K538" s="7"/>
      <c r="L538" s="2"/>
      <c r="M538" s="2"/>
    </row>
    <row r="539" spans="2:13" ht="15.75" customHeight="1" x14ac:dyDescent="0.2">
      <c r="B539" s="2"/>
      <c r="C539" s="27"/>
      <c r="D539" s="27"/>
      <c r="E539" s="253"/>
      <c r="F539" s="27"/>
      <c r="G539" s="27"/>
      <c r="H539" s="7"/>
      <c r="I539" s="7"/>
      <c r="J539" s="7"/>
      <c r="K539" s="7"/>
      <c r="L539" s="2"/>
      <c r="M539" s="2"/>
    </row>
    <row r="540" spans="2:13" ht="15.75" customHeight="1" x14ac:dyDescent="0.2">
      <c r="B540" s="2"/>
      <c r="C540" s="27"/>
      <c r="D540" s="27"/>
      <c r="E540" s="253"/>
      <c r="F540" s="27"/>
      <c r="G540" s="27"/>
      <c r="H540" s="7"/>
      <c r="I540" s="7"/>
      <c r="J540" s="7"/>
      <c r="K540" s="7"/>
      <c r="L540" s="2"/>
      <c r="M540" s="2"/>
    </row>
    <row r="541" spans="2:13" ht="15.75" customHeight="1" x14ac:dyDescent="0.2">
      <c r="B541" s="2"/>
      <c r="C541" s="27"/>
      <c r="D541" s="27"/>
      <c r="E541" s="253"/>
      <c r="F541" s="27"/>
      <c r="G541" s="27"/>
      <c r="H541" s="7"/>
      <c r="I541" s="7"/>
      <c r="J541" s="7"/>
      <c r="K541" s="7"/>
      <c r="L541" s="2"/>
      <c r="M541" s="2"/>
    </row>
    <row r="542" spans="2:13" ht="15.75" customHeight="1" x14ac:dyDescent="0.2">
      <c r="B542" s="2"/>
      <c r="C542" s="27"/>
      <c r="D542" s="27"/>
      <c r="E542" s="253"/>
      <c r="F542" s="27"/>
      <c r="G542" s="27"/>
      <c r="H542" s="7"/>
      <c r="I542" s="7"/>
      <c r="J542" s="7"/>
      <c r="K542" s="7"/>
      <c r="L542" s="2"/>
      <c r="M542" s="2"/>
    </row>
    <row r="543" spans="2:13" ht="15.75" customHeight="1" x14ac:dyDescent="0.2">
      <c r="B543" s="2"/>
      <c r="C543" s="27"/>
      <c r="D543" s="27"/>
      <c r="E543" s="253"/>
      <c r="F543" s="27"/>
      <c r="G543" s="27"/>
      <c r="H543" s="7"/>
      <c r="I543" s="7"/>
      <c r="J543" s="7"/>
      <c r="K543" s="7"/>
      <c r="L543" s="2"/>
      <c r="M543" s="2"/>
    </row>
    <row r="544" spans="2:13" ht="15.75" customHeight="1" x14ac:dyDescent="0.2">
      <c r="B544" s="2"/>
      <c r="C544" s="27"/>
      <c r="D544" s="27"/>
      <c r="E544" s="253"/>
      <c r="F544" s="27"/>
      <c r="G544" s="27"/>
      <c r="H544" s="7"/>
      <c r="I544" s="7"/>
      <c r="J544" s="7"/>
      <c r="K544" s="7"/>
      <c r="L544" s="2"/>
      <c r="M544" s="2"/>
    </row>
    <row r="545" spans="2:13" ht="15.75" customHeight="1" x14ac:dyDescent="0.2">
      <c r="B545" s="2"/>
      <c r="C545" s="27"/>
      <c r="D545" s="27"/>
      <c r="E545" s="253"/>
      <c r="F545" s="27"/>
      <c r="G545" s="27"/>
      <c r="H545" s="7"/>
      <c r="I545" s="7"/>
      <c r="J545" s="7"/>
      <c r="K545" s="7"/>
      <c r="L545" s="2"/>
      <c r="M545" s="2"/>
    </row>
    <row r="546" spans="2:13" ht="15.75" customHeight="1" x14ac:dyDescent="0.2">
      <c r="B546" s="2"/>
      <c r="C546" s="27"/>
      <c r="D546" s="27"/>
      <c r="E546" s="253"/>
      <c r="F546" s="27"/>
      <c r="G546" s="27"/>
      <c r="H546" s="7"/>
      <c r="I546" s="7"/>
      <c r="J546" s="7"/>
      <c r="K546" s="7"/>
      <c r="L546" s="2"/>
      <c r="M546" s="2"/>
    </row>
    <row r="547" spans="2:13" ht="15.75" customHeight="1" x14ac:dyDescent="0.2">
      <c r="B547" s="2"/>
      <c r="C547" s="27"/>
      <c r="D547" s="27"/>
      <c r="E547" s="253"/>
      <c r="F547" s="27"/>
      <c r="G547" s="27"/>
      <c r="H547" s="7"/>
      <c r="I547" s="7"/>
      <c r="J547" s="7"/>
      <c r="K547" s="7"/>
      <c r="L547" s="2"/>
      <c r="M547" s="2"/>
    </row>
    <row r="548" spans="2:13" ht="15.75" customHeight="1" x14ac:dyDescent="0.2">
      <c r="B548" s="2"/>
      <c r="C548" s="27"/>
      <c r="D548" s="27"/>
      <c r="E548" s="253"/>
      <c r="F548" s="27"/>
      <c r="G548" s="27"/>
      <c r="H548" s="7"/>
      <c r="I548" s="7"/>
      <c r="J548" s="7"/>
      <c r="K548" s="7"/>
      <c r="L548" s="2"/>
      <c r="M548" s="2"/>
    </row>
    <row r="549" spans="2:13" ht="15.75" customHeight="1" x14ac:dyDescent="0.2">
      <c r="B549" s="2"/>
      <c r="C549" s="27"/>
      <c r="D549" s="27"/>
      <c r="E549" s="253"/>
      <c r="F549" s="27"/>
      <c r="G549" s="27"/>
      <c r="H549" s="7"/>
      <c r="I549" s="7"/>
      <c r="J549" s="7"/>
      <c r="K549" s="7"/>
      <c r="L549" s="2"/>
      <c r="M549" s="2"/>
    </row>
    <row r="550" spans="2:13" ht="15.75" customHeight="1" x14ac:dyDescent="0.2">
      <c r="B550" s="2"/>
      <c r="C550" s="27"/>
      <c r="D550" s="27"/>
      <c r="E550" s="253"/>
      <c r="F550" s="27"/>
      <c r="G550" s="27"/>
      <c r="H550" s="7"/>
      <c r="I550" s="7"/>
      <c r="J550" s="7"/>
      <c r="K550" s="7"/>
      <c r="L550" s="2"/>
      <c r="M550" s="2"/>
    </row>
    <row r="551" spans="2:13" ht="15.75" customHeight="1" x14ac:dyDescent="0.2">
      <c r="B551" s="2"/>
      <c r="C551" s="27"/>
      <c r="D551" s="27"/>
      <c r="E551" s="253"/>
      <c r="F551" s="27"/>
      <c r="G551" s="27"/>
      <c r="H551" s="7"/>
      <c r="I551" s="7"/>
      <c r="J551" s="7"/>
      <c r="K551" s="7"/>
      <c r="L551" s="2"/>
      <c r="M551" s="2"/>
    </row>
    <row r="552" spans="2:13" ht="15.75" customHeight="1" x14ac:dyDescent="0.2">
      <c r="B552" s="2"/>
      <c r="C552" s="27"/>
      <c r="D552" s="27"/>
      <c r="E552" s="253"/>
      <c r="F552" s="27"/>
      <c r="G552" s="27"/>
      <c r="H552" s="7"/>
      <c r="I552" s="7"/>
      <c r="J552" s="7"/>
      <c r="K552" s="7"/>
      <c r="L552" s="2"/>
      <c r="M552" s="2"/>
    </row>
    <row r="553" spans="2:13" ht="15.75" customHeight="1" x14ac:dyDescent="0.2">
      <c r="B553" s="2"/>
      <c r="C553" s="27"/>
      <c r="D553" s="27"/>
      <c r="E553" s="253"/>
      <c r="F553" s="27"/>
      <c r="G553" s="27"/>
      <c r="H553" s="7"/>
      <c r="I553" s="7"/>
      <c r="J553" s="7"/>
      <c r="K553" s="7"/>
      <c r="L553" s="2"/>
      <c r="M553" s="2"/>
    </row>
    <row r="554" spans="2:13" ht="15.75" customHeight="1" x14ac:dyDescent="0.2">
      <c r="B554" s="2"/>
      <c r="C554" s="27"/>
      <c r="D554" s="27"/>
      <c r="E554" s="253"/>
      <c r="F554" s="27"/>
      <c r="G554" s="27"/>
      <c r="H554" s="7"/>
      <c r="I554" s="7"/>
      <c r="J554" s="7"/>
      <c r="K554" s="7"/>
      <c r="L554" s="2"/>
      <c r="M554" s="2"/>
    </row>
    <row r="555" spans="2:13" ht="15.75" customHeight="1" x14ac:dyDescent="0.2">
      <c r="B555" s="2"/>
      <c r="C555" s="27"/>
      <c r="D555" s="27"/>
      <c r="E555" s="253"/>
      <c r="F555" s="27"/>
      <c r="G555" s="27"/>
      <c r="H555" s="7"/>
      <c r="I555" s="7"/>
      <c r="J555" s="7"/>
      <c r="K555" s="7"/>
      <c r="L555" s="2"/>
      <c r="M555" s="2"/>
    </row>
    <row r="556" spans="2:13" ht="15.75" customHeight="1" x14ac:dyDescent="0.2">
      <c r="B556" s="2"/>
      <c r="C556" s="27"/>
      <c r="D556" s="27"/>
      <c r="E556" s="253"/>
      <c r="F556" s="27"/>
      <c r="G556" s="27"/>
      <c r="H556" s="7"/>
      <c r="I556" s="7"/>
      <c r="J556" s="7"/>
      <c r="K556" s="7"/>
      <c r="L556" s="2"/>
      <c r="M556" s="2"/>
    </row>
    <row r="557" spans="2:13" ht="15.75" customHeight="1" x14ac:dyDescent="0.2">
      <c r="B557" s="2"/>
      <c r="C557" s="27"/>
      <c r="D557" s="27"/>
      <c r="E557" s="253"/>
      <c r="F557" s="27"/>
      <c r="G557" s="27"/>
      <c r="H557" s="7"/>
      <c r="I557" s="7"/>
      <c r="J557" s="7"/>
      <c r="K557" s="7"/>
      <c r="L557" s="2"/>
      <c r="M557" s="2"/>
    </row>
    <row r="558" spans="2:13" ht="15.75" customHeight="1" x14ac:dyDescent="0.2">
      <c r="B558" s="2"/>
      <c r="C558" s="27"/>
      <c r="D558" s="27"/>
      <c r="E558" s="253"/>
      <c r="F558" s="27"/>
      <c r="G558" s="27"/>
      <c r="H558" s="7"/>
      <c r="I558" s="7"/>
      <c r="J558" s="7"/>
      <c r="K558" s="7"/>
      <c r="L558" s="2"/>
      <c r="M558" s="2"/>
    </row>
    <row r="559" spans="2:13" ht="15.75" customHeight="1" x14ac:dyDescent="0.2">
      <c r="B559" s="2"/>
      <c r="C559" s="27"/>
      <c r="D559" s="27"/>
      <c r="E559" s="253"/>
      <c r="F559" s="27"/>
      <c r="G559" s="27"/>
      <c r="H559" s="7"/>
      <c r="I559" s="7"/>
      <c r="J559" s="7"/>
      <c r="K559" s="7"/>
      <c r="L559" s="2"/>
      <c r="M559" s="2"/>
    </row>
    <row r="560" spans="2:13" ht="15.75" customHeight="1" x14ac:dyDescent="0.2">
      <c r="B560" s="2"/>
      <c r="C560" s="27"/>
      <c r="D560" s="27"/>
      <c r="E560" s="253"/>
      <c r="F560" s="27"/>
      <c r="G560" s="27"/>
      <c r="H560" s="7"/>
      <c r="I560" s="7"/>
      <c r="J560" s="7"/>
      <c r="K560" s="7"/>
      <c r="L560" s="2"/>
      <c r="M560" s="2"/>
    </row>
    <row r="561" spans="2:13" ht="15.75" customHeight="1" x14ac:dyDescent="0.2">
      <c r="B561" s="2"/>
      <c r="C561" s="27"/>
      <c r="D561" s="27"/>
      <c r="E561" s="253"/>
      <c r="F561" s="27"/>
      <c r="G561" s="27"/>
      <c r="H561" s="7"/>
      <c r="I561" s="7"/>
      <c r="J561" s="7"/>
      <c r="K561" s="7"/>
      <c r="L561" s="2"/>
      <c r="M561" s="2"/>
    </row>
    <row r="562" spans="2:13" ht="15.75" customHeight="1" x14ac:dyDescent="0.2">
      <c r="B562" s="2"/>
      <c r="C562" s="27"/>
      <c r="D562" s="27"/>
      <c r="E562" s="253"/>
      <c r="F562" s="27"/>
      <c r="G562" s="27"/>
      <c r="H562" s="7"/>
      <c r="I562" s="7"/>
      <c r="J562" s="7"/>
      <c r="K562" s="7"/>
      <c r="L562" s="2"/>
      <c r="M562" s="2"/>
    </row>
    <row r="563" spans="2:13" ht="15.75" customHeight="1" x14ac:dyDescent="0.2">
      <c r="B563" s="2"/>
      <c r="C563" s="27"/>
      <c r="D563" s="27"/>
      <c r="E563" s="253"/>
      <c r="F563" s="27"/>
      <c r="G563" s="27"/>
      <c r="H563" s="7"/>
      <c r="I563" s="7"/>
      <c r="J563" s="7"/>
      <c r="K563" s="7"/>
      <c r="L563" s="2"/>
      <c r="M563" s="2"/>
    </row>
    <row r="564" spans="2:13" ht="15.75" customHeight="1" x14ac:dyDescent="0.2">
      <c r="B564" s="2"/>
      <c r="C564" s="27"/>
      <c r="D564" s="27"/>
      <c r="E564" s="253"/>
      <c r="F564" s="27"/>
      <c r="G564" s="27"/>
      <c r="H564" s="7"/>
      <c r="I564" s="7"/>
      <c r="J564" s="7"/>
      <c r="K564" s="7"/>
      <c r="L564" s="2"/>
      <c r="M564" s="2"/>
    </row>
    <row r="565" spans="2:13" ht="15.75" customHeight="1" x14ac:dyDescent="0.2">
      <c r="B565" s="2"/>
      <c r="C565" s="27"/>
      <c r="D565" s="27"/>
      <c r="E565" s="253"/>
      <c r="F565" s="27"/>
      <c r="G565" s="27"/>
      <c r="H565" s="7"/>
      <c r="I565" s="7"/>
      <c r="J565" s="7"/>
      <c r="K565" s="7"/>
      <c r="L565" s="2"/>
      <c r="M565" s="2"/>
    </row>
    <row r="566" spans="2:13" ht="15.75" customHeight="1" x14ac:dyDescent="0.2">
      <c r="B566" s="2"/>
      <c r="C566" s="27"/>
      <c r="D566" s="27"/>
      <c r="E566" s="253"/>
      <c r="F566" s="27"/>
      <c r="G566" s="27"/>
      <c r="H566" s="7"/>
      <c r="I566" s="7"/>
      <c r="J566" s="7"/>
      <c r="K566" s="7"/>
      <c r="L566" s="2"/>
      <c r="M566" s="2"/>
    </row>
    <row r="567" spans="2:13" ht="15.75" customHeight="1" x14ac:dyDescent="0.2">
      <c r="B567" s="2"/>
      <c r="C567" s="27"/>
      <c r="D567" s="27"/>
      <c r="E567" s="253"/>
      <c r="F567" s="27"/>
      <c r="G567" s="27"/>
      <c r="H567" s="7"/>
      <c r="I567" s="7"/>
      <c r="J567" s="7"/>
      <c r="K567" s="7"/>
      <c r="L567" s="2"/>
      <c r="M567" s="2"/>
    </row>
    <row r="568" spans="2:13" ht="15.75" customHeight="1" x14ac:dyDescent="0.2">
      <c r="B568" s="2"/>
      <c r="C568" s="27"/>
      <c r="D568" s="27"/>
      <c r="E568" s="253"/>
      <c r="F568" s="27"/>
      <c r="G568" s="27"/>
      <c r="H568" s="7"/>
      <c r="I568" s="7"/>
      <c r="J568" s="7"/>
      <c r="K568" s="7"/>
      <c r="L568" s="2"/>
      <c r="M568" s="2"/>
    </row>
    <row r="569" spans="2:13" ht="15.75" customHeight="1" x14ac:dyDescent="0.2">
      <c r="B569" s="2"/>
      <c r="C569" s="27"/>
      <c r="D569" s="27"/>
      <c r="E569" s="253"/>
      <c r="F569" s="27"/>
      <c r="G569" s="27"/>
      <c r="H569" s="7"/>
      <c r="I569" s="7"/>
      <c r="J569" s="7"/>
      <c r="K569" s="7"/>
      <c r="L569" s="2"/>
      <c r="M569" s="2"/>
    </row>
    <row r="570" spans="2:13" ht="15.75" customHeight="1" x14ac:dyDescent="0.2">
      <c r="B570" s="2"/>
      <c r="C570" s="27"/>
      <c r="D570" s="27"/>
      <c r="E570" s="253"/>
      <c r="F570" s="27"/>
      <c r="G570" s="27"/>
      <c r="H570" s="7"/>
      <c r="I570" s="7"/>
      <c r="J570" s="7"/>
      <c r="K570" s="7"/>
      <c r="L570" s="2"/>
      <c r="M570" s="2"/>
    </row>
    <row r="571" spans="2:13" ht="15.75" customHeight="1" x14ac:dyDescent="0.2">
      <c r="B571" s="2"/>
      <c r="C571" s="27"/>
      <c r="D571" s="27"/>
      <c r="E571" s="253"/>
      <c r="F571" s="27"/>
      <c r="G571" s="27"/>
      <c r="H571" s="7"/>
      <c r="I571" s="7"/>
      <c r="J571" s="7"/>
      <c r="K571" s="7"/>
      <c r="L571" s="2"/>
      <c r="M571" s="2"/>
    </row>
    <row r="572" spans="2:13" ht="15.75" customHeight="1" x14ac:dyDescent="0.2">
      <c r="B572" s="2"/>
      <c r="C572" s="27"/>
      <c r="D572" s="27"/>
      <c r="E572" s="253"/>
      <c r="F572" s="27"/>
      <c r="G572" s="27"/>
      <c r="H572" s="7"/>
      <c r="I572" s="7"/>
      <c r="J572" s="7"/>
      <c r="K572" s="7"/>
      <c r="L572" s="2"/>
      <c r="M572" s="2"/>
    </row>
    <row r="573" spans="2:13" ht="15.75" customHeight="1" x14ac:dyDescent="0.2">
      <c r="B573" s="2"/>
      <c r="C573" s="27"/>
      <c r="D573" s="27"/>
      <c r="E573" s="253"/>
      <c r="F573" s="27"/>
      <c r="G573" s="27"/>
      <c r="H573" s="7"/>
      <c r="I573" s="7"/>
      <c r="J573" s="7"/>
      <c r="K573" s="7"/>
      <c r="L573" s="2"/>
      <c r="M573" s="2"/>
    </row>
    <row r="574" spans="2:13" ht="15.75" customHeight="1" x14ac:dyDescent="0.2">
      <c r="B574" s="2"/>
      <c r="C574" s="27"/>
      <c r="D574" s="27"/>
      <c r="E574" s="253"/>
      <c r="F574" s="27"/>
      <c r="G574" s="27"/>
      <c r="H574" s="7"/>
      <c r="I574" s="7"/>
      <c r="J574" s="7"/>
      <c r="K574" s="7"/>
      <c r="L574" s="2"/>
      <c r="M574" s="2"/>
    </row>
    <row r="575" spans="2:13" ht="15.75" customHeight="1" x14ac:dyDescent="0.2">
      <c r="B575" s="2"/>
      <c r="C575" s="27"/>
      <c r="D575" s="27"/>
      <c r="E575" s="253"/>
      <c r="F575" s="27"/>
      <c r="G575" s="27"/>
      <c r="H575" s="7"/>
      <c r="I575" s="7"/>
      <c r="J575" s="7"/>
      <c r="K575" s="7"/>
      <c r="L575" s="2"/>
      <c r="M575" s="2"/>
    </row>
    <row r="576" spans="2:13" ht="15.75" customHeight="1" x14ac:dyDescent="0.2">
      <c r="B576" s="2"/>
      <c r="C576" s="27"/>
      <c r="D576" s="27"/>
      <c r="E576" s="253"/>
      <c r="F576" s="27"/>
      <c r="G576" s="27"/>
      <c r="H576" s="7"/>
      <c r="I576" s="7"/>
      <c r="J576" s="7"/>
      <c r="K576" s="7"/>
      <c r="L576" s="2"/>
      <c r="M576" s="2"/>
    </row>
    <row r="577" spans="2:13" ht="15.75" customHeight="1" x14ac:dyDescent="0.2">
      <c r="B577" s="2"/>
      <c r="C577" s="27"/>
      <c r="D577" s="27"/>
      <c r="E577" s="253"/>
      <c r="F577" s="27"/>
      <c r="G577" s="27"/>
      <c r="H577" s="7"/>
      <c r="I577" s="7"/>
      <c r="J577" s="7"/>
      <c r="K577" s="7"/>
      <c r="L577" s="2"/>
      <c r="M577" s="2"/>
    </row>
    <row r="578" spans="2:13" ht="15.75" customHeight="1" x14ac:dyDescent="0.2">
      <c r="B578" s="2"/>
      <c r="C578" s="27"/>
      <c r="D578" s="27"/>
      <c r="E578" s="253"/>
      <c r="F578" s="27"/>
      <c r="G578" s="27"/>
      <c r="H578" s="7"/>
      <c r="I578" s="7"/>
      <c r="J578" s="7"/>
      <c r="K578" s="7"/>
      <c r="L578" s="2"/>
      <c r="M578" s="2"/>
    </row>
    <row r="579" spans="2:13" ht="15.75" customHeight="1" x14ac:dyDescent="0.2">
      <c r="B579" s="2"/>
      <c r="C579" s="27"/>
      <c r="D579" s="27"/>
      <c r="E579" s="253"/>
      <c r="F579" s="27"/>
      <c r="G579" s="27"/>
      <c r="H579" s="7"/>
      <c r="I579" s="7"/>
      <c r="J579" s="7"/>
      <c r="K579" s="7"/>
      <c r="L579" s="2"/>
      <c r="M579" s="2"/>
    </row>
    <row r="580" spans="2:13" ht="15.75" customHeight="1" x14ac:dyDescent="0.2">
      <c r="B580" s="2"/>
      <c r="C580" s="27"/>
      <c r="D580" s="27"/>
      <c r="E580" s="253"/>
      <c r="F580" s="27"/>
      <c r="G580" s="27"/>
      <c r="H580" s="7"/>
      <c r="I580" s="7"/>
      <c r="J580" s="7"/>
      <c r="K580" s="7"/>
      <c r="L580" s="2"/>
      <c r="M580" s="2"/>
    </row>
    <row r="581" spans="2:13" ht="15.75" customHeight="1" x14ac:dyDescent="0.2">
      <c r="B581" s="2"/>
      <c r="C581" s="27"/>
      <c r="D581" s="27"/>
      <c r="E581" s="253"/>
      <c r="F581" s="27"/>
      <c r="G581" s="27"/>
      <c r="H581" s="7"/>
      <c r="I581" s="7"/>
      <c r="J581" s="7"/>
      <c r="K581" s="7"/>
      <c r="L581" s="2"/>
      <c r="M581" s="2"/>
    </row>
    <row r="582" spans="2:13" ht="15.75" customHeight="1" x14ac:dyDescent="0.2">
      <c r="B582" s="2"/>
      <c r="C582" s="27"/>
      <c r="D582" s="27"/>
      <c r="E582" s="253"/>
      <c r="F582" s="27"/>
      <c r="G582" s="27"/>
      <c r="H582" s="7"/>
      <c r="I582" s="7"/>
      <c r="J582" s="7"/>
      <c r="K582" s="7"/>
      <c r="L582" s="2"/>
      <c r="M582" s="2"/>
    </row>
    <row r="583" spans="2:13" ht="15.75" customHeight="1" x14ac:dyDescent="0.2">
      <c r="B583" s="2"/>
      <c r="C583" s="27"/>
      <c r="D583" s="27"/>
      <c r="E583" s="253"/>
      <c r="F583" s="27"/>
      <c r="G583" s="27"/>
      <c r="H583" s="7"/>
      <c r="I583" s="7"/>
      <c r="J583" s="7"/>
      <c r="K583" s="7"/>
      <c r="L583" s="2"/>
      <c r="M583" s="2"/>
    </row>
    <row r="584" spans="2:13" ht="15.75" customHeight="1" x14ac:dyDescent="0.2">
      <c r="B584" s="2"/>
      <c r="C584" s="27"/>
      <c r="D584" s="27"/>
      <c r="E584" s="253"/>
      <c r="F584" s="27"/>
      <c r="G584" s="27"/>
      <c r="H584" s="7"/>
      <c r="I584" s="7"/>
      <c r="J584" s="7"/>
      <c r="K584" s="7"/>
      <c r="L584" s="2"/>
      <c r="M584" s="2"/>
    </row>
    <row r="585" spans="2:13" ht="15.75" customHeight="1" x14ac:dyDescent="0.2">
      <c r="B585" s="2"/>
      <c r="C585" s="27"/>
      <c r="D585" s="27"/>
      <c r="E585" s="253"/>
      <c r="F585" s="27"/>
      <c r="G585" s="27"/>
      <c r="H585" s="7"/>
      <c r="I585" s="7"/>
      <c r="J585" s="7"/>
      <c r="K585" s="7"/>
      <c r="L585" s="2"/>
      <c r="M585" s="2"/>
    </row>
    <row r="586" spans="2:13" ht="15.75" customHeight="1" x14ac:dyDescent="0.2">
      <c r="B586" s="2"/>
      <c r="C586" s="27"/>
      <c r="D586" s="27"/>
      <c r="E586" s="253"/>
      <c r="F586" s="27"/>
      <c r="G586" s="27"/>
      <c r="H586" s="7"/>
      <c r="I586" s="7"/>
      <c r="J586" s="7"/>
      <c r="K586" s="7"/>
      <c r="L586" s="2"/>
      <c r="M586" s="2"/>
    </row>
    <row r="587" spans="2:13" ht="15.75" customHeight="1" x14ac:dyDescent="0.2">
      <c r="B587" s="2"/>
      <c r="C587" s="27"/>
      <c r="D587" s="27"/>
      <c r="E587" s="253"/>
      <c r="F587" s="27"/>
      <c r="G587" s="27"/>
      <c r="H587" s="7"/>
      <c r="I587" s="7"/>
      <c r="J587" s="7"/>
      <c r="K587" s="7"/>
      <c r="L587" s="2"/>
      <c r="M587" s="2"/>
    </row>
    <row r="588" spans="2:13" ht="15.75" customHeight="1" x14ac:dyDescent="0.2">
      <c r="B588" s="2"/>
      <c r="C588" s="27"/>
      <c r="D588" s="27"/>
      <c r="E588" s="253"/>
      <c r="F588" s="27"/>
      <c r="G588" s="27"/>
      <c r="H588" s="7"/>
      <c r="I588" s="7"/>
      <c r="J588" s="7"/>
      <c r="K588" s="7"/>
      <c r="L588" s="2"/>
      <c r="M588" s="2"/>
    </row>
    <row r="589" spans="2:13" ht="15.75" customHeight="1" x14ac:dyDescent="0.2">
      <c r="B589" s="2"/>
      <c r="C589" s="27"/>
      <c r="D589" s="27"/>
      <c r="E589" s="253"/>
      <c r="F589" s="27"/>
      <c r="G589" s="27"/>
      <c r="H589" s="7"/>
      <c r="I589" s="7"/>
      <c r="J589" s="7"/>
      <c r="K589" s="7"/>
      <c r="L589" s="2"/>
      <c r="M589" s="2"/>
    </row>
    <row r="590" spans="2:13" ht="15.75" customHeight="1" x14ac:dyDescent="0.2">
      <c r="B590" s="2"/>
      <c r="C590" s="27"/>
      <c r="D590" s="27"/>
      <c r="E590" s="253"/>
      <c r="F590" s="27"/>
      <c r="G590" s="27"/>
      <c r="H590" s="7"/>
      <c r="I590" s="7"/>
      <c r="J590" s="7"/>
      <c r="K590" s="7"/>
      <c r="L590" s="2"/>
      <c r="M590" s="2"/>
    </row>
    <row r="591" spans="2:13" ht="15.75" customHeight="1" x14ac:dyDescent="0.2">
      <c r="B591" s="2"/>
      <c r="C591" s="27"/>
      <c r="D591" s="27"/>
      <c r="E591" s="253"/>
      <c r="F591" s="27"/>
      <c r="G591" s="27"/>
      <c r="H591" s="7"/>
      <c r="I591" s="7"/>
      <c r="J591" s="7"/>
      <c r="K591" s="7"/>
      <c r="L591" s="2"/>
      <c r="M591" s="2"/>
    </row>
    <row r="592" spans="2:13" ht="15.75" customHeight="1" x14ac:dyDescent="0.2">
      <c r="B592" s="2"/>
      <c r="C592" s="27"/>
      <c r="D592" s="27"/>
      <c r="E592" s="253"/>
      <c r="F592" s="27"/>
      <c r="G592" s="27"/>
      <c r="H592" s="7"/>
      <c r="I592" s="7"/>
      <c r="J592" s="7"/>
      <c r="K592" s="7"/>
      <c r="L592" s="2"/>
      <c r="M592" s="2"/>
    </row>
    <row r="593" spans="2:13" ht="15.75" customHeight="1" x14ac:dyDescent="0.2">
      <c r="B593" s="2"/>
      <c r="C593" s="27"/>
      <c r="D593" s="27"/>
      <c r="E593" s="253"/>
      <c r="F593" s="27"/>
      <c r="G593" s="27"/>
      <c r="H593" s="7"/>
      <c r="I593" s="7"/>
      <c r="J593" s="7"/>
      <c r="K593" s="7"/>
      <c r="L593" s="2"/>
      <c r="M593" s="2"/>
    </row>
    <row r="594" spans="2:13" ht="15.75" customHeight="1" x14ac:dyDescent="0.2">
      <c r="B594" s="2"/>
      <c r="C594" s="27"/>
      <c r="D594" s="27"/>
      <c r="E594" s="253"/>
      <c r="F594" s="27"/>
      <c r="G594" s="27"/>
      <c r="H594" s="7"/>
      <c r="I594" s="7"/>
      <c r="J594" s="7"/>
      <c r="K594" s="7"/>
      <c r="L594" s="2"/>
      <c r="M594" s="2"/>
    </row>
    <row r="595" spans="2:13" ht="15.75" customHeight="1" x14ac:dyDescent="0.2">
      <c r="B595" s="2"/>
      <c r="C595" s="27"/>
      <c r="D595" s="27"/>
      <c r="E595" s="253"/>
      <c r="F595" s="27"/>
      <c r="G595" s="27"/>
      <c r="H595" s="7"/>
      <c r="I595" s="7"/>
      <c r="J595" s="7"/>
      <c r="K595" s="7"/>
      <c r="L595" s="2"/>
      <c r="M595" s="2"/>
    </row>
    <row r="596" spans="2:13" ht="15.75" customHeight="1" x14ac:dyDescent="0.2">
      <c r="B596" s="2"/>
      <c r="C596" s="27"/>
      <c r="D596" s="27"/>
      <c r="E596" s="253"/>
      <c r="F596" s="27"/>
      <c r="G596" s="27"/>
      <c r="H596" s="7"/>
      <c r="I596" s="7"/>
      <c r="J596" s="7"/>
      <c r="K596" s="7"/>
      <c r="L596" s="2"/>
      <c r="M596" s="2"/>
    </row>
    <row r="597" spans="2:13" ht="15.75" customHeight="1" x14ac:dyDescent="0.2">
      <c r="B597" s="2"/>
      <c r="C597" s="27"/>
      <c r="D597" s="27"/>
      <c r="E597" s="253"/>
      <c r="F597" s="27"/>
      <c r="G597" s="27"/>
      <c r="H597" s="7"/>
      <c r="I597" s="7"/>
      <c r="J597" s="7"/>
      <c r="K597" s="7"/>
      <c r="L597" s="2"/>
      <c r="M597" s="2"/>
    </row>
    <row r="598" spans="2:13" ht="15.75" customHeight="1" x14ac:dyDescent="0.2">
      <c r="B598" s="2"/>
      <c r="C598" s="27"/>
      <c r="D598" s="27"/>
      <c r="E598" s="253"/>
      <c r="F598" s="27"/>
      <c r="G598" s="27"/>
      <c r="H598" s="7"/>
      <c r="I598" s="7"/>
      <c r="J598" s="7"/>
      <c r="K598" s="7"/>
      <c r="L598" s="2"/>
      <c r="M598" s="2"/>
    </row>
    <row r="599" spans="2:13" ht="15.75" customHeight="1" x14ac:dyDescent="0.2">
      <c r="B599" s="2"/>
      <c r="C599" s="27"/>
      <c r="D599" s="27"/>
      <c r="E599" s="253"/>
      <c r="F599" s="27"/>
      <c r="G599" s="27"/>
      <c r="H599" s="7"/>
      <c r="I599" s="7"/>
      <c r="J599" s="7"/>
      <c r="K599" s="7"/>
      <c r="L599" s="2"/>
      <c r="M599" s="2"/>
    </row>
    <row r="600" spans="2:13" ht="15.75" customHeight="1" x14ac:dyDescent="0.2">
      <c r="B600" s="2"/>
      <c r="C600" s="27"/>
      <c r="D600" s="27"/>
      <c r="E600" s="253"/>
      <c r="F600" s="27"/>
      <c r="G600" s="27"/>
      <c r="H600" s="7"/>
      <c r="I600" s="7"/>
      <c r="J600" s="7"/>
      <c r="K600" s="7"/>
      <c r="L600" s="2"/>
      <c r="M600" s="2"/>
    </row>
    <row r="601" spans="2:13" ht="15.75" customHeight="1" x14ac:dyDescent="0.2">
      <c r="B601" s="2"/>
      <c r="C601" s="27"/>
      <c r="D601" s="27"/>
      <c r="E601" s="253"/>
      <c r="F601" s="27"/>
      <c r="G601" s="27"/>
      <c r="H601" s="7"/>
      <c r="I601" s="7"/>
      <c r="J601" s="7"/>
      <c r="K601" s="7"/>
      <c r="L601" s="2"/>
      <c r="M601" s="2"/>
    </row>
    <row r="602" spans="2:13" ht="15.75" customHeight="1" x14ac:dyDescent="0.2">
      <c r="B602" s="2"/>
      <c r="C602" s="27"/>
      <c r="D602" s="27"/>
      <c r="E602" s="253"/>
      <c r="F602" s="27"/>
      <c r="G602" s="27"/>
      <c r="H602" s="7"/>
      <c r="I602" s="7"/>
      <c r="J602" s="7"/>
      <c r="K602" s="7"/>
      <c r="L602" s="2"/>
      <c r="M602" s="2"/>
    </row>
    <row r="603" spans="2:13" ht="15.75" customHeight="1" x14ac:dyDescent="0.2">
      <c r="B603" s="2"/>
      <c r="C603" s="27"/>
      <c r="D603" s="27"/>
      <c r="E603" s="253"/>
      <c r="F603" s="27"/>
      <c r="G603" s="27"/>
      <c r="H603" s="7"/>
      <c r="I603" s="7"/>
      <c r="J603" s="7"/>
      <c r="K603" s="7"/>
      <c r="L603" s="2"/>
      <c r="M603" s="2"/>
    </row>
    <row r="604" spans="2:13" ht="15.75" customHeight="1" x14ac:dyDescent="0.2">
      <c r="B604" s="2"/>
      <c r="C604" s="27"/>
      <c r="D604" s="27"/>
      <c r="E604" s="253"/>
      <c r="F604" s="27"/>
      <c r="G604" s="27"/>
      <c r="H604" s="7"/>
      <c r="I604" s="7"/>
      <c r="J604" s="7"/>
      <c r="K604" s="7"/>
      <c r="L604" s="2"/>
      <c r="M604" s="2"/>
    </row>
    <row r="605" spans="2:13" ht="15.75" customHeight="1" x14ac:dyDescent="0.2">
      <c r="B605" s="2"/>
      <c r="C605" s="27"/>
      <c r="D605" s="27"/>
      <c r="E605" s="253"/>
      <c r="F605" s="27"/>
      <c r="G605" s="27"/>
      <c r="H605" s="7"/>
      <c r="I605" s="7"/>
      <c r="J605" s="7"/>
      <c r="K605" s="7"/>
      <c r="L605" s="2"/>
      <c r="M605" s="2"/>
    </row>
    <row r="606" spans="2:13" ht="15.75" customHeight="1" x14ac:dyDescent="0.2">
      <c r="B606" s="2"/>
      <c r="C606" s="27"/>
      <c r="D606" s="27"/>
      <c r="E606" s="253"/>
      <c r="F606" s="27"/>
      <c r="G606" s="27"/>
      <c r="H606" s="7"/>
      <c r="I606" s="7"/>
      <c r="J606" s="7"/>
      <c r="K606" s="7"/>
      <c r="L606" s="2"/>
      <c r="M606" s="2"/>
    </row>
    <row r="607" spans="2:13" ht="15.75" customHeight="1" x14ac:dyDescent="0.2">
      <c r="B607" s="2"/>
      <c r="C607" s="27"/>
      <c r="D607" s="27"/>
      <c r="E607" s="253"/>
      <c r="F607" s="27"/>
      <c r="G607" s="27"/>
      <c r="H607" s="7"/>
      <c r="I607" s="7"/>
      <c r="J607" s="7"/>
      <c r="K607" s="7"/>
      <c r="L607" s="2"/>
      <c r="M607" s="2"/>
    </row>
    <row r="608" spans="2:13" ht="15.75" customHeight="1" x14ac:dyDescent="0.2">
      <c r="B608" s="2"/>
      <c r="C608" s="27"/>
      <c r="D608" s="27"/>
      <c r="E608" s="253"/>
      <c r="F608" s="27"/>
      <c r="G608" s="27"/>
      <c r="H608" s="7"/>
      <c r="I608" s="7"/>
      <c r="J608" s="7"/>
      <c r="K608" s="7"/>
      <c r="L608" s="2"/>
      <c r="M608" s="2"/>
    </row>
    <row r="609" spans="2:13" ht="15.75" customHeight="1" x14ac:dyDescent="0.2">
      <c r="B609" s="2"/>
      <c r="C609" s="27"/>
      <c r="D609" s="27"/>
      <c r="E609" s="253"/>
      <c r="F609" s="27"/>
      <c r="G609" s="27"/>
      <c r="H609" s="7"/>
      <c r="I609" s="7"/>
      <c r="J609" s="7"/>
      <c r="K609" s="7"/>
      <c r="L609" s="2"/>
      <c r="M609" s="2"/>
    </row>
    <row r="610" spans="2:13" ht="15.75" customHeight="1" x14ac:dyDescent="0.2">
      <c r="B610" s="2"/>
      <c r="C610" s="27"/>
      <c r="D610" s="27"/>
      <c r="E610" s="253"/>
      <c r="F610" s="27"/>
      <c r="G610" s="27"/>
      <c r="H610" s="7"/>
      <c r="I610" s="7"/>
      <c r="J610" s="7"/>
      <c r="K610" s="7"/>
      <c r="L610" s="2"/>
      <c r="M610" s="2"/>
    </row>
    <row r="611" spans="2:13" ht="15.75" customHeight="1" x14ac:dyDescent="0.2">
      <c r="B611" s="2"/>
      <c r="C611" s="27"/>
      <c r="D611" s="27"/>
      <c r="E611" s="253"/>
      <c r="F611" s="27"/>
      <c r="G611" s="27"/>
      <c r="H611" s="7"/>
      <c r="I611" s="7"/>
      <c r="J611" s="7"/>
      <c r="K611" s="7"/>
      <c r="L611" s="2"/>
      <c r="M611" s="2"/>
    </row>
    <row r="612" spans="2:13" ht="15.75" customHeight="1" x14ac:dyDescent="0.2">
      <c r="B612" s="2"/>
      <c r="C612" s="27"/>
      <c r="D612" s="27"/>
      <c r="E612" s="253"/>
      <c r="F612" s="27"/>
      <c r="G612" s="27"/>
      <c r="H612" s="7"/>
      <c r="I612" s="7"/>
      <c r="J612" s="7"/>
      <c r="K612" s="7"/>
      <c r="L612" s="2"/>
      <c r="M612" s="2"/>
    </row>
    <row r="613" spans="2:13" ht="15.75" customHeight="1" x14ac:dyDescent="0.2">
      <c r="B613" s="2"/>
      <c r="C613" s="27"/>
      <c r="D613" s="27"/>
      <c r="E613" s="253"/>
      <c r="F613" s="27"/>
      <c r="G613" s="27"/>
      <c r="H613" s="7"/>
      <c r="I613" s="7"/>
      <c r="J613" s="7"/>
      <c r="K613" s="7"/>
      <c r="L613" s="2"/>
      <c r="M613" s="2"/>
    </row>
    <row r="614" spans="2:13" ht="15.75" customHeight="1" x14ac:dyDescent="0.2">
      <c r="B614" s="2"/>
      <c r="C614" s="27"/>
      <c r="D614" s="27"/>
      <c r="E614" s="253"/>
      <c r="F614" s="27"/>
      <c r="G614" s="27"/>
      <c r="H614" s="7"/>
      <c r="I614" s="7"/>
      <c r="J614" s="7"/>
      <c r="K614" s="7"/>
      <c r="L614" s="2"/>
      <c r="M614" s="2"/>
    </row>
    <row r="615" spans="2:13" ht="15.75" customHeight="1" x14ac:dyDescent="0.2">
      <c r="B615" s="2"/>
      <c r="C615" s="27"/>
      <c r="D615" s="27"/>
      <c r="E615" s="253"/>
      <c r="F615" s="27"/>
      <c r="G615" s="27"/>
      <c r="H615" s="7"/>
      <c r="I615" s="7"/>
      <c r="J615" s="7"/>
      <c r="K615" s="7"/>
      <c r="L615" s="2"/>
      <c r="M615" s="2"/>
    </row>
    <row r="616" spans="2:13" ht="15.75" customHeight="1" x14ac:dyDescent="0.2">
      <c r="B616" s="2"/>
      <c r="C616" s="27"/>
      <c r="D616" s="27"/>
      <c r="E616" s="253"/>
      <c r="F616" s="27"/>
      <c r="G616" s="27"/>
      <c r="H616" s="7"/>
      <c r="I616" s="7"/>
      <c r="J616" s="7"/>
      <c r="K616" s="7"/>
      <c r="L616" s="2"/>
      <c r="M616" s="2"/>
    </row>
    <row r="617" spans="2:13" ht="15.75" customHeight="1" x14ac:dyDescent="0.2">
      <c r="B617" s="2"/>
      <c r="C617" s="27"/>
      <c r="D617" s="27"/>
      <c r="E617" s="253"/>
      <c r="F617" s="27"/>
      <c r="G617" s="27"/>
      <c r="H617" s="7"/>
      <c r="I617" s="7"/>
      <c r="J617" s="7"/>
      <c r="K617" s="7"/>
      <c r="L617" s="2"/>
      <c r="M617" s="2"/>
    </row>
    <row r="618" spans="2:13" ht="15.75" customHeight="1" x14ac:dyDescent="0.2">
      <c r="B618" s="2"/>
      <c r="C618" s="27"/>
      <c r="D618" s="27"/>
      <c r="E618" s="253"/>
      <c r="F618" s="27"/>
      <c r="G618" s="27"/>
      <c r="H618" s="7"/>
      <c r="I618" s="7"/>
      <c r="J618" s="7"/>
      <c r="K618" s="7"/>
      <c r="L618" s="2"/>
      <c r="M618" s="2"/>
    </row>
    <row r="619" spans="2:13" ht="15.75" customHeight="1" x14ac:dyDescent="0.2">
      <c r="B619" s="2"/>
      <c r="C619" s="27"/>
      <c r="D619" s="27"/>
      <c r="E619" s="253"/>
      <c r="F619" s="27"/>
      <c r="G619" s="27"/>
      <c r="H619" s="7"/>
      <c r="I619" s="7"/>
      <c r="J619" s="7"/>
      <c r="K619" s="7"/>
      <c r="L619" s="2"/>
      <c r="M619" s="2"/>
    </row>
    <row r="620" spans="2:13" ht="15.75" customHeight="1" x14ac:dyDescent="0.2">
      <c r="B620" s="2"/>
      <c r="C620" s="27"/>
      <c r="D620" s="27"/>
      <c r="E620" s="253"/>
      <c r="F620" s="27"/>
      <c r="G620" s="27"/>
      <c r="H620" s="7"/>
      <c r="I620" s="7"/>
      <c r="J620" s="7"/>
      <c r="K620" s="7"/>
      <c r="L620" s="2"/>
      <c r="M620" s="2"/>
    </row>
    <row r="621" spans="2:13" ht="15.75" customHeight="1" x14ac:dyDescent="0.2">
      <c r="B621" s="2"/>
      <c r="C621" s="27"/>
      <c r="D621" s="27"/>
      <c r="E621" s="253"/>
      <c r="F621" s="27"/>
      <c r="G621" s="27"/>
      <c r="H621" s="7"/>
      <c r="I621" s="7"/>
      <c r="J621" s="7"/>
      <c r="K621" s="7"/>
      <c r="L621" s="2"/>
      <c r="M621" s="2"/>
    </row>
    <row r="622" spans="2:13" ht="15.75" customHeight="1" x14ac:dyDescent="0.2">
      <c r="B622" s="2"/>
      <c r="C622" s="27"/>
      <c r="D622" s="27"/>
      <c r="E622" s="253"/>
      <c r="F622" s="27"/>
      <c r="G622" s="27"/>
      <c r="H622" s="7"/>
      <c r="I622" s="7"/>
      <c r="J622" s="7"/>
      <c r="K622" s="7"/>
      <c r="L622" s="2"/>
      <c r="M622" s="2"/>
    </row>
    <row r="623" spans="2:13" ht="15.75" customHeight="1" x14ac:dyDescent="0.2">
      <c r="B623" s="2"/>
      <c r="C623" s="27"/>
      <c r="D623" s="27"/>
      <c r="E623" s="253"/>
      <c r="F623" s="27"/>
      <c r="G623" s="27"/>
      <c r="H623" s="7"/>
      <c r="I623" s="7"/>
      <c r="J623" s="7"/>
      <c r="K623" s="7"/>
      <c r="L623" s="2"/>
      <c r="M623" s="2"/>
    </row>
    <row r="624" spans="2:13" ht="15.75" customHeight="1" x14ac:dyDescent="0.2">
      <c r="B624" s="2"/>
      <c r="C624" s="27"/>
      <c r="D624" s="27"/>
      <c r="E624" s="253"/>
      <c r="F624" s="27"/>
      <c r="G624" s="27"/>
      <c r="H624" s="7"/>
      <c r="I624" s="7"/>
      <c r="J624" s="7"/>
      <c r="K624" s="7"/>
      <c r="L624" s="2"/>
      <c r="M624" s="2"/>
    </row>
    <row r="625" spans="2:13" ht="15.75" customHeight="1" x14ac:dyDescent="0.2">
      <c r="B625" s="2"/>
      <c r="C625" s="27"/>
      <c r="D625" s="27"/>
      <c r="E625" s="253"/>
      <c r="F625" s="27"/>
      <c r="G625" s="27"/>
      <c r="H625" s="7"/>
      <c r="I625" s="7"/>
      <c r="J625" s="7"/>
      <c r="K625" s="7"/>
      <c r="L625" s="2"/>
      <c r="M625" s="2"/>
    </row>
    <row r="626" spans="2:13" ht="15.75" customHeight="1" x14ac:dyDescent="0.2">
      <c r="B626" s="2"/>
      <c r="C626" s="27"/>
      <c r="D626" s="27"/>
      <c r="E626" s="253"/>
      <c r="F626" s="27"/>
      <c r="G626" s="27"/>
      <c r="H626" s="7"/>
      <c r="I626" s="7"/>
      <c r="J626" s="7"/>
      <c r="K626" s="7"/>
      <c r="L626" s="2"/>
      <c r="M626" s="2"/>
    </row>
    <row r="627" spans="2:13" ht="15.75" customHeight="1" x14ac:dyDescent="0.2">
      <c r="B627" s="2"/>
      <c r="C627" s="27"/>
      <c r="D627" s="27"/>
      <c r="E627" s="253"/>
      <c r="F627" s="27"/>
      <c r="G627" s="27"/>
      <c r="H627" s="7"/>
      <c r="I627" s="7"/>
      <c r="J627" s="7"/>
      <c r="K627" s="7"/>
      <c r="L627" s="2"/>
      <c r="M627" s="2"/>
    </row>
    <row r="628" spans="2:13" ht="15.75" customHeight="1" x14ac:dyDescent="0.2">
      <c r="B628" s="2"/>
      <c r="C628" s="27"/>
      <c r="D628" s="27"/>
      <c r="E628" s="253"/>
      <c r="F628" s="27"/>
      <c r="G628" s="27"/>
      <c r="H628" s="7"/>
      <c r="I628" s="7"/>
      <c r="J628" s="7"/>
      <c r="K628" s="7"/>
      <c r="L628" s="2"/>
      <c r="M628" s="2"/>
    </row>
    <row r="629" spans="2:13" ht="15.75" customHeight="1" x14ac:dyDescent="0.2">
      <c r="B629" s="2"/>
      <c r="C629" s="27"/>
      <c r="D629" s="27"/>
      <c r="E629" s="253"/>
      <c r="F629" s="27"/>
      <c r="G629" s="27"/>
      <c r="H629" s="7"/>
      <c r="I629" s="7"/>
      <c r="J629" s="7"/>
      <c r="K629" s="7"/>
      <c r="L629" s="2"/>
      <c r="M629" s="2"/>
    </row>
    <row r="630" spans="2:13" ht="15.75" customHeight="1" x14ac:dyDescent="0.2">
      <c r="B630" s="2"/>
      <c r="C630" s="27"/>
      <c r="D630" s="27"/>
      <c r="E630" s="253"/>
      <c r="F630" s="27"/>
      <c r="G630" s="27"/>
      <c r="H630" s="7"/>
      <c r="I630" s="7"/>
      <c r="J630" s="7"/>
      <c r="K630" s="7"/>
      <c r="L630" s="2"/>
      <c r="M630" s="2"/>
    </row>
    <row r="631" spans="2:13" ht="15.75" customHeight="1" x14ac:dyDescent="0.2">
      <c r="B631" s="2"/>
      <c r="C631" s="27"/>
      <c r="D631" s="27"/>
      <c r="E631" s="253"/>
      <c r="F631" s="27"/>
      <c r="G631" s="27"/>
      <c r="H631" s="7"/>
      <c r="I631" s="7"/>
      <c r="J631" s="7"/>
      <c r="K631" s="7"/>
      <c r="L631" s="2"/>
      <c r="M631" s="2"/>
    </row>
    <row r="632" spans="2:13" ht="15.75" customHeight="1" x14ac:dyDescent="0.2">
      <c r="B632" s="2"/>
      <c r="C632" s="27"/>
      <c r="D632" s="27"/>
      <c r="E632" s="253"/>
      <c r="F632" s="27"/>
      <c r="G632" s="27"/>
      <c r="H632" s="7"/>
      <c r="I632" s="7"/>
      <c r="J632" s="7"/>
      <c r="K632" s="7"/>
      <c r="L632" s="2"/>
      <c r="M632" s="2"/>
    </row>
    <row r="633" spans="2:13" ht="15.75" customHeight="1" x14ac:dyDescent="0.2">
      <c r="B633" s="2"/>
      <c r="C633" s="27"/>
      <c r="D633" s="27"/>
      <c r="E633" s="253"/>
      <c r="F633" s="27"/>
      <c r="G633" s="27"/>
      <c r="H633" s="7"/>
      <c r="I633" s="7"/>
      <c r="J633" s="7"/>
      <c r="K633" s="7"/>
      <c r="L633" s="2"/>
      <c r="M633" s="2"/>
    </row>
    <row r="634" spans="2:13" ht="15.75" customHeight="1" x14ac:dyDescent="0.2">
      <c r="B634" s="2"/>
      <c r="C634" s="27"/>
      <c r="D634" s="27"/>
      <c r="E634" s="253"/>
      <c r="F634" s="27"/>
      <c r="G634" s="27"/>
      <c r="H634" s="7"/>
      <c r="I634" s="7"/>
      <c r="J634" s="7"/>
      <c r="K634" s="7"/>
      <c r="L634" s="2"/>
      <c r="M634" s="2"/>
    </row>
    <row r="635" spans="2:13" ht="15.75" customHeight="1" x14ac:dyDescent="0.2">
      <c r="B635" s="2"/>
      <c r="C635" s="27"/>
      <c r="D635" s="27"/>
      <c r="E635" s="253"/>
      <c r="F635" s="27"/>
      <c r="G635" s="27"/>
      <c r="H635" s="7"/>
      <c r="I635" s="7"/>
      <c r="J635" s="7"/>
      <c r="K635" s="7"/>
      <c r="L635" s="2"/>
      <c r="M635" s="2"/>
    </row>
    <row r="636" spans="2:13" ht="15.75" customHeight="1" x14ac:dyDescent="0.2">
      <c r="B636" s="2"/>
      <c r="C636" s="27"/>
      <c r="D636" s="27"/>
      <c r="E636" s="253"/>
      <c r="F636" s="27"/>
      <c r="G636" s="27"/>
      <c r="H636" s="7"/>
      <c r="I636" s="7"/>
      <c r="J636" s="7"/>
      <c r="K636" s="7"/>
      <c r="L636" s="2"/>
      <c r="M636" s="2"/>
    </row>
    <row r="637" spans="2:13" ht="15.75" customHeight="1" x14ac:dyDescent="0.2">
      <c r="B637" s="2"/>
      <c r="C637" s="27"/>
      <c r="D637" s="27"/>
      <c r="E637" s="253"/>
      <c r="F637" s="27"/>
      <c r="G637" s="27"/>
      <c r="H637" s="7"/>
      <c r="I637" s="7"/>
      <c r="J637" s="7"/>
      <c r="K637" s="7"/>
      <c r="L637" s="2"/>
      <c r="M637" s="2"/>
    </row>
    <row r="638" spans="2:13" ht="15.75" customHeight="1" x14ac:dyDescent="0.2">
      <c r="B638" s="2"/>
      <c r="C638" s="27"/>
      <c r="D638" s="27"/>
      <c r="E638" s="253"/>
      <c r="F638" s="27"/>
      <c r="G638" s="27"/>
      <c r="H638" s="7"/>
      <c r="I638" s="7"/>
      <c r="J638" s="7"/>
      <c r="K638" s="7"/>
      <c r="L638" s="2"/>
      <c r="M638" s="2"/>
    </row>
    <row r="639" spans="2:13" ht="15.75" customHeight="1" x14ac:dyDescent="0.2">
      <c r="B639" s="2"/>
      <c r="C639" s="27"/>
      <c r="D639" s="27"/>
      <c r="E639" s="253"/>
      <c r="F639" s="27"/>
      <c r="G639" s="27"/>
      <c r="H639" s="7"/>
      <c r="I639" s="7"/>
      <c r="J639" s="7"/>
      <c r="K639" s="7"/>
      <c r="L639" s="2"/>
      <c r="M639" s="2"/>
    </row>
    <row r="640" spans="2:13" ht="15.75" customHeight="1" x14ac:dyDescent="0.2">
      <c r="B640" s="2"/>
      <c r="C640" s="27"/>
      <c r="D640" s="27"/>
      <c r="E640" s="253"/>
      <c r="F640" s="27"/>
      <c r="G640" s="27"/>
      <c r="H640" s="7"/>
      <c r="I640" s="7"/>
      <c r="J640" s="7"/>
      <c r="K640" s="7"/>
      <c r="L640" s="2"/>
      <c r="M640" s="2"/>
    </row>
    <row r="641" spans="2:13" ht="15.75" customHeight="1" x14ac:dyDescent="0.2">
      <c r="B641" s="2"/>
      <c r="C641" s="27"/>
      <c r="D641" s="27"/>
      <c r="E641" s="253"/>
      <c r="F641" s="27"/>
      <c r="G641" s="27"/>
      <c r="H641" s="7"/>
      <c r="I641" s="7"/>
      <c r="J641" s="7"/>
      <c r="K641" s="7"/>
      <c r="L641" s="2"/>
      <c r="M641" s="2"/>
    </row>
    <row r="642" spans="2:13" ht="15.75" customHeight="1" x14ac:dyDescent="0.2">
      <c r="B642" s="2"/>
      <c r="C642" s="27"/>
      <c r="D642" s="27"/>
      <c r="E642" s="253"/>
      <c r="F642" s="27"/>
      <c r="G642" s="27"/>
      <c r="H642" s="7"/>
      <c r="I642" s="7"/>
      <c r="J642" s="7"/>
      <c r="K642" s="7"/>
      <c r="L642" s="2"/>
      <c r="M642" s="2"/>
    </row>
    <row r="643" spans="2:13" ht="15.75" customHeight="1" x14ac:dyDescent="0.2">
      <c r="B643" s="2"/>
      <c r="C643" s="27"/>
      <c r="D643" s="27"/>
      <c r="E643" s="253"/>
      <c r="F643" s="27"/>
      <c r="G643" s="27"/>
      <c r="H643" s="7"/>
      <c r="I643" s="7"/>
      <c r="J643" s="7"/>
      <c r="K643" s="7"/>
      <c r="L643" s="2"/>
      <c r="M643" s="2"/>
    </row>
    <row r="644" spans="2:13" ht="15.75" customHeight="1" x14ac:dyDescent="0.2">
      <c r="B644" s="2"/>
      <c r="C644" s="27"/>
      <c r="D644" s="27"/>
      <c r="E644" s="253"/>
      <c r="F644" s="27"/>
      <c r="G644" s="27"/>
      <c r="H644" s="7"/>
      <c r="I644" s="7"/>
      <c r="J644" s="7"/>
      <c r="K644" s="7"/>
      <c r="L644" s="2"/>
      <c r="M644" s="2"/>
    </row>
    <row r="645" spans="2:13" ht="15.75" customHeight="1" x14ac:dyDescent="0.2">
      <c r="B645" s="2"/>
      <c r="C645" s="27"/>
      <c r="D645" s="27"/>
      <c r="E645" s="253"/>
      <c r="F645" s="27"/>
      <c r="G645" s="27"/>
      <c r="H645" s="7"/>
      <c r="I645" s="7"/>
      <c r="J645" s="7"/>
      <c r="K645" s="7"/>
      <c r="L645" s="2"/>
      <c r="M645" s="2"/>
    </row>
    <row r="646" spans="2:13" ht="15.75" customHeight="1" x14ac:dyDescent="0.2">
      <c r="B646" s="2"/>
      <c r="C646" s="27"/>
      <c r="D646" s="27"/>
      <c r="E646" s="253"/>
      <c r="F646" s="27"/>
      <c r="G646" s="27"/>
      <c r="H646" s="7"/>
      <c r="I646" s="7"/>
      <c r="J646" s="7"/>
      <c r="K646" s="7"/>
      <c r="L646" s="2"/>
      <c r="M646" s="2"/>
    </row>
    <row r="647" spans="2:13" ht="15.75" customHeight="1" x14ac:dyDescent="0.2">
      <c r="B647" s="2"/>
      <c r="C647" s="27"/>
      <c r="D647" s="27"/>
      <c r="E647" s="253"/>
      <c r="F647" s="27"/>
      <c r="G647" s="27"/>
      <c r="H647" s="7"/>
      <c r="I647" s="7"/>
      <c r="J647" s="7"/>
      <c r="K647" s="7"/>
      <c r="L647" s="2"/>
      <c r="M647" s="2"/>
    </row>
    <row r="648" spans="2:13" ht="15.75" customHeight="1" x14ac:dyDescent="0.2">
      <c r="B648" s="2"/>
      <c r="C648" s="27"/>
      <c r="D648" s="27"/>
      <c r="E648" s="253"/>
      <c r="F648" s="27"/>
      <c r="G648" s="27"/>
      <c r="H648" s="7"/>
      <c r="I648" s="7"/>
      <c r="J648" s="7"/>
      <c r="K648" s="7"/>
      <c r="L648" s="2"/>
      <c r="M648" s="2"/>
    </row>
    <row r="649" spans="2:13" ht="15.75" customHeight="1" x14ac:dyDescent="0.2">
      <c r="B649" s="2"/>
      <c r="C649" s="27"/>
      <c r="D649" s="27"/>
      <c r="E649" s="253"/>
      <c r="F649" s="27"/>
      <c r="G649" s="27"/>
      <c r="H649" s="7"/>
      <c r="I649" s="7"/>
      <c r="J649" s="7"/>
      <c r="K649" s="7"/>
      <c r="L649" s="2"/>
      <c r="M649" s="2"/>
    </row>
    <row r="650" spans="2:13" ht="15.75" customHeight="1" x14ac:dyDescent="0.2">
      <c r="B650" s="2"/>
      <c r="C650" s="27"/>
      <c r="D650" s="27"/>
      <c r="E650" s="253"/>
      <c r="F650" s="27"/>
      <c r="G650" s="27"/>
      <c r="H650" s="7"/>
      <c r="I650" s="7"/>
      <c r="J650" s="7"/>
      <c r="K650" s="7"/>
      <c r="L650" s="2"/>
      <c r="M650" s="2"/>
    </row>
    <row r="651" spans="2:13" ht="15.75" customHeight="1" x14ac:dyDescent="0.2">
      <c r="B651" s="2"/>
      <c r="C651" s="27"/>
      <c r="D651" s="27"/>
      <c r="E651" s="253"/>
      <c r="F651" s="27"/>
      <c r="G651" s="27"/>
      <c r="H651" s="7"/>
      <c r="I651" s="7"/>
      <c r="J651" s="7"/>
      <c r="K651" s="7"/>
      <c r="L651" s="2"/>
      <c r="M651" s="2"/>
    </row>
    <row r="652" spans="2:13" ht="15.75" customHeight="1" x14ac:dyDescent="0.2">
      <c r="B652" s="2"/>
      <c r="C652" s="27"/>
      <c r="D652" s="27"/>
      <c r="E652" s="253"/>
      <c r="F652" s="27"/>
      <c r="G652" s="27"/>
      <c r="H652" s="7"/>
      <c r="I652" s="7"/>
      <c r="J652" s="7"/>
      <c r="K652" s="7"/>
      <c r="L652" s="2"/>
      <c r="M652" s="2"/>
    </row>
    <row r="653" spans="2:13" ht="15.75" customHeight="1" x14ac:dyDescent="0.2">
      <c r="B653" s="2"/>
      <c r="C653" s="27"/>
      <c r="D653" s="27"/>
      <c r="E653" s="253"/>
      <c r="F653" s="27"/>
      <c r="G653" s="27"/>
      <c r="H653" s="7"/>
      <c r="I653" s="7"/>
      <c r="J653" s="7"/>
      <c r="K653" s="7"/>
      <c r="L653" s="2"/>
      <c r="M653" s="2"/>
    </row>
    <row r="654" spans="2:13" ht="15.75" customHeight="1" x14ac:dyDescent="0.2">
      <c r="B654" s="2"/>
      <c r="C654" s="27"/>
      <c r="D654" s="27"/>
      <c r="E654" s="253"/>
      <c r="F654" s="27"/>
      <c r="G654" s="27"/>
      <c r="H654" s="7"/>
      <c r="I654" s="7"/>
      <c r="J654" s="7"/>
      <c r="K654" s="7"/>
      <c r="L654" s="2"/>
      <c r="M654" s="2"/>
    </row>
    <row r="655" spans="2:13" ht="15.75" customHeight="1" x14ac:dyDescent="0.2">
      <c r="B655" s="2"/>
      <c r="C655" s="27"/>
      <c r="D655" s="27"/>
      <c r="E655" s="253"/>
      <c r="F655" s="27"/>
      <c r="G655" s="27"/>
      <c r="H655" s="7"/>
      <c r="I655" s="7"/>
      <c r="J655" s="7"/>
      <c r="K655" s="7"/>
      <c r="L655" s="2"/>
      <c r="M655" s="2"/>
    </row>
    <row r="656" spans="2:13" ht="15.75" customHeight="1" x14ac:dyDescent="0.2">
      <c r="B656" s="2"/>
      <c r="C656" s="27"/>
      <c r="D656" s="27"/>
      <c r="E656" s="253"/>
      <c r="F656" s="27"/>
      <c r="G656" s="27"/>
      <c r="H656" s="7"/>
      <c r="I656" s="7"/>
      <c r="J656" s="7"/>
      <c r="K656" s="7"/>
      <c r="L656" s="2"/>
      <c r="M656" s="2"/>
    </row>
    <row r="657" spans="2:13" ht="15.75" customHeight="1" x14ac:dyDescent="0.2">
      <c r="B657" s="2"/>
      <c r="C657" s="27"/>
      <c r="D657" s="27"/>
      <c r="E657" s="253"/>
      <c r="F657" s="27"/>
      <c r="G657" s="27"/>
      <c r="H657" s="7"/>
      <c r="I657" s="7"/>
      <c r="J657" s="7"/>
      <c r="K657" s="7"/>
      <c r="L657" s="2"/>
      <c r="M657" s="2"/>
    </row>
    <row r="658" spans="2:13" ht="15.75" customHeight="1" x14ac:dyDescent="0.2">
      <c r="B658" s="2"/>
      <c r="C658" s="27"/>
      <c r="D658" s="27"/>
      <c r="E658" s="253"/>
      <c r="F658" s="27"/>
      <c r="G658" s="27"/>
      <c r="H658" s="7"/>
      <c r="I658" s="7"/>
      <c r="J658" s="7"/>
      <c r="K658" s="7"/>
      <c r="L658" s="2"/>
      <c r="M658" s="2"/>
    </row>
    <row r="659" spans="2:13" ht="15.75" customHeight="1" x14ac:dyDescent="0.2">
      <c r="B659" s="2"/>
      <c r="C659" s="27"/>
      <c r="D659" s="27"/>
      <c r="E659" s="253"/>
      <c r="F659" s="27"/>
      <c r="G659" s="27"/>
      <c r="H659" s="7"/>
      <c r="I659" s="7"/>
      <c r="J659" s="7"/>
      <c r="K659" s="7"/>
      <c r="L659" s="2"/>
      <c r="M659" s="2"/>
    </row>
    <row r="660" spans="2:13" ht="15.75" customHeight="1" x14ac:dyDescent="0.2">
      <c r="B660" s="2"/>
      <c r="C660" s="27"/>
      <c r="D660" s="27"/>
      <c r="E660" s="253"/>
      <c r="F660" s="27"/>
      <c r="G660" s="27"/>
      <c r="H660" s="7"/>
      <c r="I660" s="7"/>
      <c r="J660" s="7"/>
      <c r="K660" s="7"/>
      <c r="L660" s="2"/>
      <c r="M660" s="2"/>
    </row>
    <row r="661" spans="2:13" ht="15.75" customHeight="1" x14ac:dyDescent="0.2">
      <c r="B661" s="2"/>
      <c r="C661" s="27"/>
      <c r="D661" s="27"/>
      <c r="E661" s="253"/>
      <c r="F661" s="27"/>
      <c r="G661" s="27"/>
      <c r="H661" s="7"/>
      <c r="I661" s="7"/>
      <c r="J661" s="7"/>
      <c r="K661" s="7"/>
      <c r="L661" s="2"/>
      <c r="M661" s="2"/>
    </row>
    <row r="662" spans="2:13" ht="15.75" customHeight="1" x14ac:dyDescent="0.2">
      <c r="B662" s="2"/>
      <c r="C662" s="27"/>
      <c r="D662" s="27"/>
      <c r="E662" s="253"/>
      <c r="F662" s="27"/>
      <c r="G662" s="27"/>
      <c r="H662" s="7"/>
      <c r="I662" s="7"/>
      <c r="J662" s="7"/>
      <c r="K662" s="7"/>
      <c r="L662" s="2"/>
      <c r="M662" s="2"/>
    </row>
    <row r="663" spans="2:13" ht="15.75" customHeight="1" x14ac:dyDescent="0.2">
      <c r="B663" s="2"/>
      <c r="C663" s="27"/>
      <c r="D663" s="27"/>
      <c r="E663" s="253"/>
      <c r="F663" s="27"/>
      <c r="G663" s="27"/>
      <c r="H663" s="7"/>
      <c r="I663" s="7"/>
      <c r="J663" s="7"/>
      <c r="K663" s="7"/>
      <c r="L663" s="2"/>
      <c r="M663" s="2"/>
    </row>
    <row r="664" spans="2:13" ht="15.75" customHeight="1" x14ac:dyDescent="0.2">
      <c r="B664" s="2"/>
      <c r="C664" s="27"/>
      <c r="D664" s="27"/>
      <c r="E664" s="253"/>
      <c r="F664" s="27"/>
      <c r="G664" s="27"/>
      <c r="H664" s="7"/>
      <c r="I664" s="7"/>
      <c r="J664" s="7"/>
      <c r="K664" s="7"/>
      <c r="L664" s="2"/>
      <c r="M664" s="2"/>
    </row>
    <row r="665" spans="2:13" ht="15.75" customHeight="1" x14ac:dyDescent="0.2">
      <c r="B665" s="2"/>
      <c r="C665" s="27"/>
      <c r="D665" s="27"/>
      <c r="E665" s="253"/>
      <c r="F665" s="27"/>
      <c r="G665" s="27"/>
      <c r="H665" s="7"/>
      <c r="I665" s="7"/>
      <c r="J665" s="7"/>
      <c r="K665" s="7"/>
      <c r="L665" s="2"/>
      <c r="M665" s="2"/>
    </row>
    <row r="666" spans="2:13" ht="15.75" customHeight="1" x14ac:dyDescent="0.2">
      <c r="B666" s="2"/>
      <c r="C666" s="27"/>
      <c r="D666" s="27"/>
      <c r="E666" s="253"/>
      <c r="F666" s="27"/>
      <c r="G666" s="27"/>
      <c r="H666" s="7"/>
      <c r="I666" s="7"/>
      <c r="J666" s="7"/>
      <c r="K666" s="7"/>
      <c r="L666" s="2"/>
      <c r="M666" s="2"/>
    </row>
    <row r="667" spans="2:13" ht="15.75" customHeight="1" x14ac:dyDescent="0.2">
      <c r="B667" s="2"/>
      <c r="C667" s="27"/>
      <c r="D667" s="27"/>
      <c r="E667" s="253"/>
      <c r="F667" s="27"/>
      <c r="G667" s="27"/>
      <c r="H667" s="7"/>
      <c r="I667" s="7"/>
      <c r="J667" s="7"/>
      <c r="K667" s="7"/>
      <c r="L667" s="2"/>
      <c r="M667" s="2"/>
    </row>
    <row r="668" spans="2:13" ht="15.75" customHeight="1" x14ac:dyDescent="0.2">
      <c r="B668" s="2"/>
      <c r="C668" s="27"/>
      <c r="D668" s="27"/>
      <c r="E668" s="253"/>
      <c r="F668" s="27"/>
      <c r="G668" s="27"/>
      <c r="H668" s="7"/>
      <c r="I668" s="7"/>
      <c r="J668" s="7"/>
      <c r="K668" s="7"/>
      <c r="L668" s="2"/>
      <c r="M668" s="2"/>
    </row>
    <row r="669" spans="2:13" ht="15.75" customHeight="1" x14ac:dyDescent="0.2">
      <c r="B669" s="2"/>
      <c r="C669" s="27"/>
      <c r="D669" s="27"/>
      <c r="E669" s="253"/>
      <c r="F669" s="27"/>
      <c r="G669" s="27"/>
      <c r="H669" s="7"/>
      <c r="I669" s="7"/>
      <c r="J669" s="7"/>
      <c r="K669" s="7"/>
      <c r="L669" s="2"/>
      <c r="M669" s="2"/>
    </row>
    <row r="670" spans="2:13" ht="15.75" customHeight="1" x14ac:dyDescent="0.2">
      <c r="B670" s="2"/>
      <c r="C670" s="27"/>
      <c r="D670" s="27"/>
      <c r="E670" s="253"/>
      <c r="F670" s="27"/>
      <c r="G670" s="27"/>
      <c r="H670" s="7"/>
      <c r="I670" s="7"/>
      <c r="J670" s="7"/>
      <c r="K670" s="7"/>
      <c r="L670" s="2"/>
      <c r="M670" s="2"/>
    </row>
    <row r="671" spans="2:13" ht="15.75" customHeight="1" x14ac:dyDescent="0.2">
      <c r="B671" s="2"/>
      <c r="C671" s="27"/>
      <c r="D671" s="27"/>
      <c r="E671" s="253"/>
      <c r="F671" s="27"/>
      <c r="G671" s="27"/>
      <c r="H671" s="7"/>
      <c r="I671" s="7"/>
      <c r="J671" s="7"/>
      <c r="K671" s="7"/>
      <c r="L671" s="2"/>
      <c r="M671" s="2"/>
    </row>
    <row r="672" spans="2:13" ht="15.75" customHeight="1" x14ac:dyDescent="0.2">
      <c r="B672" s="2"/>
      <c r="C672" s="27"/>
      <c r="D672" s="27"/>
      <c r="E672" s="253"/>
      <c r="F672" s="27"/>
      <c r="G672" s="27"/>
      <c r="H672" s="7"/>
      <c r="I672" s="7"/>
      <c r="J672" s="7"/>
      <c r="K672" s="7"/>
      <c r="L672" s="2"/>
      <c r="M672" s="2"/>
    </row>
    <row r="673" spans="2:13" ht="15.75" customHeight="1" x14ac:dyDescent="0.2">
      <c r="B673" s="2"/>
      <c r="C673" s="27"/>
      <c r="D673" s="27"/>
      <c r="E673" s="253"/>
      <c r="F673" s="27"/>
      <c r="G673" s="27"/>
      <c r="H673" s="7"/>
      <c r="I673" s="7"/>
      <c r="J673" s="7"/>
      <c r="K673" s="7"/>
      <c r="L673" s="2"/>
      <c r="M673" s="2"/>
    </row>
    <row r="674" spans="2:13" ht="15.75" customHeight="1" x14ac:dyDescent="0.2">
      <c r="B674" s="2"/>
      <c r="C674" s="27"/>
      <c r="D674" s="27"/>
      <c r="E674" s="253"/>
      <c r="F674" s="27"/>
      <c r="G674" s="27"/>
      <c r="H674" s="7"/>
      <c r="I674" s="7"/>
      <c r="J674" s="7"/>
      <c r="K674" s="7"/>
      <c r="L674" s="2"/>
      <c r="M674" s="2"/>
    </row>
    <row r="675" spans="2:13" ht="15.75" customHeight="1" x14ac:dyDescent="0.2">
      <c r="B675" s="2"/>
      <c r="C675" s="27"/>
      <c r="D675" s="27"/>
      <c r="E675" s="253"/>
      <c r="F675" s="27"/>
      <c r="G675" s="27"/>
      <c r="H675" s="7"/>
      <c r="I675" s="7"/>
      <c r="J675" s="7"/>
      <c r="K675" s="7"/>
      <c r="L675" s="2"/>
      <c r="M675" s="2"/>
    </row>
    <row r="676" spans="2:13" ht="15.75" customHeight="1" x14ac:dyDescent="0.2">
      <c r="B676" s="2"/>
      <c r="C676" s="27"/>
      <c r="D676" s="27"/>
      <c r="E676" s="253"/>
      <c r="F676" s="27"/>
      <c r="G676" s="27"/>
      <c r="H676" s="7"/>
      <c r="I676" s="7"/>
      <c r="J676" s="7"/>
      <c r="K676" s="7"/>
      <c r="L676" s="2"/>
      <c r="M676" s="2"/>
    </row>
    <row r="677" spans="2:13" ht="15.75" customHeight="1" x14ac:dyDescent="0.2">
      <c r="B677" s="2"/>
      <c r="C677" s="27"/>
      <c r="D677" s="27"/>
      <c r="E677" s="253"/>
      <c r="F677" s="27"/>
      <c r="G677" s="27"/>
      <c r="H677" s="7"/>
      <c r="I677" s="7"/>
      <c r="J677" s="7"/>
      <c r="K677" s="7"/>
      <c r="L677" s="2"/>
      <c r="M677" s="2"/>
    </row>
    <row r="678" spans="2:13" ht="15.75" customHeight="1" x14ac:dyDescent="0.2">
      <c r="B678" s="2"/>
      <c r="C678" s="27"/>
      <c r="D678" s="27"/>
      <c r="E678" s="253"/>
      <c r="F678" s="27"/>
      <c r="G678" s="27"/>
      <c r="H678" s="7"/>
      <c r="I678" s="7"/>
      <c r="J678" s="7"/>
      <c r="K678" s="7"/>
      <c r="L678" s="2"/>
      <c r="M678" s="2"/>
    </row>
    <row r="679" spans="2:13" ht="15.75" customHeight="1" x14ac:dyDescent="0.2">
      <c r="B679" s="2"/>
      <c r="C679" s="27"/>
      <c r="D679" s="27"/>
      <c r="E679" s="253"/>
      <c r="F679" s="27"/>
      <c r="G679" s="27"/>
      <c r="H679" s="7"/>
      <c r="I679" s="7"/>
      <c r="J679" s="7"/>
      <c r="K679" s="7"/>
      <c r="L679" s="2"/>
      <c r="M679" s="2"/>
    </row>
    <row r="680" spans="2:13" ht="15.75" customHeight="1" x14ac:dyDescent="0.2">
      <c r="B680" s="2"/>
      <c r="C680" s="27"/>
      <c r="D680" s="27"/>
      <c r="E680" s="253"/>
      <c r="F680" s="27"/>
      <c r="G680" s="27"/>
      <c r="H680" s="7"/>
      <c r="I680" s="7"/>
      <c r="J680" s="7"/>
      <c r="K680" s="7"/>
      <c r="L680" s="2"/>
      <c r="M680" s="2"/>
    </row>
    <row r="681" spans="2:13" ht="15.75" customHeight="1" x14ac:dyDescent="0.2">
      <c r="B681" s="2"/>
      <c r="C681" s="27"/>
      <c r="D681" s="27"/>
      <c r="E681" s="253"/>
      <c r="F681" s="27"/>
      <c r="G681" s="27"/>
      <c r="H681" s="7"/>
      <c r="I681" s="7"/>
      <c r="J681" s="7"/>
      <c r="K681" s="7"/>
      <c r="L681" s="2"/>
      <c r="M681" s="2"/>
    </row>
    <row r="682" spans="2:13" ht="15.75" customHeight="1" x14ac:dyDescent="0.2">
      <c r="B682" s="2"/>
      <c r="C682" s="27"/>
      <c r="D682" s="27"/>
      <c r="E682" s="253"/>
      <c r="F682" s="27"/>
      <c r="G682" s="27"/>
      <c r="H682" s="7"/>
      <c r="I682" s="7"/>
      <c r="J682" s="7"/>
      <c r="K682" s="7"/>
      <c r="L682" s="2"/>
      <c r="M682" s="2"/>
    </row>
    <row r="683" spans="2:13" ht="15.75" customHeight="1" x14ac:dyDescent="0.2">
      <c r="B683" s="2"/>
      <c r="C683" s="27"/>
      <c r="D683" s="27"/>
      <c r="E683" s="253"/>
      <c r="F683" s="27"/>
      <c r="G683" s="27"/>
      <c r="H683" s="7"/>
      <c r="I683" s="7"/>
      <c r="J683" s="7"/>
      <c r="K683" s="7"/>
      <c r="L683" s="2"/>
      <c r="M683" s="2"/>
    </row>
    <row r="684" spans="2:13" ht="15.75" customHeight="1" x14ac:dyDescent="0.2">
      <c r="B684" s="2"/>
      <c r="C684" s="27"/>
      <c r="D684" s="27"/>
      <c r="E684" s="253"/>
      <c r="F684" s="27"/>
      <c r="G684" s="27"/>
      <c r="H684" s="7"/>
      <c r="I684" s="7"/>
      <c r="J684" s="7"/>
      <c r="K684" s="7"/>
      <c r="L684" s="2"/>
      <c r="M684" s="2"/>
    </row>
    <row r="685" spans="2:13" ht="15.75" customHeight="1" x14ac:dyDescent="0.2">
      <c r="B685" s="2"/>
      <c r="C685" s="27"/>
      <c r="D685" s="27"/>
      <c r="E685" s="253"/>
      <c r="F685" s="27"/>
      <c r="G685" s="27"/>
      <c r="H685" s="7"/>
      <c r="I685" s="7"/>
      <c r="J685" s="7"/>
      <c r="K685" s="7"/>
    </row>
    <row r="686" spans="2:13" ht="15.75" customHeight="1" x14ac:dyDescent="0.2">
      <c r="B686" s="2"/>
      <c r="C686" s="27"/>
      <c r="D686" s="27"/>
      <c r="E686" s="253"/>
      <c r="F686" s="27"/>
      <c r="G686" s="27"/>
      <c r="H686" s="7"/>
      <c r="I686" s="7"/>
      <c r="J686" s="7"/>
      <c r="K686" s="7"/>
    </row>
    <row r="687" spans="2:13" ht="15.75" customHeight="1" x14ac:dyDescent="0.2">
      <c r="B687" s="2"/>
      <c r="C687" s="27"/>
      <c r="D687" s="27"/>
      <c r="E687" s="253"/>
      <c r="F687" s="27"/>
      <c r="G687" s="27"/>
      <c r="H687" s="7"/>
      <c r="I687" s="7"/>
      <c r="J687" s="7"/>
      <c r="K687" s="7"/>
    </row>
    <row r="688" spans="2:13" ht="15.75" customHeight="1" x14ac:dyDescent="0.2">
      <c r="B688" s="2"/>
      <c r="C688" s="27"/>
      <c r="D688" s="27"/>
      <c r="E688" s="253"/>
      <c r="F688" s="27"/>
      <c r="G688" s="27"/>
      <c r="H688" s="7"/>
      <c r="I688" s="7"/>
      <c r="J688" s="7"/>
      <c r="K688" s="7"/>
    </row>
    <row r="689" spans="2:11" ht="15.75" customHeight="1" x14ac:dyDescent="0.2">
      <c r="B689" s="2"/>
      <c r="C689" s="27"/>
      <c r="D689" s="27"/>
      <c r="E689" s="253"/>
      <c r="F689" s="27"/>
      <c r="G689" s="27"/>
      <c r="H689" s="7"/>
      <c r="I689" s="7"/>
      <c r="J689" s="7"/>
      <c r="K689" s="7"/>
    </row>
    <row r="690" spans="2:11" ht="15.75" customHeight="1" x14ac:dyDescent="0.2">
      <c r="B690" s="2"/>
      <c r="C690" s="27"/>
      <c r="D690" s="27"/>
      <c r="E690" s="253"/>
      <c r="F690" s="27"/>
      <c r="G690" s="27"/>
      <c r="H690" s="7"/>
      <c r="I690" s="7"/>
      <c r="J690" s="7"/>
      <c r="K690" s="7"/>
    </row>
    <row r="691" spans="2:11" ht="15.75" customHeight="1" x14ac:dyDescent="0.2">
      <c r="B691" s="2"/>
      <c r="C691" s="27"/>
      <c r="D691" s="27"/>
      <c r="E691" s="253"/>
      <c r="F691" s="27"/>
      <c r="G691" s="27"/>
      <c r="H691" s="7"/>
      <c r="I691" s="7"/>
      <c r="J691" s="7"/>
      <c r="K691" s="7"/>
    </row>
    <row r="692" spans="2:11" ht="15.75" customHeight="1" x14ac:dyDescent="0.2">
      <c r="B692" s="2"/>
      <c r="C692" s="27"/>
      <c r="D692" s="27"/>
      <c r="E692" s="253"/>
      <c r="F692" s="27"/>
      <c r="G692" s="27"/>
      <c r="H692" s="7"/>
      <c r="I692" s="7"/>
      <c r="J692" s="7"/>
      <c r="K692" s="7"/>
    </row>
    <row r="693" spans="2:11" ht="15.75" customHeight="1" x14ac:dyDescent="0.2">
      <c r="B693" s="2"/>
      <c r="C693" s="27"/>
      <c r="D693" s="27"/>
      <c r="E693" s="253"/>
      <c r="F693" s="27"/>
      <c r="G693" s="27"/>
      <c r="H693" s="7"/>
      <c r="I693" s="7"/>
      <c r="J693" s="7"/>
      <c r="K693" s="7"/>
    </row>
    <row r="694" spans="2:11" ht="15.75" customHeight="1" x14ac:dyDescent="0.2">
      <c r="B694" s="2"/>
      <c r="C694" s="27"/>
      <c r="D694" s="27"/>
      <c r="E694" s="253"/>
      <c r="F694" s="27"/>
      <c r="G694" s="27"/>
      <c r="H694" s="7"/>
      <c r="I694" s="7"/>
      <c r="J694" s="7"/>
      <c r="K694" s="7"/>
    </row>
    <row r="695" spans="2:11" ht="15.75" customHeight="1" x14ac:dyDescent="0.2">
      <c r="B695" s="2"/>
      <c r="C695" s="27"/>
      <c r="D695" s="27"/>
      <c r="E695" s="253"/>
      <c r="F695" s="27"/>
      <c r="G695" s="27"/>
      <c r="H695" s="7"/>
      <c r="I695" s="7"/>
      <c r="J695" s="7"/>
      <c r="K695" s="7"/>
    </row>
    <row r="696" spans="2:11" ht="15.75" customHeight="1" x14ac:dyDescent="0.2">
      <c r="B696" s="2"/>
      <c r="C696" s="27"/>
      <c r="D696" s="27"/>
      <c r="E696" s="253"/>
      <c r="F696" s="27"/>
      <c r="G696" s="27"/>
      <c r="H696" s="7"/>
      <c r="I696" s="7"/>
      <c r="J696" s="7"/>
      <c r="K696" s="7"/>
    </row>
    <row r="697" spans="2:11" ht="15.75" customHeight="1" x14ac:dyDescent="0.2"/>
    <row r="698" spans="2:11" ht="15.75" customHeight="1" x14ac:dyDescent="0.2"/>
    <row r="699" spans="2:11" ht="15.75" customHeight="1" x14ac:dyDescent="0.2"/>
    <row r="700" spans="2:11" ht="15.75" customHeight="1" x14ac:dyDescent="0.2"/>
    <row r="701" spans="2:11" ht="15.75" customHeight="1" x14ac:dyDescent="0.2"/>
    <row r="702" spans="2:11" ht="15.75" customHeight="1" x14ac:dyDescent="0.2"/>
    <row r="703" spans="2:11" ht="15.75" customHeight="1" x14ac:dyDescent="0.2"/>
    <row r="704" spans="2:11" ht="15.75" customHeight="1" x14ac:dyDescent="0.2"/>
    <row r="705" spans="2:13" ht="15.75" customHeight="1" x14ac:dyDescent="0.2"/>
    <row r="706" spans="2:13" ht="15.75" customHeight="1" x14ac:dyDescent="0.2"/>
    <row r="707" spans="2:13" s="2" customFormat="1" ht="15.75" customHeight="1" x14ac:dyDescent="0.2">
      <c r="B707"/>
      <c r="C707" s="35"/>
      <c r="D707" s="35"/>
      <c r="E707" s="164"/>
      <c r="F707" s="35"/>
      <c r="G707" s="35"/>
      <c r="H707" s="74"/>
      <c r="I707" s="74"/>
      <c r="J707" s="74"/>
      <c r="K707" s="74"/>
      <c r="L707"/>
      <c r="M707"/>
    </row>
    <row r="708" spans="2:13" s="2" customFormat="1" ht="15.75" customHeight="1" x14ac:dyDescent="0.2">
      <c r="B708"/>
      <c r="C708" s="35"/>
      <c r="D708" s="35"/>
      <c r="E708" s="164"/>
      <c r="F708" s="35"/>
      <c r="G708" s="35"/>
      <c r="H708" s="74"/>
      <c r="I708" s="74"/>
      <c r="J708" s="74"/>
      <c r="K708" s="74"/>
      <c r="L708"/>
      <c r="M708"/>
    </row>
    <row r="709" spans="2:13" s="2" customFormat="1" ht="15.75" customHeight="1" x14ac:dyDescent="0.2">
      <c r="B709"/>
      <c r="C709" s="35"/>
      <c r="D709" s="35"/>
      <c r="E709" s="164"/>
      <c r="F709" s="35"/>
      <c r="G709" s="35"/>
      <c r="H709" s="74"/>
      <c r="I709" s="74"/>
      <c r="J709" s="74"/>
      <c r="K709" s="74"/>
      <c r="L709"/>
      <c r="M709"/>
    </row>
    <row r="710" spans="2:13" s="2" customFormat="1" ht="15.75" customHeight="1" x14ac:dyDescent="0.2">
      <c r="B710"/>
      <c r="C710" s="35"/>
      <c r="D710" s="35"/>
      <c r="E710" s="164"/>
      <c r="F710" s="35"/>
      <c r="G710" s="35"/>
      <c r="H710" s="74"/>
      <c r="I710" s="74"/>
      <c r="J710" s="74"/>
      <c r="K710" s="74"/>
      <c r="L710"/>
      <c r="M710"/>
    </row>
    <row r="711" spans="2:13" s="2" customFormat="1" ht="15.75" customHeight="1" x14ac:dyDescent="0.2">
      <c r="B711"/>
      <c r="C711" s="35"/>
      <c r="D711" s="35"/>
      <c r="E711" s="164"/>
      <c r="F711" s="35"/>
      <c r="G711" s="35"/>
      <c r="H711" s="74"/>
      <c r="I711" s="74"/>
      <c r="J711" s="74"/>
      <c r="K711" s="74"/>
      <c r="L711"/>
      <c r="M711"/>
    </row>
    <row r="712" spans="2:13" s="2" customFormat="1" ht="15.75" customHeight="1" x14ac:dyDescent="0.2">
      <c r="B712"/>
      <c r="C712" s="35"/>
      <c r="D712" s="35"/>
      <c r="E712" s="164"/>
      <c r="F712" s="35"/>
      <c r="G712" s="35"/>
      <c r="H712" s="74"/>
      <c r="I712" s="74"/>
      <c r="J712" s="74"/>
      <c r="K712" s="74"/>
      <c r="L712"/>
      <c r="M712"/>
    </row>
    <row r="713" spans="2:13" s="2" customFormat="1" ht="15.75" customHeight="1" x14ac:dyDescent="0.2">
      <c r="B713"/>
      <c r="C713" s="35"/>
      <c r="D713" s="35"/>
      <c r="E713" s="164"/>
      <c r="F713" s="35"/>
      <c r="G713" s="35"/>
      <c r="H713" s="74"/>
      <c r="I713" s="74"/>
      <c r="J713" s="74"/>
      <c r="K713" s="74"/>
      <c r="L713"/>
      <c r="M713"/>
    </row>
    <row r="714" spans="2:13" s="2" customFormat="1" ht="15.75" customHeight="1" x14ac:dyDescent="0.2">
      <c r="B714"/>
      <c r="C714" s="35"/>
      <c r="D714" s="35"/>
      <c r="E714" s="164"/>
      <c r="F714" s="35"/>
      <c r="G714" s="35"/>
      <c r="H714" s="74"/>
      <c r="I714" s="74"/>
      <c r="J714" s="74"/>
      <c r="K714" s="74"/>
      <c r="L714"/>
      <c r="M714"/>
    </row>
    <row r="715" spans="2:13" s="2" customFormat="1" ht="15.75" customHeight="1" x14ac:dyDescent="0.2">
      <c r="B715"/>
      <c r="C715" s="35"/>
      <c r="D715" s="35"/>
      <c r="E715" s="164"/>
      <c r="F715" s="35"/>
      <c r="G715" s="35"/>
      <c r="H715" s="74"/>
      <c r="I715" s="74"/>
      <c r="J715" s="74"/>
      <c r="K715" s="74"/>
      <c r="L715"/>
      <c r="M715"/>
    </row>
    <row r="716" spans="2:13" s="2" customFormat="1" ht="15.75" customHeight="1" x14ac:dyDescent="0.2">
      <c r="B716"/>
      <c r="C716" s="35"/>
      <c r="D716" s="35"/>
      <c r="E716" s="164"/>
      <c r="F716" s="35"/>
      <c r="G716" s="35"/>
      <c r="H716" s="74"/>
      <c r="I716" s="74"/>
      <c r="J716" s="74"/>
      <c r="K716" s="74"/>
      <c r="L716"/>
      <c r="M716"/>
    </row>
    <row r="717" spans="2:13" s="2" customFormat="1" ht="15.75" customHeight="1" x14ac:dyDescent="0.2">
      <c r="B717"/>
      <c r="C717" s="35"/>
      <c r="D717" s="35"/>
      <c r="E717" s="164"/>
      <c r="F717" s="35"/>
      <c r="G717" s="35"/>
      <c r="H717" s="74"/>
      <c r="I717" s="74"/>
      <c r="J717" s="74"/>
      <c r="K717" s="74"/>
      <c r="L717"/>
      <c r="M717"/>
    </row>
    <row r="718" spans="2:13" s="2" customFormat="1" ht="15.75" customHeight="1" x14ac:dyDescent="0.2">
      <c r="B718"/>
      <c r="C718" s="35"/>
      <c r="D718" s="35"/>
      <c r="E718" s="164"/>
      <c r="F718" s="35"/>
      <c r="G718" s="35"/>
      <c r="H718" s="74"/>
      <c r="I718" s="74"/>
      <c r="J718" s="74"/>
      <c r="K718" s="74"/>
      <c r="L718"/>
      <c r="M718"/>
    </row>
    <row r="719" spans="2:13" s="2" customFormat="1" ht="15.75" customHeight="1" x14ac:dyDescent="0.2">
      <c r="B719"/>
      <c r="C719" s="35"/>
      <c r="D719" s="35"/>
      <c r="E719" s="164"/>
      <c r="F719" s="35"/>
      <c r="G719" s="35"/>
      <c r="H719" s="74"/>
      <c r="I719" s="74"/>
      <c r="J719" s="74"/>
      <c r="K719" s="74"/>
      <c r="L719"/>
      <c r="M719"/>
    </row>
    <row r="720" spans="2:13" s="2" customFormat="1" ht="15.75" customHeight="1" x14ac:dyDescent="0.2">
      <c r="B720"/>
      <c r="C720" s="35"/>
      <c r="D720" s="35"/>
      <c r="E720" s="164"/>
      <c r="F720" s="35"/>
      <c r="G720" s="35"/>
      <c r="H720" s="74"/>
      <c r="I720" s="74"/>
      <c r="J720" s="74"/>
      <c r="K720" s="74"/>
      <c r="L720"/>
      <c r="M720"/>
    </row>
    <row r="721" spans="2:13" s="2" customFormat="1" ht="15.75" customHeight="1" x14ac:dyDescent="0.2">
      <c r="B721"/>
      <c r="C721" s="35"/>
      <c r="D721" s="35"/>
      <c r="E721" s="164"/>
      <c r="F721" s="35"/>
      <c r="G721" s="35"/>
      <c r="H721" s="74"/>
      <c r="I721" s="74"/>
      <c r="J721" s="74"/>
      <c r="K721" s="74"/>
      <c r="L721"/>
      <c r="M721"/>
    </row>
    <row r="722" spans="2:13" s="2" customFormat="1" ht="15.75" customHeight="1" x14ac:dyDescent="0.2">
      <c r="B722"/>
      <c r="C722" s="35"/>
      <c r="D722" s="35"/>
      <c r="E722" s="164"/>
      <c r="F722" s="35"/>
      <c r="G722" s="35"/>
      <c r="H722" s="74"/>
      <c r="I722" s="74"/>
      <c r="J722" s="74"/>
      <c r="K722" s="74"/>
      <c r="L722"/>
      <c r="M722"/>
    </row>
    <row r="723" spans="2:13" s="2" customFormat="1" ht="15.75" customHeight="1" x14ac:dyDescent="0.2">
      <c r="B723"/>
      <c r="C723" s="35"/>
      <c r="D723" s="35"/>
      <c r="E723" s="164"/>
      <c r="F723" s="35"/>
      <c r="G723" s="35"/>
      <c r="H723" s="74"/>
      <c r="I723" s="74"/>
      <c r="J723" s="74"/>
      <c r="K723" s="74"/>
      <c r="L723"/>
      <c r="M723"/>
    </row>
    <row r="724" spans="2:13" s="2" customFormat="1" ht="15.75" customHeight="1" x14ac:dyDescent="0.2">
      <c r="B724"/>
      <c r="C724" s="35"/>
      <c r="D724" s="35"/>
      <c r="E724" s="164"/>
      <c r="F724" s="35"/>
      <c r="G724" s="35"/>
      <c r="H724" s="74"/>
      <c r="I724" s="74"/>
      <c r="J724" s="74"/>
      <c r="K724" s="74"/>
      <c r="L724"/>
      <c r="M724"/>
    </row>
    <row r="725" spans="2:13" s="2" customFormat="1" ht="15.75" customHeight="1" x14ac:dyDescent="0.2">
      <c r="B725"/>
      <c r="C725" s="35"/>
      <c r="D725" s="35"/>
      <c r="E725" s="164"/>
      <c r="F725" s="35"/>
      <c r="G725" s="35"/>
      <c r="H725" s="74"/>
      <c r="I725" s="74"/>
      <c r="J725" s="74"/>
      <c r="K725" s="74"/>
      <c r="L725"/>
      <c r="M725"/>
    </row>
    <row r="726" spans="2:13" s="2" customFormat="1" ht="15.75" customHeight="1" x14ac:dyDescent="0.2">
      <c r="B726"/>
      <c r="C726" s="35"/>
      <c r="D726" s="35"/>
      <c r="E726" s="164"/>
      <c r="F726" s="35"/>
      <c r="G726" s="35"/>
      <c r="H726" s="74"/>
      <c r="I726" s="74"/>
      <c r="J726" s="74"/>
      <c r="K726" s="74"/>
      <c r="L726"/>
      <c r="M726"/>
    </row>
    <row r="727" spans="2:13" s="2" customFormat="1" ht="15.75" customHeight="1" x14ac:dyDescent="0.2">
      <c r="B727"/>
      <c r="C727" s="35"/>
      <c r="D727" s="35"/>
      <c r="E727" s="164"/>
      <c r="F727" s="35"/>
      <c r="G727" s="35"/>
      <c r="H727" s="74"/>
      <c r="I727" s="74"/>
      <c r="J727" s="74"/>
      <c r="K727" s="74"/>
      <c r="L727"/>
      <c r="M727"/>
    </row>
    <row r="728" spans="2:13" s="2" customFormat="1" ht="15.75" customHeight="1" x14ac:dyDescent="0.2">
      <c r="B728"/>
      <c r="C728" s="35"/>
      <c r="D728" s="35"/>
      <c r="E728" s="164"/>
      <c r="F728" s="35"/>
      <c r="G728" s="35"/>
      <c r="H728" s="74"/>
      <c r="I728" s="74"/>
      <c r="J728" s="74"/>
      <c r="K728" s="74"/>
      <c r="L728"/>
      <c r="M728"/>
    </row>
    <row r="729" spans="2:13" s="2" customFormat="1" ht="15.75" customHeight="1" x14ac:dyDescent="0.2">
      <c r="B729"/>
      <c r="C729" s="35"/>
      <c r="D729" s="35"/>
      <c r="E729" s="164"/>
      <c r="F729" s="35"/>
      <c r="G729" s="35"/>
      <c r="H729" s="74"/>
      <c r="I729" s="74"/>
      <c r="J729" s="74"/>
      <c r="K729" s="74"/>
      <c r="L729"/>
      <c r="M729"/>
    </row>
    <row r="730" spans="2:13" s="2" customFormat="1" ht="15.75" customHeight="1" x14ac:dyDescent="0.2">
      <c r="B730"/>
      <c r="C730" s="35"/>
      <c r="D730" s="35"/>
      <c r="E730" s="164"/>
      <c r="F730" s="35"/>
      <c r="G730" s="35"/>
      <c r="H730" s="74"/>
      <c r="I730" s="74"/>
      <c r="J730" s="74"/>
      <c r="K730" s="74"/>
      <c r="L730"/>
      <c r="M730"/>
    </row>
    <row r="731" spans="2:13" s="2" customFormat="1" ht="15.75" customHeight="1" x14ac:dyDescent="0.2">
      <c r="B731"/>
      <c r="C731" s="35"/>
      <c r="D731" s="35"/>
      <c r="E731" s="164"/>
      <c r="F731" s="35"/>
      <c r="G731" s="35"/>
      <c r="H731" s="74"/>
      <c r="I731" s="74"/>
      <c r="J731" s="74"/>
      <c r="K731" s="74"/>
      <c r="L731"/>
      <c r="M731"/>
    </row>
    <row r="732" spans="2:13" s="2" customFormat="1" ht="15.75" customHeight="1" x14ac:dyDescent="0.2">
      <c r="B732"/>
      <c r="C732" s="35"/>
      <c r="D732" s="35"/>
      <c r="E732" s="164"/>
      <c r="F732" s="35"/>
      <c r="G732" s="35"/>
      <c r="H732" s="74"/>
      <c r="I732" s="74"/>
      <c r="J732" s="74"/>
      <c r="K732" s="74"/>
      <c r="L732"/>
      <c r="M732"/>
    </row>
    <row r="733" spans="2:13" s="2" customFormat="1" ht="15.75" customHeight="1" x14ac:dyDescent="0.2">
      <c r="B733"/>
      <c r="C733" s="35"/>
      <c r="D733" s="35"/>
      <c r="E733" s="164"/>
      <c r="F733" s="35"/>
      <c r="G733" s="35"/>
      <c r="H733" s="74"/>
      <c r="I733" s="74"/>
      <c r="J733" s="74"/>
      <c r="K733" s="74"/>
      <c r="L733"/>
      <c r="M733"/>
    </row>
    <row r="734" spans="2:13" s="2" customFormat="1" ht="15.75" customHeight="1" x14ac:dyDescent="0.2">
      <c r="B734"/>
      <c r="C734" s="35"/>
      <c r="D734" s="35"/>
      <c r="E734" s="164"/>
      <c r="F734" s="35"/>
      <c r="G734" s="35"/>
      <c r="H734" s="74"/>
      <c r="I734" s="74"/>
      <c r="J734" s="74"/>
      <c r="K734" s="74"/>
      <c r="L734"/>
      <c r="M734"/>
    </row>
    <row r="735" spans="2:13" s="2" customFormat="1" ht="15.75" customHeight="1" x14ac:dyDescent="0.2">
      <c r="B735"/>
      <c r="C735" s="35"/>
      <c r="D735" s="35"/>
      <c r="E735" s="164"/>
      <c r="F735" s="35"/>
      <c r="G735" s="35"/>
      <c r="H735" s="74"/>
      <c r="I735" s="74"/>
      <c r="J735" s="74"/>
      <c r="K735" s="74"/>
      <c r="L735"/>
      <c r="M735"/>
    </row>
    <row r="736" spans="2:13" s="2" customFormat="1" ht="15.75" customHeight="1" x14ac:dyDescent="0.2">
      <c r="B736"/>
      <c r="C736" s="35"/>
      <c r="D736" s="35"/>
      <c r="E736" s="164"/>
      <c r="F736" s="35"/>
      <c r="G736" s="35"/>
      <c r="H736" s="74"/>
      <c r="I736" s="74"/>
      <c r="J736" s="74"/>
      <c r="K736" s="74"/>
      <c r="L736"/>
      <c r="M736"/>
    </row>
    <row r="737" spans="2:13" s="2" customFormat="1" ht="15.75" customHeight="1" x14ac:dyDescent="0.2">
      <c r="B737"/>
      <c r="C737" s="35"/>
      <c r="D737" s="35"/>
      <c r="E737" s="164"/>
      <c r="F737" s="35"/>
      <c r="G737" s="35"/>
      <c r="H737" s="74"/>
      <c r="I737" s="74"/>
      <c r="J737" s="74"/>
      <c r="K737" s="74"/>
      <c r="L737"/>
      <c r="M737"/>
    </row>
    <row r="738" spans="2:13" s="2" customFormat="1" ht="15.75" customHeight="1" x14ac:dyDescent="0.2">
      <c r="B738"/>
      <c r="C738" s="35"/>
      <c r="D738" s="35"/>
      <c r="E738" s="164"/>
      <c r="F738" s="35"/>
      <c r="G738" s="35"/>
      <c r="H738" s="74"/>
      <c r="I738" s="74"/>
      <c r="J738" s="74"/>
      <c r="K738" s="74"/>
      <c r="L738"/>
      <c r="M738"/>
    </row>
    <row r="739" spans="2:13" s="2" customFormat="1" ht="15.75" customHeight="1" x14ac:dyDescent="0.2">
      <c r="B739"/>
      <c r="C739" s="35"/>
      <c r="D739" s="35"/>
      <c r="E739" s="164"/>
      <c r="F739" s="35"/>
      <c r="G739" s="35"/>
      <c r="H739" s="74"/>
      <c r="I739" s="74"/>
      <c r="J739" s="74"/>
      <c r="K739" s="74"/>
      <c r="L739"/>
      <c r="M739"/>
    </row>
    <row r="740" spans="2:13" s="2" customFormat="1" ht="15.75" customHeight="1" x14ac:dyDescent="0.2">
      <c r="B740"/>
      <c r="C740" s="35"/>
      <c r="D740" s="35"/>
      <c r="E740" s="164"/>
      <c r="F740" s="35"/>
      <c r="G740" s="35"/>
      <c r="H740" s="74"/>
      <c r="I740" s="74"/>
      <c r="J740" s="74"/>
      <c r="K740" s="74"/>
      <c r="L740"/>
      <c r="M740"/>
    </row>
    <row r="741" spans="2:13" s="2" customFormat="1" ht="15.75" customHeight="1" x14ac:dyDescent="0.2">
      <c r="B741"/>
      <c r="C741" s="35"/>
      <c r="D741" s="35"/>
      <c r="E741" s="164"/>
      <c r="F741" s="35"/>
      <c r="G741" s="35"/>
      <c r="H741" s="74"/>
      <c r="I741" s="74"/>
      <c r="J741" s="74"/>
      <c r="K741" s="74"/>
      <c r="L741"/>
      <c r="M741"/>
    </row>
    <row r="742" spans="2:13" s="2" customFormat="1" ht="15.75" customHeight="1" x14ac:dyDescent="0.2">
      <c r="B742"/>
      <c r="C742" s="35"/>
      <c r="D742" s="35"/>
      <c r="E742" s="164"/>
      <c r="F742" s="35"/>
      <c r="G742" s="35"/>
      <c r="H742" s="74"/>
      <c r="I742" s="74"/>
      <c r="J742" s="74"/>
      <c r="K742" s="74"/>
      <c r="L742"/>
      <c r="M742"/>
    </row>
    <row r="743" spans="2:13" s="2" customFormat="1" ht="15.75" customHeight="1" x14ac:dyDescent="0.2">
      <c r="B743"/>
      <c r="C743" s="35"/>
      <c r="D743" s="35"/>
      <c r="E743" s="164"/>
      <c r="F743" s="35"/>
      <c r="G743" s="35"/>
      <c r="H743" s="74"/>
      <c r="I743" s="74"/>
      <c r="J743" s="74"/>
      <c r="K743" s="74"/>
      <c r="L743"/>
      <c r="M743"/>
    </row>
    <row r="744" spans="2:13" s="2" customFormat="1" ht="15.75" customHeight="1" x14ac:dyDescent="0.2">
      <c r="B744"/>
      <c r="C744" s="35"/>
      <c r="D744" s="35"/>
      <c r="E744" s="164"/>
      <c r="F744" s="35"/>
      <c r="G744" s="35"/>
      <c r="H744" s="74"/>
      <c r="I744" s="74"/>
      <c r="J744" s="74"/>
      <c r="K744" s="74"/>
      <c r="L744"/>
      <c r="M744"/>
    </row>
    <row r="745" spans="2:13" s="2" customFormat="1" ht="15.75" customHeight="1" x14ac:dyDescent="0.2">
      <c r="B745"/>
      <c r="C745" s="35"/>
      <c r="D745" s="35"/>
      <c r="E745" s="164"/>
      <c r="F745" s="35"/>
      <c r="G745" s="35"/>
      <c r="H745" s="74"/>
      <c r="I745" s="74"/>
      <c r="J745" s="74"/>
      <c r="K745" s="74"/>
      <c r="L745"/>
      <c r="M745"/>
    </row>
    <row r="746" spans="2:13" s="2" customFormat="1" ht="15.75" customHeight="1" x14ac:dyDescent="0.2">
      <c r="B746"/>
      <c r="C746" s="35"/>
      <c r="D746" s="35"/>
      <c r="E746" s="164"/>
      <c r="F746" s="35"/>
      <c r="G746" s="35"/>
      <c r="H746" s="74"/>
      <c r="I746" s="74"/>
      <c r="J746" s="74"/>
      <c r="K746" s="74"/>
      <c r="L746"/>
      <c r="M746"/>
    </row>
    <row r="747" spans="2:13" s="2" customFormat="1" ht="15.75" customHeight="1" x14ac:dyDescent="0.2">
      <c r="B747"/>
      <c r="C747" s="35"/>
      <c r="D747" s="35"/>
      <c r="E747" s="164"/>
      <c r="F747" s="35"/>
      <c r="G747" s="35"/>
      <c r="H747" s="74"/>
      <c r="I747" s="74"/>
      <c r="J747" s="74"/>
      <c r="K747" s="74"/>
      <c r="L747"/>
      <c r="M747"/>
    </row>
    <row r="748" spans="2:13" s="2" customFormat="1" ht="15.75" customHeight="1" x14ac:dyDescent="0.2">
      <c r="B748"/>
      <c r="C748" s="35"/>
      <c r="D748" s="35"/>
      <c r="E748" s="164"/>
      <c r="F748" s="35"/>
      <c r="G748" s="35"/>
      <c r="H748" s="74"/>
      <c r="I748" s="74"/>
      <c r="J748" s="74"/>
      <c r="K748" s="74"/>
      <c r="L748"/>
      <c r="M748"/>
    </row>
    <row r="749" spans="2:13" s="2" customFormat="1" ht="15.75" customHeight="1" x14ac:dyDescent="0.2">
      <c r="B749"/>
      <c r="C749" s="35"/>
      <c r="D749" s="35"/>
      <c r="E749" s="164"/>
      <c r="F749" s="35"/>
      <c r="G749" s="35"/>
      <c r="H749" s="74"/>
      <c r="I749" s="74"/>
      <c r="J749" s="74"/>
      <c r="K749" s="74"/>
      <c r="L749"/>
      <c r="M749"/>
    </row>
    <row r="750" spans="2:13" s="2" customFormat="1" ht="15.75" customHeight="1" x14ac:dyDescent="0.2">
      <c r="B750"/>
      <c r="C750" s="35"/>
      <c r="D750" s="35"/>
      <c r="E750" s="164"/>
      <c r="F750" s="35"/>
      <c r="G750" s="35"/>
      <c r="H750" s="74"/>
      <c r="I750" s="74"/>
      <c r="J750" s="74"/>
      <c r="K750" s="74"/>
      <c r="L750"/>
      <c r="M750"/>
    </row>
    <row r="751" spans="2:13" s="2" customFormat="1" ht="15.75" customHeight="1" x14ac:dyDescent="0.2">
      <c r="B751"/>
      <c r="C751" s="35"/>
      <c r="D751" s="35"/>
      <c r="E751" s="164"/>
      <c r="F751" s="35"/>
      <c r="G751" s="35"/>
      <c r="H751" s="74"/>
      <c r="I751" s="74"/>
      <c r="J751" s="74"/>
      <c r="K751" s="74"/>
      <c r="L751"/>
      <c r="M751"/>
    </row>
    <row r="752" spans="2:13" s="2" customFormat="1" ht="15.75" customHeight="1" x14ac:dyDescent="0.2">
      <c r="B752"/>
      <c r="C752" s="35"/>
      <c r="D752" s="35"/>
      <c r="E752" s="164"/>
      <c r="F752" s="35"/>
      <c r="G752" s="35"/>
      <c r="H752" s="74"/>
      <c r="I752" s="74"/>
      <c r="J752" s="74"/>
      <c r="K752" s="74"/>
      <c r="L752"/>
      <c r="M752"/>
    </row>
    <row r="753" spans="2:13" s="2" customFormat="1" ht="15.75" customHeight="1" x14ac:dyDescent="0.2">
      <c r="B753"/>
      <c r="C753" s="35"/>
      <c r="D753" s="35"/>
      <c r="E753" s="164"/>
      <c r="F753" s="35"/>
      <c r="G753" s="35"/>
      <c r="H753" s="74"/>
      <c r="I753" s="74"/>
      <c r="J753" s="74"/>
      <c r="K753" s="74"/>
      <c r="L753"/>
      <c r="M753"/>
    </row>
    <row r="754" spans="2:13" s="2" customFormat="1" ht="15.75" customHeight="1" x14ac:dyDescent="0.2">
      <c r="B754"/>
      <c r="C754" s="35"/>
      <c r="D754" s="35"/>
      <c r="E754" s="164"/>
      <c r="F754" s="35"/>
      <c r="G754" s="35"/>
      <c r="H754" s="74"/>
      <c r="I754" s="74"/>
      <c r="J754" s="74"/>
      <c r="K754" s="74"/>
      <c r="L754"/>
      <c r="M754"/>
    </row>
    <row r="755" spans="2:13" s="2" customFormat="1" ht="15.75" customHeight="1" x14ac:dyDescent="0.2">
      <c r="B755"/>
      <c r="C755" s="35"/>
      <c r="D755" s="35"/>
      <c r="E755" s="164"/>
      <c r="F755" s="35"/>
      <c r="G755" s="35"/>
      <c r="H755" s="74"/>
      <c r="I755" s="74"/>
      <c r="J755" s="74"/>
      <c r="K755" s="74"/>
      <c r="L755"/>
      <c r="M755"/>
    </row>
    <row r="756" spans="2:13" s="2" customFormat="1" ht="15.75" customHeight="1" x14ac:dyDescent="0.2">
      <c r="B756"/>
      <c r="C756" s="35"/>
      <c r="D756" s="35"/>
      <c r="E756" s="164"/>
      <c r="F756" s="35"/>
      <c r="G756" s="35"/>
      <c r="H756" s="74"/>
      <c r="I756" s="74"/>
      <c r="J756" s="74"/>
      <c r="K756" s="74"/>
      <c r="L756"/>
      <c r="M756"/>
    </row>
    <row r="757" spans="2:13" s="2" customFormat="1" ht="15.75" customHeight="1" x14ac:dyDescent="0.2">
      <c r="B757"/>
      <c r="C757" s="35"/>
      <c r="D757" s="35"/>
      <c r="E757" s="164"/>
      <c r="F757" s="35"/>
      <c r="G757" s="35"/>
      <c r="H757" s="74"/>
      <c r="I757" s="74"/>
      <c r="J757" s="74"/>
      <c r="K757" s="74"/>
      <c r="L757"/>
      <c r="M757"/>
    </row>
    <row r="758" spans="2:13" s="2" customFormat="1" ht="15.75" customHeight="1" x14ac:dyDescent="0.2">
      <c r="B758"/>
      <c r="C758" s="35"/>
      <c r="D758" s="35"/>
      <c r="E758" s="164"/>
      <c r="F758" s="35"/>
      <c r="G758" s="35"/>
      <c r="H758" s="74"/>
      <c r="I758" s="74"/>
      <c r="J758" s="74"/>
      <c r="K758" s="74"/>
      <c r="L758"/>
      <c r="M758"/>
    </row>
    <row r="759" spans="2:13" s="2" customFormat="1" ht="15.75" customHeight="1" x14ac:dyDescent="0.2">
      <c r="B759"/>
      <c r="C759" s="35"/>
      <c r="D759" s="35"/>
      <c r="E759" s="164"/>
      <c r="F759" s="35"/>
      <c r="G759" s="35"/>
      <c r="H759" s="74"/>
      <c r="I759" s="74"/>
      <c r="J759" s="74"/>
      <c r="K759" s="74"/>
      <c r="L759"/>
      <c r="M759"/>
    </row>
    <row r="760" spans="2:13" s="2" customFormat="1" ht="15.75" customHeight="1" x14ac:dyDescent="0.2">
      <c r="B760"/>
      <c r="C760" s="35"/>
      <c r="D760" s="35"/>
      <c r="E760" s="164"/>
      <c r="F760" s="35"/>
      <c r="G760" s="35"/>
      <c r="H760" s="74"/>
      <c r="I760" s="74"/>
      <c r="J760" s="74"/>
      <c r="K760" s="74"/>
      <c r="L760"/>
      <c r="M760"/>
    </row>
    <row r="761" spans="2:13" s="2" customFormat="1" ht="15.75" customHeight="1" x14ac:dyDescent="0.2">
      <c r="B761"/>
      <c r="C761" s="35"/>
      <c r="D761" s="35"/>
      <c r="E761" s="164"/>
      <c r="F761" s="35"/>
      <c r="G761" s="35"/>
      <c r="H761" s="74"/>
      <c r="I761" s="74"/>
      <c r="J761" s="74"/>
      <c r="K761" s="74"/>
      <c r="L761"/>
      <c r="M761"/>
    </row>
    <row r="762" spans="2:13" s="2" customFormat="1" ht="15.75" customHeight="1" x14ac:dyDescent="0.2">
      <c r="B762"/>
      <c r="C762" s="35"/>
      <c r="D762" s="35"/>
      <c r="E762" s="164"/>
      <c r="F762" s="35"/>
      <c r="G762" s="35"/>
      <c r="H762" s="74"/>
      <c r="I762" s="74"/>
      <c r="J762" s="74"/>
      <c r="K762" s="74"/>
      <c r="L762"/>
      <c r="M762"/>
    </row>
    <row r="763" spans="2:13" s="2" customFormat="1" ht="15.75" customHeight="1" x14ac:dyDescent="0.2">
      <c r="B763"/>
      <c r="C763" s="35"/>
      <c r="D763" s="35"/>
      <c r="E763" s="164"/>
      <c r="F763" s="35"/>
      <c r="G763" s="35"/>
      <c r="H763" s="74"/>
      <c r="I763" s="74"/>
      <c r="J763" s="74"/>
      <c r="K763" s="74"/>
      <c r="L763"/>
      <c r="M763"/>
    </row>
    <row r="764" spans="2:13" s="2" customFormat="1" ht="15.75" customHeight="1" x14ac:dyDescent="0.2">
      <c r="B764"/>
      <c r="C764" s="35"/>
      <c r="D764" s="35"/>
      <c r="E764" s="164"/>
      <c r="F764" s="35"/>
      <c r="G764" s="35"/>
      <c r="H764" s="74"/>
      <c r="I764" s="74"/>
      <c r="J764" s="74"/>
      <c r="K764" s="74"/>
      <c r="L764"/>
      <c r="M764"/>
    </row>
    <row r="765" spans="2:13" s="2" customFormat="1" ht="15.75" customHeight="1" x14ac:dyDescent="0.2">
      <c r="B765"/>
      <c r="C765" s="35"/>
      <c r="D765" s="35"/>
      <c r="E765" s="164"/>
      <c r="F765" s="35"/>
      <c r="G765" s="35"/>
      <c r="H765" s="74"/>
      <c r="I765" s="74"/>
      <c r="J765" s="74"/>
      <c r="K765" s="74"/>
      <c r="L765"/>
      <c r="M765"/>
    </row>
    <row r="766" spans="2:13" s="2" customFormat="1" ht="15.75" customHeight="1" x14ac:dyDescent="0.2">
      <c r="B766"/>
      <c r="C766" s="35"/>
      <c r="D766" s="35"/>
      <c r="E766" s="164"/>
      <c r="F766" s="35"/>
      <c r="G766" s="35"/>
      <c r="H766" s="74"/>
      <c r="I766" s="74"/>
      <c r="J766" s="74"/>
      <c r="K766" s="74"/>
      <c r="L766"/>
      <c r="M766"/>
    </row>
    <row r="767" spans="2:13" s="2" customFormat="1" ht="15.75" customHeight="1" x14ac:dyDescent="0.2">
      <c r="B767"/>
      <c r="C767" s="35"/>
      <c r="D767" s="35"/>
      <c r="E767" s="164"/>
      <c r="F767" s="35"/>
      <c r="G767" s="35"/>
      <c r="H767" s="74"/>
      <c r="I767" s="74"/>
      <c r="J767" s="74"/>
      <c r="K767" s="74"/>
      <c r="L767"/>
      <c r="M767"/>
    </row>
    <row r="768" spans="2:13" s="2" customFormat="1" ht="15.75" customHeight="1" x14ac:dyDescent="0.2">
      <c r="B768"/>
      <c r="C768" s="35"/>
      <c r="D768" s="35"/>
      <c r="E768" s="164"/>
      <c r="F768" s="35"/>
      <c r="G768" s="35"/>
      <c r="H768" s="74"/>
      <c r="I768" s="74"/>
      <c r="J768" s="74"/>
      <c r="K768" s="74"/>
      <c r="L768"/>
      <c r="M768"/>
    </row>
    <row r="769" spans="2:13" s="2" customFormat="1" ht="15.75" customHeight="1" x14ac:dyDescent="0.2">
      <c r="B769"/>
      <c r="C769" s="35"/>
      <c r="D769" s="35"/>
      <c r="E769" s="164"/>
      <c r="F769" s="35"/>
      <c r="G769" s="35"/>
      <c r="H769" s="74"/>
      <c r="I769" s="74"/>
      <c r="J769" s="74"/>
      <c r="K769" s="74"/>
      <c r="L769"/>
      <c r="M769"/>
    </row>
    <row r="770" spans="2:13" s="2" customFormat="1" ht="15.75" customHeight="1" x14ac:dyDescent="0.2">
      <c r="B770"/>
      <c r="C770" s="35"/>
      <c r="D770" s="35"/>
      <c r="E770" s="164"/>
      <c r="F770" s="35"/>
      <c r="G770" s="35"/>
      <c r="H770" s="74"/>
      <c r="I770" s="74"/>
      <c r="J770" s="74"/>
      <c r="K770" s="74"/>
      <c r="L770"/>
      <c r="M770"/>
    </row>
    <row r="771" spans="2:13" s="2" customFormat="1" ht="15.75" customHeight="1" x14ac:dyDescent="0.2">
      <c r="B771"/>
      <c r="C771" s="35"/>
      <c r="D771" s="35"/>
      <c r="E771" s="164"/>
      <c r="F771" s="35"/>
      <c r="G771" s="35"/>
      <c r="H771" s="74"/>
      <c r="I771" s="74"/>
      <c r="J771" s="74"/>
      <c r="K771" s="74"/>
      <c r="L771"/>
      <c r="M771"/>
    </row>
    <row r="772" spans="2:13" s="2" customFormat="1" ht="15.75" customHeight="1" x14ac:dyDescent="0.2">
      <c r="B772"/>
      <c r="C772" s="35"/>
      <c r="D772" s="35"/>
      <c r="E772" s="164"/>
      <c r="F772" s="35"/>
      <c r="G772" s="35"/>
      <c r="H772" s="74"/>
      <c r="I772" s="74"/>
      <c r="J772" s="74"/>
      <c r="K772" s="74"/>
      <c r="L772"/>
      <c r="M772"/>
    </row>
    <row r="773" spans="2:13" s="2" customFormat="1" ht="15.75" customHeight="1" x14ac:dyDescent="0.2">
      <c r="B773"/>
      <c r="C773" s="35"/>
      <c r="D773" s="35"/>
      <c r="E773" s="164"/>
      <c r="F773" s="35"/>
      <c r="G773" s="35"/>
      <c r="H773" s="74"/>
      <c r="I773" s="74"/>
      <c r="J773" s="74"/>
      <c r="K773" s="74"/>
      <c r="L773"/>
      <c r="M773"/>
    </row>
    <row r="774" spans="2:13" s="2" customFormat="1" ht="15.75" customHeight="1" x14ac:dyDescent="0.2">
      <c r="B774"/>
      <c r="C774" s="35"/>
      <c r="D774" s="35"/>
      <c r="E774" s="164"/>
      <c r="F774" s="35"/>
      <c r="G774" s="35"/>
      <c r="H774" s="74"/>
      <c r="I774" s="74"/>
      <c r="J774" s="74"/>
      <c r="K774" s="74"/>
      <c r="L774"/>
      <c r="M774"/>
    </row>
    <row r="775" spans="2:13" s="2" customFormat="1" ht="15.75" customHeight="1" x14ac:dyDescent="0.2">
      <c r="B775"/>
      <c r="C775" s="35"/>
      <c r="D775" s="35"/>
      <c r="E775" s="164"/>
      <c r="F775" s="35"/>
      <c r="G775" s="35"/>
      <c r="H775" s="74"/>
      <c r="I775" s="74"/>
      <c r="J775" s="74"/>
      <c r="K775" s="74"/>
      <c r="L775"/>
      <c r="M775"/>
    </row>
    <row r="776" spans="2:13" s="2" customFormat="1" ht="15.75" customHeight="1" x14ac:dyDescent="0.2">
      <c r="B776"/>
      <c r="C776" s="35"/>
      <c r="D776" s="35"/>
      <c r="E776" s="164"/>
      <c r="F776" s="35"/>
      <c r="G776" s="35"/>
      <c r="H776" s="74"/>
      <c r="I776" s="74"/>
      <c r="J776" s="74"/>
      <c r="K776" s="74"/>
      <c r="L776"/>
      <c r="M776"/>
    </row>
    <row r="777" spans="2:13" s="2" customFormat="1" ht="15.75" customHeight="1" x14ac:dyDescent="0.2">
      <c r="B777"/>
      <c r="C777" s="35"/>
      <c r="D777" s="35"/>
      <c r="E777" s="164"/>
      <c r="F777" s="35"/>
      <c r="G777" s="35"/>
      <c r="H777" s="74"/>
      <c r="I777" s="74"/>
      <c r="J777" s="74"/>
      <c r="K777" s="74"/>
      <c r="L777"/>
      <c r="M777"/>
    </row>
    <row r="778" spans="2:13" s="2" customFormat="1" ht="15.75" customHeight="1" x14ac:dyDescent="0.2">
      <c r="B778"/>
      <c r="C778" s="35"/>
      <c r="D778" s="35"/>
      <c r="E778" s="164"/>
      <c r="F778" s="35"/>
      <c r="G778" s="35"/>
      <c r="H778" s="74"/>
      <c r="I778" s="74"/>
      <c r="J778" s="74"/>
      <c r="K778" s="74"/>
      <c r="L778"/>
      <c r="M778"/>
    </row>
    <row r="779" spans="2:13" s="2" customFormat="1" ht="15.75" customHeight="1" x14ac:dyDescent="0.2">
      <c r="B779"/>
      <c r="C779" s="35"/>
      <c r="D779" s="35"/>
      <c r="E779" s="164"/>
      <c r="F779" s="35"/>
      <c r="G779" s="35"/>
      <c r="H779" s="74"/>
      <c r="I779" s="74"/>
      <c r="J779" s="74"/>
      <c r="K779" s="74"/>
      <c r="L779"/>
      <c r="M779"/>
    </row>
    <row r="780" spans="2:13" s="2" customFormat="1" ht="15.75" customHeight="1" x14ac:dyDescent="0.2">
      <c r="B780"/>
      <c r="C780" s="35"/>
      <c r="D780" s="35"/>
      <c r="E780" s="164"/>
      <c r="F780" s="35"/>
      <c r="G780" s="35"/>
      <c r="H780" s="74"/>
      <c r="I780" s="74"/>
      <c r="J780" s="74"/>
      <c r="K780" s="74"/>
      <c r="L780"/>
      <c r="M780"/>
    </row>
    <row r="781" spans="2:13" s="2" customFormat="1" ht="15.75" customHeight="1" x14ac:dyDescent="0.2">
      <c r="B781"/>
      <c r="C781" s="35"/>
      <c r="D781" s="35"/>
      <c r="E781" s="164"/>
      <c r="F781" s="35"/>
      <c r="G781" s="35"/>
      <c r="H781" s="74"/>
      <c r="I781" s="74"/>
      <c r="J781" s="74"/>
      <c r="K781" s="74"/>
      <c r="L781"/>
      <c r="M781"/>
    </row>
    <row r="782" spans="2:13" s="2" customFormat="1" ht="15.75" customHeight="1" x14ac:dyDescent="0.2">
      <c r="B782"/>
      <c r="C782" s="35"/>
      <c r="D782" s="35"/>
      <c r="E782" s="164"/>
      <c r="F782" s="35"/>
      <c r="G782" s="35"/>
      <c r="H782" s="74"/>
      <c r="I782" s="74"/>
      <c r="J782" s="74"/>
      <c r="K782" s="74"/>
      <c r="L782"/>
      <c r="M782"/>
    </row>
    <row r="783" spans="2:13" s="2" customFormat="1" ht="15.75" customHeight="1" x14ac:dyDescent="0.2">
      <c r="B783"/>
      <c r="C783" s="35"/>
      <c r="D783" s="35"/>
      <c r="E783" s="164"/>
      <c r="F783" s="35"/>
      <c r="G783" s="35"/>
      <c r="H783" s="74"/>
      <c r="I783" s="74"/>
      <c r="J783" s="74"/>
      <c r="K783" s="74"/>
      <c r="L783"/>
      <c r="M783"/>
    </row>
    <row r="784" spans="2:13" s="2" customFormat="1" ht="15.75" customHeight="1" x14ac:dyDescent="0.2">
      <c r="B784"/>
      <c r="C784" s="35"/>
      <c r="D784" s="35"/>
      <c r="E784" s="164"/>
      <c r="F784" s="35"/>
      <c r="G784" s="35"/>
      <c r="H784" s="74"/>
      <c r="I784" s="74"/>
      <c r="J784" s="74"/>
      <c r="K784" s="74"/>
      <c r="L784"/>
      <c r="M784"/>
    </row>
    <row r="785" spans="2:13" s="2" customFormat="1" ht="15.75" customHeight="1" x14ac:dyDescent="0.2">
      <c r="B785"/>
      <c r="C785" s="35"/>
      <c r="D785" s="35"/>
      <c r="E785" s="164"/>
      <c r="F785" s="35"/>
      <c r="G785" s="35"/>
      <c r="H785" s="74"/>
      <c r="I785" s="74"/>
      <c r="J785" s="74"/>
      <c r="K785" s="74"/>
      <c r="L785"/>
      <c r="M785"/>
    </row>
    <row r="786" spans="2:13" s="2" customFormat="1" ht="15.75" customHeight="1" x14ac:dyDescent="0.2">
      <c r="B786"/>
      <c r="C786" s="35"/>
      <c r="D786" s="35"/>
      <c r="E786" s="164"/>
      <c r="F786" s="35"/>
      <c r="G786" s="35"/>
      <c r="H786" s="74"/>
      <c r="I786" s="74"/>
      <c r="J786" s="74"/>
      <c r="K786" s="74"/>
      <c r="L786"/>
      <c r="M786"/>
    </row>
    <row r="787" spans="2:13" s="2" customFormat="1" ht="15.75" customHeight="1" x14ac:dyDescent="0.2">
      <c r="B787"/>
      <c r="C787" s="35"/>
      <c r="D787" s="35"/>
      <c r="E787" s="164"/>
      <c r="F787" s="35"/>
      <c r="G787" s="35"/>
      <c r="H787" s="74"/>
      <c r="I787" s="74"/>
      <c r="J787" s="74"/>
      <c r="K787" s="74"/>
      <c r="L787"/>
      <c r="M787"/>
    </row>
    <row r="788" spans="2:13" s="2" customFormat="1" ht="15.75" customHeight="1" x14ac:dyDescent="0.2">
      <c r="B788"/>
      <c r="C788" s="35"/>
      <c r="D788" s="35"/>
      <c r="E788" s="164"/>
      <c r="F788" s="35"/>
      <c r="G788" s="35"/>
      <c r="H788" s="74"/>
      <c r="I788" s="74"/>
      <c r="J788" s="74"/>
      <c r="K788" s="74"/>
      <c r="L788"/>
      <c r="M788"/>
    </row>
    <row r="789" spans="2:13" s="2" customFormat="1" ht="15.75" customHeight="1" x14ac:dyDescent="0.2">
      <c r="B789"/>
      <c r="C789" s="35"/>
      <c r="D789" s="35"/>
      <c r="E789" s="164"/>
      <c r="F789" s="35"/>
      <c r="G789" s="35"/>
      <c r="H789" s="74"/>
      <c r="I789" s="74"/>
      <c r="J789" s="74"/>
      <c r="K789" s="74"/>
      <c r="L789"/>
      <c r="M789"/>
    </row>
    <row r="790" spans="2:13" s="2" customFormat="1" ht="15.75" customHeight="1" x14ac:dyDescent="0.2">
      <c r="B790"/>
      <c r="C790" s="35"/>
      <c r="D790" s="35"/>
      <c r="E790" s="164"/>
      <c r="F790" s="35"/>
      <c r="G790" s="35"/>
      <c r="H790" s="74"/>
      <c r="I790" s="74"/>
      <c r="J790" s="74"/>
      <c r="K790" s="74"/>
      <c r="L790"/>
      <c r="M790"/>
    </row>
    <row r="791" spans="2:13" s="2" customFormat="1" ht="15.75" customHeight="1" x14ac:dyDescent="0.2">
      <c r="B791"/>
      <c r="C791" s="35"/>
      <c r="D791" s="35"/>
      <c r="E791" s="164"/>
      <c r="F791" s="35"/>
      <c r="G791" s="35"/>
      <c r="H791" s="74"/>
      <c r="I791" s="74"/>
      <c r="J791" s="74"/>
      <c r="K791" s="74"/>
      <c r="L791"/>
      <c r="M791"/>
    </row>
    <row r="792" spans="2:13" s="2" customFormat="1" ht="15.75" customHeight="1" x14ac:dyDescent="0.2">
      <c r="B792"/>
      <c r="C792" s="35"/>
      <c r="D792" s="35"/>
      <c r="E792" s="164"/>
      <c r="F792" s="35"/>
      <c r="G792" s="35"/>
      <c r="H792" s="74"/>
      <c r="I792" s="74"/>
      <c r="J792" s="74"/>
      <c r="K792" s="74"/>
      <c r="L792"/>
      <c r="M792"/>
    </row>
    <row r="793" spans="2:13" s="2" customFormat="1" ht="15.75" customHeight="1" x14ac:dyDescent="0.2">
      <c r="B793"/>
      <c r="C793" s="35"/>
      <c r="D793" s="35"/>
      <c r="E793" s="164"/>
      <c r="F793" s="35"/>
      <c r="G793" s="35"/>
      <c r="H793" s="74"/>
      <c r="I793" s="74"/>
      <c r="J793" s="74"/>
      <c r="K793" s="74"/>
      <c r="L793"/>
      <c r="M793"/>
    </row>
    <row r="794" spans="2:13" s="2" customFormat="1" ht="15.75" customHeight="1" x14ac:dyDescent="0.2">
      <c r="B794"/>
      <c r="C794" s="35"/>
      <c r="D794" s="35"/>
      <c r="E794" s="164"/>
      <c r="F794" s="35"/>
      <c r="G794" s="35"/>
      <c r="H794" s="74"/>
      <c r="I794" s="74"/>
      <c r="J794" s="74"/>
      <c r="K794" s="74"/>
      <c r="L794"/>
      <c r="M794"/>
    </row>
    <row r="795" spans="2:13" s="2" customFormat="1" ht="15.75" customHeight="1" x14ac:dyDescent="0.2">
      <c r="B795"/>
      <c r="C795" s="35"/>
      <c r="D795" s="35"/>
      <c r="E795" s="164"/>
      <c r="F795" s="35"/>
      <c r="G795" s="35"/>
      <c r="H795" s="74"/>
      <c r="I795" s="74"/>
      <c r="J795" s="74"/>
      <c r="K795" s="74"/>
      <c r="L795"/>
      <c r="M795"/>
    </row>
    <row r="796" spans="2:13" s="2" customFormat="1" ht="15.75" customHeight="1" x14ac:dyDescent="0.2">
      <c r="B796"/>
      <c r="C796" s="35"/>
      <c r="D796" s="35"/>
      <c r="E796" s="164"/>
      <c r="F796" s="35"/>
      <c r="G796" s="35"/>
      <c r="H796" s="74"/>
      <c r="I796" s="74"/>
      <c r="J796" s="74"/>
      <c r="K796" s="74"/>
      <c r="L796"/>
      <c r="M796"/>
    </row>
    <row r="797" spans="2:13" s="2" customFormat="1" ht="15.75" customHeight="1" x14ac:dyDescent="0.2">
      <c r="B797"/>
      <c r="C797" s="35"/>
      <c r="D797" s="35"/>
      <c r="E797" s="164"/>
      <c r="F797" s="35"/>
      <c r="G797" s="35"/>
      <c r="H797" s="74"/>
      <c r="I797" s="74"/>
      <c r="J797" s="74"/>
      <c r="K797" s="74"/>
      <c r="L797"/>
      <c r="M797"/>
    </row>
    <row r="798" spans="2:13" s="2" customFormat="1" ht="15.75" customHeight="1" x14ac:dyDescent="0.2">
      <c r="B798"/>
      <c r="C798" s="35"/>
      <c r="D798" s="35"/>
      <c r="E798" s="164"/>
      <c r="F798" s="35"/>
      <c r="G798" s="35"/>
      <c r="H798" s="74"/>
      <c r="I798" s="74"/>
      <c r="J798" s="74"/>
      <c r="K798" s="74"/>
      <c r="L798"/>
      <c r="M798"/>
    </row>
    <row r="799" spans="2:13" s="2" customFormat="1" ht="15.75" customHeight="1" x14ac:dyDescent="0.2">
      <c r="B799"/>
      <c r="C799" s="35"/>
      <c r="D799" s="35"/>
      <c r="E799" s="164"/>
      <c r="F799" s="35"/>
      <c r="G799" s="35"/>
      <c r="H799" s="74"/>
      <c r="I799" s="74"/>
      <c r="J799" s="74"/>
      <c r="K799" s="74"/>
      <c r="L799"/>
      <c r="M799"/>
    </row>
    <row r="800" spans="2:13" s="2" customFormat="1" ht="15.75" customHeight="1" x14ac:dyDescent="0.2">
      <c r="B800"/>
      <c r="C800" s="35"/>
      <c r="D800" s="35"/>
      <c r="E800" s="164"/>
      <c r="F800" s="35"/>
      <c r="G800" s="35"/>
      <c r="H800" s="74"/>
      <c r="I800" s="74"/>
      <c r="J800" s="74"/>
      <c r="K800" s="74"/>
      <c r="L800"/>
      <c r="M800"/>
    </row>
  </sheetData>
  <mergeCells count="2">
    <mergeCell ref="A4:E4"/>
    <mergeCell ref="A5:E5"/>
  </mergeCells>
  <phoneticPr fontId="14" type="noConversion"/>
  <pageMargins left="0.74803149606299213" right="0.15748031496062992" top="0.55118110236220474" bottom="0.15748031496062992" header="0.15748031496062992" footer="0.15748031496062992"/>
  <pageSetup paperSize="9" scale="69" orientation="portrait" r:id="rId1"/>
  <headerFooter alignWithMargins="0"/>
  <rowBreaks count="1" manualBreakCount="1">
    <brk id="83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738"/>
  <sheetViews>
    <sheetView zoomScaleNormal="100" zoomScaleSheetLayoutView="100" workbookViewId="0">
      <selection activeCell="B61" sqref="B61"/>
    </sheetView>
  </sheetViews>
  <sheetFormatPr defaultRowHeight="12.75" x14ac:dyDescent="0.2"/>
  <cols>
    <col min="1" max="1" width="6.28515625" style="2" customWidth="1"/>
    <col min="2" max="2" width="73.5703125" customWidth="1"/>
    <col min="3" max="4" width="15.85546875" style="35" customWidth="1"/>
    <col min="5" max="5" width="15.7109375" style="35" customWidth="1"/>
    <col min="6" max="7" width="13.5703125" style="35" hidden="1" customWidth="1"/>
    <col min="8" max="8" width="7.140625" style="35" customWidth="1"/>
    <col min="9" max="9" width="10.5703125" hidden="1" customWidth="1"/>
    <col min="10" max="10" width="9.140625" hidden="1" customWidth="1"/>
    <col min="11" max="11" width="13.28515625" hidden="1" customWidth="1"/>
    <col min="12" max="12" width="12.7109375" hidden="1" customWidth="1"/>
    <col min="13" max="13" width="6.140625" hidden="1" customWidth="1"/>
    <col min="14" max="14" width="13" hidden="1" customWidth="1"/>
    <col min="15" max="17" width="9.140625" hidden="1" customWidth="1"/>
    <col min="18" max="23" width="9.140625" customWidth="1"/>
    <col min="24" max="24" width="6.5703125" bestFit="1" customWidth="1"/>
  </cols>
  <sheetData>
    <row r="1" spans="1:43" ht="15" customHeight="1" x14ac:dyDescent="0.3">
      <c r="A1" s="54"/>
      <c r="B1" s="32"/>
      <c r="E1" s="176" t="s">
        <v>559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ht="18.75" x14ac:dyDescent="0.3">
      <c r="A2" s="54"/>
      <c r="B2" s="32"/>
      <c r="E2" s="176" t="str">
        <f>'1.Bev-kiad.'!E2</f>
        <v>a 13/2024.(IX.30.) önkormányzati rendelethez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15" customHeight="1" x14ac:dyDescent="0.3">
      <c r="A3" s="54"/>
      <c r="B3" s="32"/>
      <c r="E3" s="176" t="s">
        <v>1058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9.5" x14ac:dyDescent="0.35">
      <c r="A4" s="652" t="s">
        <v>24</v>
      </c>
      <c r="B4" s="652"/>
      <c r="C4" s="652"/>
      <c r="D4" s="652"/>
      <c r="E4" s="652"/>
      <c r="F4"/>
      <c r="G4"/>
      <c r="H4" s="37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19.5" x14ac:dyDescent="0.35">
      <c r="A5" s="652" t="s">
        <v>876</v>
      </c>
      <c r="B5" s="652"/>
      <c r="C5" s="652"/>
      <c r="D5" s="652"/>
      <c r="E5" s="652"/>
      <c r="F5"/>
      <c r="G5"/>
      <c r="H5" s="37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13.5" thickBot="1" x14ac:dyDescent="0.25">
      <c r="A6" s="54"/>
      <c r="B6" s="1"/>
      <c r="E6" s="55" t="s"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ht="54.75" customHeight="1" thickBot="1" x14ac:dyDescent="0.25">
      <c r="A7" s="212" t="s">
        <v>109</v>
      </c>
      <c r="B7" s="43" t="s">
        <v>199</v>
      </c>
      <c r="C7" s="43" t="str">
        <f>'1.Bev-kiad.'!C7</f>
        <v>2024. évi eredeti előirányzat</v>
      </c>
      <c r="D7" s="43" t="str">
        <f>'1.Bev-kiad.'!D7</f>
        <v>Módosított előirányzat 2024.06.havi</v>
      </c>
      <c r="E7" s="43" t="str">
        <f>'1.Bev-kiad.'!E7</f>
        <v>Módosított előirányzat 2024.09.havi</v>
      </c>
      <c r="F7" s="43" t="str">
        <f>'1.Bev-kiad.'!F7</f>
        <v>Módosított előirányzat 2024..havi</v>
      </c>
      <c r="G7" s="44" t="str">
        <f>'1.Bev-kiad.'!G7</f>
        <v>Teljesítés 2023.12.31.</v>
      </c>
      <c r="H7" s="377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ht="20.25" customHeight="1" x14ac:dyDescent="0.2">
      <c r="A8" s="143" t="s">
        <v>110</v>
      </c>
      <c r="B8" s="221" t="s">
        <v>309</v>
      </c>
      <c r="C8" s="168">
        <f>SUM(C13+C25+C31)</f>
        <v>150335</v>
      </c>
      <c r="D8" s="168">
        <f>SUM(D13+D25+D31)</f>
        <v>186486</v>
      </c>
      <c r="E8" s="168">
        <f>SUM(E13+E25+E31)</f>
        <v>186486</v>
      </c>
      <c r="F8" s="168">
        <f>SUM(F13+F25+F31)</f>
        <v>150335</v>
      </c>
      <c r="G8" s="168">
        <f>SUM(G13+G25+G31)</f>
        <v>150335</v>
      </c>
      <c r="H8" s="414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ht="12.75" hidden="1" customHeight="1" x14ac:dyDescent="0.2">
      <c r="A9" s="8" t="s">
        <v>113</v>
      </c>
      <c r="B9" s="8" t="s">
        <v>117</v>
      </c>
      <c r="C9" s="6"/>
      <c r="D9" s="6"/>
      <c r="E9" s="6"/>
      <c r="F9" s="6"/>
      <c r="G9" s="6"/>
      <c r="H9" s="18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12.75" hidden="1" customHeight="1" x14ac:dyDescent="0.2">
      <c r="A10" s="8" t="s">
        <v>114</v>
      </c>
      <c r="B10" s="8" t="s">
        <v>118</v>
      </c>
      <c r="C10" s="11"/>
      <c r="D10" s="11"/>
      <c r="E10" s="11"/>
      <c r="F10" s="11"/>
      <c r="G10" s="11"/>
      <c r="H10" s="7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ht="12.75" hidden="1" customHeight="1" x14ac:dyDescent="0.2">
      <c r="A11" s="8" t="s">
        <v>115</v>
      </c>
      <c r="B11" s="8" t="s">
        <v>119</v>
      </c>
      <c r="C11" s="11"/>
      <c r="D11" s="11"/>
      <c r="E11" s="11"/>
      <c r="F11" s="11"/>
      <c r="G11" s="11"/>
      <c r="H11" s="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ht="12.75" hidden="1" customHeight="1" x14ac:dyDescent="0.2">
      <c r="A12" s="8" t="s">
        <v>116</v>
      </c>
      <c r="B12" s="8" t="s">
        <v>121</v>
      </c>
      <c r="C12" s="11"/>
      <c r="D12" s="11"/>
      <c r="E12" s="11"/>
      <c r="F12" s="11"/>
      <c r="G12" s="11"/>
      <c r="H12" s="7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</row>
    <row r="13" spans="1:43" ht="18" customHeight="1" x14ac:dyDescent="0.25">
      <c r="A13" s="14" t="s">
        <v>122</v>
      </c>
      <c r="B13" s="22" t="s">
        <v>237</v>
      </c>
      <c r="C13" s="36">
        <f>C14+C22</f>
        <v>67335</v>
      </c>
      <c r="D13" s="36">
        <f>D14+D22</f>
        <v>67486</v>
      </c>
      <c r="E13" s="36">
        <f>E14+E22</f>
        <v>67486</v>
      </c>
      <c r="F13" s="36">
        <f>F14+F22</f>
        <v>67335</v>
      </c>
      <c r="G13" s="36">
        <f>G14+G22</f>
        <v>67335</v>
      </c>
      <c r="H13" s="41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spans="1:43" ht="13.5" customHeight="1" x14ac:dyDescent="0.2">
      <c r="A14" s="8"/>
      <c r="B14" s="8" t="s">
        <v>297</v>
      </c>
      <c r="C14" s="6">
        <f>SUM(C15:C21)</f>
        <v>67335</v>
      </c>
      <c r="D14" s="6">
        <f>SUM(D15:D21)</f>
        <v>67486</v>
      </c>
      <c r="E14" s="6">
        <f>SUM(E15:E21)</f>
        <v>67486</v>
      </c>
      <c r="F14" s="6">
        <f>SUM(F15:F21)</f>
        <v>67335</v>
      </c>
      <c r="G14" s="6">
        <f>SUM(G15:G21)</f>
        <v>67335</v>
      </c>
      <c r="H14" s="7"/>
      <c r="I14" s="2"/>
      <c r="Q14" s="7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</row>
    <row r="15" spans="1:43" x14ac:dyDescent="0.2">
      <c r="A15" s="8"/>
      <c r="B15" s="8" t="s">
        <v>955</v>
      </c>
      <c r="C15" s="13">
        <v>18090</v>
      </c>
      <c r="D15" s="13">
        <f>18090+151</f>
        <v>18241</v>
      </c>
      <c r="E15" s="13">
        <f>18090+151</f>
        <v>18241</v>
      </c>
      <c r="F15" s="13">
        <v>18090</v>
      </c>
      <c r="G15" s="13">
        <v>18090</v>
      </c>
      <c r="H15" s="55"/>
      <c r="I15" s="2"/>
      <c r="J15" s="2"/>
      <c r="K15" s="375"/>
      <c r="L15" s="299"/>
      <c r="M15" s="299"/>
      <c r="N15" s="376"/>
      <c r="O15" s="299"/>
      <c r="P15" s="299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</row>
    <row r="16" spans="1:43" x14ac:dyDescent="0.2">
      <c r="A16" s="8"/>
      <c r="B16" s="8" t="s">
        <v>961</v>
      </c>
      <c r="C16" s="13">
        <v>49245</v>
      </c>
      <c r="D16" s="13">
        <v>49245</v>
      </c>
      <c r="E16" s="13">
        <v>49245</v>
      </c>
      <c r="F16" s="251">
        <v>49245</v>
      </c>
      <c r="G16" s="251">
        <v>49245</v>
      </c>
      <c r="H16" s="55"/>
      <c r="I16" s="2"/>
      <c r="J16" s="2"/>
      <c r="K16" s="375"/>
      <c r="L16" s="299"/>
      <c r="M16" s="299"/>
      <c r="N16" s="376"/>
      <c r="O16" s="299"/>
      <c r="P16" s="299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</row>
    <row r="17" spans="1:43" hidden="1" x14ac:dyDescent="0.2">
      <c r="A17" s="8"/>
      <c r="B17" s="8" t="s">
        <v>956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55"/>
      <c r="I17" s="2"/>
      <c r="J17" s="2"/>
      <c r="K17" s="375"/>
      <c r="L17" s="299"/>
      <c r="M17" s="299"/>
      <c r="N17" s="376"/>
      <c r="O17" s="299"/>
      <c r="P17" s="299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</row>
    <row r="18" spans="1:43" hidden="1" x14ac:dyDescent="0.2">
      <c r="A18" s="8"/>
      <c r="B18" s="8" t="s">
        <v>957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55"/>
      <c r="I18" s="2"/>
      <c r="J18" s="2"/>
      <c r="K18" s="375"/>
      <c r="L18" s="299"/>
      <c r="M18" s="299"/>
      <c r="N18" s="376"/>
      <c r="O18" s="299"/>
      <c r="P18" s="299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</row>
    <row r="19" spans="1:43" hidden="1" x14ac:dyDescent="0.2">
      <c r="A19" s="8"/>
      <c r="B19" s="8" t="s">
        <v>958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55"/>
      <c r="I19" s="2"/>
      <c r="J19" s="2"/>
      <c r="K19" s="375"/>
      <c r="L19" s="299"/>
      <c r="M19" s="299"/>
      <c r="N19" s="376"/>
      <c r="O19" s="299"/>
      <c r="P19" s="299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</row>
    <row r="20" spans="1:43" hidden="1" x14ac:dyDescent="0.2">
      <c r="A20" s="8"/>
      <c r="B20" s="8" t="s">
        <v>959</v>
      </c>
      <c r="C20" s="13"/>
      <c r="D20" s="13"/>
      <c r="E20" s="13"/>
      <c r="F20" s="13"/>
      <c r="G20" s="13"/>
      <c r="H20" s="55"/>
      <c r="I20" s="2"/>
      <c r="J20" s="2"/>
      <c r="K20" s="375"/>
      <c r="L20" s="299"/>
      <c r="M20" s="299"/>
      <c r="N20" s="376"/>
      <c r="O20" s="299"/>
      <c r="P20" s="299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</row>
    <row r="21" spans="1:43" hidden="1" x14ac:dyDescent="0.2">
      <c r="A21" s="8"/>
      <c r="B21" s="8" t="s">
        <v>960</v>
      </c>
      <c r="C21" s="13"/>
      <c r="D21" s="13"/>
      <c r="E21" s="13"/>
      <c r="F21" s="13"/>
      <c r="G21" s="13"/>
      <c r="H21" s="55"/>
      <c r="I21" s="2"/>
      <c r="J21" s="2"/>
      <c r="K21" s="375"/>
      <c r="L21" s="299"/>
      <c r="M21" s="299"/>
      <c r="N21" s="376"/>
      <c r="O21" s="299"/>
      <c r="P21" s="299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</row>
    <row r="22" spans="1:43" x14ac:dyDescent="0.2">
      <c r="A22" s="8"/>
      <c r="B22" s="8" t="s">
        <v>298</v>
      </c>
      <c r="C22" s="6">
        <f>SUM(C24)+C23</f>
        <v>0</v>
      </c>
      <c r="D22" s="6">
        <f>SUM(D24)+D23</f>
        <v>0</v>
      </c>
      <c r="E22" s="6">
        <f>SUM(E24)+E23</f>
        <v>0</v>
      </c>
      <c r="F22" s="6">
        <f>SUM(F24)+F23</f>
        <v>0</v>
      </c>
      <c r="G22" s="6">
        <f>SUM(G24)+G23</f>
        <v>0</v>
      </c>
      <c r="H22" s="7"/>
      <c r="I22" s="2"/>
      <c r="J22" s="2"/>
      <c r="K22" s="375"/>
      <c r="L22" s="7"/>
      <c r="M22" s="7"/>
      <c r="N22" s="7"/>
      <c r="O22" s="7"/>
      <c r="P22" s="187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</row>
    <row r="23" spans="1:43" hidden="1" x14ac:dyDescent="0.2">
      <c r="A23" s="8"/>
      <c r="B23" s="19"/>
      <c r="C23" s="13"/>
      <c r="D23" s="13"/>
      <c r="E23" s="13"/>
      <c r="F23" s="13">
        <v>0</v>
      </c>
      <c r="G23" s="13">
        <v>0</v>
      </c>
      <c r="H23" s="7"/>
      <c r="I23" s="2"/>
      <c r="J23" s="2"/>
      <c r="K23" s="375"/>
      <c r="L23" s="7"/>
      <c r="M23" s="7"/>
      <c r="N23" s="7"/>
      <c r="O23" s="7"/>
      <c r="P23" s="187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</row>
    <row r="24" spans="1:43" hidden="1" x14ac:dyDescent="0.2">
      <c r="A24" s="8"/>
      <c r="B24" s="8"/>
      <c r="C24" s="13"/>
      <c r="D24" s="13"/>
      <c r="E24" s="13"/>
      <c r="F24" s="13">
        <v>0</v>
      </c>
      <c r="G24" s="13">
        <v>0</v>
      </c>
      <c r="H24" s="482"/>
      <c r="I24" s="2"/>
      <c r="J24" s="2"/>
      <c r="K24" s="375"/>
      <c r="L24" s="7"/>
      <c r="M24" s="7"/>
      <c r="N24" s="7"/>
      <c r="O24" s="7"/>
      <c r="P24" s="7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</row>
    <row r="25" spans="1:43" ht="17.25" customHeight="1" x14ac:dyDescent="0.25">
      <c r="A25" s="14" t="s">
        <v>169</v>
      </c>
      <c r="B25" s="22" t="s">
        <v>238</v>
      </c>
      <c r="C25" s="36">
        <f>SUM(C26:C30)</f>
        <v>72700</v>
      </c>
      <c r="D25" s="36">
        <f>SUM(D26:D30)</f>
        <v>98700</v>
      </c>
      <c r="E25" s="36">
        <f>SUM(E26:E30)</f>
        <v>98700</v>
      </c>
      <c r="F25" s="36">
        <f>SUM(F26:F30)</f>
        <v>72700</v>
      </c>
      <c r="G25" s="36">
        <f>SUM(G26:G30)</f>
        <v>72700</v>
      </c>
      <c r="H25" s="415"/>
      <c r="I25" s="2"/>
      <c r="J25" s="2"/>
      <c r="K25" s="375"/>
      <c r="L25" s="7"/>
      <c r="M25" s="7"/>
      <c r="N25" s="7"/>
      <c r="O25" s="7"/>
      <c r="P25" s="7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</row>
    <row r="26" spans="1:43" ht="13.5" customHeight="1" x14ac:dyDescent="0.2">
      <c r="A26" s="8" t="s">
        <v>170</v>
      </c>
      <c r="B26" s="19" t="s">
        <v>371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7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</row>
    <row r="27" spans="1:43" ht="13.5" customHeight="1" x14ac:dyDescent="0.2">
      <c r="A27" s="8" t="s">
        <v>171</v>
      </c>
      <c r="B27" s="19" t="s">
        <v>828</v>
      </c>
      <c r="C27" s="13">
        <f>300+70000</f>
        <v>70300</v>
      </c>
      <c r="D27" s="13">
        <f>300+70000+26000</f>
        <v>96300</v>
      </c>
      <c r="E27" s="13">
        <f>300+70000+26000</f>
        <v>96300</v>
      </c>
      <c r="F27" s="13">
        <f t="shared" ref="F27:G27" si="0">300+70000</f>
        <v>70300</v>
      </c>
      <c r="G27" s="13">
        <f t="shared" si="0"/>
        <v>70300</v>
      </c>
      <c r="H27" s="55"/>
      <c r="I27" s="27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</row>
    <row r="28" spans="1:43" ht="13.5" customHeight="1" x14ac:dyDescent="0.2">
      <c r="A28" s="8" t="s">
        <v>172</v>
      </c>
      <c r="B28" s="19" t="s">
        <v>945</v>
      </c>
      <c r="C28" s="11">
        <f>2400</f>
        <v>2400</v>
      </c>
      <c r="D28" s="11">
        <f>2400</f>
        <v>2400</v>
      </c>
      <c r="E28" s="11">
        <f>2400</f>
        <v>2400</v>
      </c>
      <c r="F28" s="11">
        <f>2400</f>
        <v>2400</v>
      </c>
      <c r="G28" s="11">
        <f>2400</f>
        <v>2400</v>
      </c>
      <c r="H28" s="7"/>
      <c r="I28" s="26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</row>
    <row r="29" spans="1:43" ht="13.5" customHeight="1" x14ac:dyDescent="0.2">
      <c r="A29" s="8" t="s">
        <v>173</v>
      </c>
      <c r="B29" s="19" t="s">
        <v>239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</row>
    <row r="30" spans="1:43" ht="13.5" customHeight="1" x14ac:dyDescent="0.2">
      <c r="A30" s="8" t="s">
        <v>174</v>
      </c>
      <c r="B30" s="19" t="s">
        <v>240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7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</row>
    <row r="31" spans="1:43" ht="18" customHeight="1" x14ac:dyDescent="0.25">
      <c r="A31" s="14" t="s">
        <v>181</v>
      </c>
      <c r="B31" s="22" t="s">
        <v>357</v>
      </c>
      <c r="C31" s="36">
        <f>C33+C34</f>
        <v>10300</v>
      </c>
      <c r="D31" s="36">
        <f>D33+D34</f>
        <v>20300</v>
      </c>
      <c r="E31" s="36">
        <f>E33+E34</f>
        <v>20300</v>
      </c>
      <c r="F31" s="36">
        <f>F33</f>
        <v>10300</v>
      </c>
      <c r="G31" s="36">
        <f>G33</f>
        <v>10300</v>
      </c>
      <c r="H31" s="415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</row>
    <row r="32" spans="1:43" ht="13.5" hidden="1" customHeight="1" x14ac:dyDescent="0.2">
      <c r="A32" s="8" t="s">
        <v>181</v>
      </c>
      <c r="B32" s="19" t="s">
        <v>363</v>
      </c>
      <c r="C32" s="47"/>
      <c r="D32" s="47"/>
      <c r="E32" s="47"/>
      <c r="F32" s="47"/>
      <c r="G32" s="47"/>
      <c r="H32" s="416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</row>
    <row r="33" spans="1:43" ht="13.5" customHeight="1" x14ac:dyDescent="0.2">
      <c r="A33" s="8" t="s">
        <v>442</v>
      </c>
      <c r="B33" s="19" t="s">
        <v>525</v>
      </c>
      <c r="C33" s="523">
        <v>10300</v>
      </c>
      <c r="D33" s="523">
        <v>10300</v>
      </c>
      <c r="E33" s="523">
        <v>10300</v>
      </c>
      <c r="F33" s="523">
        <v>10300</v>
      </c>
      <c r="G33" s="523">
        <v>10300</v>
      </c>
      <c r="H33" s="417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</row>
    <row r="34" spans="1:43" ht="13.5" customHeight="1" x14ac:dyDescent="0.2">
      <c r="A34" s="8" t="s">
        <v>442</v>
      </c>
      <c r="B34" s="19" t="s">
        <v>1101</v>
      </c>
      <c r="C34" s="162">
        <v>0</v>
      </c>
      <c r="D34" s="162">
        <v>10000</v>
      </c>
      <c r="E34" s="162">
        <v>10000</v>
      </c>
      <c r="F34" s="162"/>
      <c r="G34" s="162"/>
      <c r="H34" s="417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</row>
    <row r="35" spans="1:43" ht="20.25" customHeight="1" x14ac:dyDescent="0.25">
      <c r="A35" s="8"/>
      <c r="B35" s="167" t="s">
        <v>310</v>
      </c>
      <c r="C35" s="155">
        <f>SUM(C36+C40)</f>
        <v>1271073</v>
      </c>
      <c r="D35" s="155">
        <f>SUM(D36+D40)</f>
        <v>1271073</v>
      </c>
      <c r="E35" s="155">
        <f>SUM(E36+E40)</f>
        <v>1271073</v>
      </c>
      <c r="F35" s="155">
        <f>SUM(F36+F40)</f>
        <v>1271073</v>
      </c>
      <c r="G35" s="155">
        <f>SUM(G36+G40)</f>
        <v>1271073</v>
      </c>
      <c r="H35" s="419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</row>
    <row r="36" spans="1:43" ht="16.5" customHeight="1" x14ac:dyDescent="0.25">
      <c r="A36" s="8"/>
      <c r="B36" s="18" t="s">
        <v>242</v>
      </c>
      <c r="C36" s="186">
        <f>C37</f>
        <v>921073</v>
      </c>
      <c r="D36" s="186">
        <f>D37</f>
        <v>921073</v>
      </c>
      <c r="E36" s="186">
        <f>E37</f>
        <v>921073</v>
      </c>
      <c r="F36" s="186">
        <f>F37</f>
        <v>921073</v>
      </c>
      <c r="G36" s="186">
        <f>G37</f>
        <v>921073</v>
      </c>
      <c r="H36" s="478"/>
      <c r="I36" s="479"/>
      <c r="J36" s="2"/>
      <c r="K36" s="2"/>
      <c r="L36" s="2"/>
      <c r="M36" s="2"/>
      <c r="N36" s="160" t="s">
        <v>928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</row>
    <row r="37" spans="1:43" ht="13.5" customHeight="1" x14ac:dyDescent="0.2">
      <c r="A37" s="8"/>
      <c r="B37" s="29" t="s">
        <v>394</v>
      </c>
      <c r="C37" s="11">
        <f>692177+227589+1307</f>
        <v>921073</v>
      </c>
      <c r="D37" s="11">
        <f>692177+227589+1307</f>
        <v>921073</v>
      </c>
      <c r="E37" s="11">
        <f>692177+227589+1307</f>
        <v>921073</v>
      </c>
      <c r="F37" s="11">
        <f>692177+227589+1307</f>
        <v>921073</v>
      </c>
      <c r="G37" s="11">
        <f>692177+227589+1307</f>
        <v>921073</v>
      </c>
      <c r="H37" s="160"/>
      <c r="I37" s="160" t="s">
        <v>937</v>
      </c>
      <c r="J37" s="7"/>
      <c r="K37" s="2"/>
      <c r="L37" s="2"/>
      <c r="M37" s="2"/>
      <c r="N37" s="11">
        <f>(227589+275689+15433)</f>
        <v>518711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</row>
    <row r="38" spans="1:43" hidden="1" x14ac:dyDescent="0.2">
      <c r="A38" s="8"/>
      <c r="B38" s="29" t="s">
        <v>526</v>
      </c>
      <c r="C38" s="13">
        <f>(632574-19378-10058-5652)</f>
        <v>597486</v>
      </c>
      <c r="D38" s="13">
        <f>(632574-19378-10058-5652)</f>
        <v>597486</v>
      </c>
      <c r="E38" s="13">
        <f>(632574-19378-10058-5652)</f>
        <v>597486</v>
      </c>
      <c r="F38" s="13">
        <f>(632574-19378-10058-5652)</f>
        <v>597486</v>
      </c>
      <c r="G38" s="13">
        <f>(632574-19378-10058-5652)</f>
        <v>597486</v>
      </c>
      <c r="H38" s="160"/>
      <c r="I38" s="160"/>
      <c r="J38" s="7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</row>
    <row r="39" spans="1:43" hidden="1" x14ac:dyDescent="0.2">
      <c r="A39" s="8"/>
      <c r="B39" s="29" t="s">
        <v>527</v>
      </c>
      <c r="C39" s="13">
        <f>(226930-68956-3881-1049-246-686)</f>
        <v>152112</v>
      </c>
      <c r="D39" s="13">
        <f>(226930-68956-3881-1049-246-686)</f>
        <v>152112</v>
      </c>
      <c r="E39" s="13">
        <f>(226930-68956-3881-1049-246-686)</f>
        <v>152112</v>
      </c>
      <c r="F39" s="13">
        <f>(226930-68956-3881-1049-246-686)</f>
        <v>152112</v>
      </c>
      <c r="G39" s="13">
        <f>(226930-68956-3881-1049-246-686)</f>
        <v>152112</v>
      </c>
      <c r="H39" s="160"/>
      <c r="I39" s="160"/>
      <c r="J39" s="7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</row>
    <row r="40" spans="1:43" ht="16.5" customHeight="1" x14ac:dyDescent="0.25">
      <c r="A40" s="8"/>
      <c r="B40" s="18" t="s">
        <v>243</v>
      </c>
      <c r="C40" s="36">
        <f>SUM(C41:C41)</f>
        <v>350000</v>
      </c>
      <c r="D40" s="36">
        <f>SUM(D41:D41)</f>
        <v>350000</v>
      </c>
      <c r="E40" s="36">
        <f>SUM(E41:E41)</f>
        <v>350000</v>
      </c>
      <c r="F40" s="36">
        <f>SUM(F41:F41)</f>
        <v>350000</v>
      </c>
      <c r="G40" s="36">
        <f>SUM(G41:G41)</f>
        <v>350000</v>
      </c>
      <c r="H40" s="160"/>
      <c r="J40" s="7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</row>
    <row r="41" spans="1:43" ht="13.5" customHeight="1" thickBot="1" x14ac:dyDescent="0.25">
      <c r="A41" s="12"/>
      <c r="B41" s="8" t="s">
        <v>929</v>
      </c>
      <c r="C41" s="11">
        <f>185244+164756</f>
        <v>350000</v>
      </c>
      <c r="D41" s="11">
        <f>185244+164756</f>
        <v>350000</v>
      </c>
      <c r="E41" s="11">
        <f>185244+164756</f>
        <v>350000</v>
      </c>
      <c r="F41" s="11">
        <v>350000</v>
      </c>
      <c r="G41" s="11">
        <v>350000</v>
      </c>
      <c r="H41" s="160"/>
      <c r="I41" s="160"/>
      <c r="J41" s="7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</row>
    <row r="42" spans="1:43" ht="20.25" thickBot="1" x14ac:dyDescent="0.4">
      <c r="A42" s="212"/>
      <c r="B42" s="211" t="s">
        <v>344</v>
      </c>
      <c r="C42" s="222">
        <f>SUM(C8+C35)</f>
        <v>1421408</v>
      </c>
      <c r="D42" s="222">
        <f>SUM(D8+D35)</f>
        <v>1457559</v>
      </c>
      <c r="E42" s="222">
        <f>SUM(E8+E35)</f>
        <v>1457559</v>
      </c>
      <c r="F42" s="222">
        <f>SUM(F8+F35)</f>
        <v>1421408</v>
      </c>
      <c r="G42" s="222">
        <f>SUM(G8+G35)</f>
        <v>1421408</v>
      </c>
      <c r="H42" s="160"/>
      <c r="I42" s="160"/>
      <c r="J42" s="7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</row>
    <row r="43" spans="1:43" ht="15.75" x14ac:dyDescent="0.25">
      <c r="A43" s="143" t="s">
        <v>321</v>
      </c>
      <c r="B43" s="220" t="s">
        <v>311</v>
      </c>
      <c r="C43" s="169">
        <f>SUM(C44+C66+C87)</f>
        <v>1656967</v>
      </c>
      <c r="D43" s="169">
        <f>SUM(D44+D66+D87)</f>
        <v>1695428</v>
      </c>
      <c r="E43" s="169">
        <f>SUM(E44+E66+E87)</f>
        <v>1750547</v>
      </c>
      <c r="F43" s="169">
        <f>SUM(F44+F66+F87)</f>
        <v>1710053</v>
      </c>
      <c r="G43" s="169">
        <f>SUM(G44+G66+G87)</f>
        <v>1710053</v>
      </c>
      <c r="H43" s="160"/>
      <c r="I43" s="160"/>
      <c r="J43" s="7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</row>
    <row r="44" spans="1:43" ht="15.75" x14ac:dyDescent="0.25">
      <c r="A44" s="14" t="s">
        <v>241</v>
      </c>
      <c r="B44" s="22" t="s">
        <v>5</v>
      </c>
      <c r="C44" s="155">
        <f>SUM(C45+C63)</f>
        <v>225350</v>
      </c>
      <c r="D44" s="155">
        <f>SUM(D45+D63)</f>
        <v>248484</v>
      </c>
      <c r="E44" s="155">
        <f>SUM(E45+E63)</f>
        <v>272034</v>
      </c>
      <c r="F44" s="426">
        <f>SUM(F45+F63)</f>
        <v>228900</v>
      </c>
      <c r="G44" s="426">
        <f>SUM(G45+G63)</f>
        <v>228900</v>
      </c>
      <c r="H44" s="160"/>
      <c r="I44" s="160"/>
      <c r="J44" s="7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</row>
    <row r="45" spans="1:43" ht="14.25" x14ac:dyDescent="0.2">
      <c r="A45" s="14"/>
      <c r="B45" s="23" t="s">
        <v>312</v>
      </c>
      <c r="C45" s="144">
        <f>SUM(C46+C50+C62)</f>
        <v>222850</v>
      </c>
      <c r="D45" s="144">
        <f>SUM(D46+D50+D62)</f>
        <v>245634</v>
      </c>
      <c r="E45" s="144">
        <f>SUM(E46+E50+E62)</f>
        <v>269184</v>
      </c>
      <c r="F45" s="144">
        <f>SUM(F46+F50+F62)</f>
        <v>226400</v>
      </c>
      <c r="G45" s="144">
        <f>SUM(G46+G50+G62)</f>
        <v>226400</v>
      </c>
      <c r="H45" s="420"/>
      <c r="I45" s="480"/>
      <c r="J45" s="7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</row>
    <row r="46" spans="1:43" ht="14.25" x14ac:dyDescent="0.2">
      <c r="A46" s="14"/>
      <c r="B46" s="23" t="s">
        <v>316</v>
      </c>
      <c r="C46" s="144">
        <f>SUM(C47:C49)</f>
        <v>0</v>
      </c>
      <c r="D46" s="144">
        <f>SUM(D47:D49)</f>
        <v>0</v>
      </c>
      <c r="E46" s="144">
        <f>SUM(E47:E49)</f>
        <v>0</v>
      </c>
      <c r="F46" s="144">
        <f>SUM(F47:F49)</f>
        <v>0</v>
      </c>
      <c r="G46" s="144">
        <f>SUM(G47:G49)</f>
        <v>0</v>
      </c>
      <c r="H46" s="420"/>
      <c r="I46" s="7"/>
      <c r="J46" s="7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</row>
    <row r="47" spans="1:43" hidden="1" x14ac:dyDescent="0.2">
      <c r="A47" s="14"/>
      <c r="B47" s="8"/>
      <c r="C47" s="11"/>
      <c r="D47" s="11"/>
      <c r="E47" s="11"/>
      <c r="F47" s="11"/>
      <c r="G47" s="11"/>
      <c r="H47" s="55"/>
      <c r="I47" s="7"/>
      <c r="J47" s="7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</row>
    <row r="48" spans="1:43" hidden="1" x14ac:dyDescent="0.2">
      <c r="A48" s="14"/>
      <c r="B48" s="8"/>
      <c r="C48" s="11"/>
      <c r="D48" s="11"/>
      <c r="E48" s="11"/>
      <c r="F48" s="11"/>
      <c r="G48" s="11"/>
      <c r="H48" s="55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</row>
    <row r="49" spans="1:43" hidden="1" x14ac:dyDescent="0.2">
      <c r="A49" s="14"/>
      <c r="B49" s="8"/>
      <c r="C49" s="11"/>
      <c r="D49" s="11"/>
      <c r="E49" s="11"/>
      <c r="F49" s="11"/>
      <c r="G49" s="11"/>
      <c r="H49" s="55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</row>
    <row r="50" spans="1:43" x14ac:dyDescent="0.2">
      <c r="A50" s="14"/>
      <c r="B50" s="14" t="s">
        <v>315</v>
      </c>
      <c r="C50" s="5">
        <f>SUM(C51:C61)</f>
        <v>222850</v>
      </c>
      <c r="D50" s="5">
        <f>SUM(D51:D61)</f>
        <v>245634</v>
      </c>
      <c r="E50" s="5">
        <f>SUM(E51:E61)</f>
        <v>269184</v>
      </c>
      <c r="F50" s="5">
        <f>SUM(F51:F61)</f>
        <v>226400</v>
      </c>
      <c r="G50" s="5">
        <f>SUM(G51:G61)</f>
        <v>226400</v>
      </c>
      <c r="H50" s="418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</row>
    <row r="51" spans="1:43" x14ac:dyDescent="0.2">
      <c r="A51" s="14"/>
      <c r="B51" s="8" t="s">
        <v>920</v>
      </c>
      <c r="C51" s="13">
        <v>500</v>
      </c>
      <c r="D51" s="13">
        <v>500</v>
      </c>
      <c r="E51" s="13">
        <v>500</v>
      </c>
      <c r="F51" s="251">
        <v>500</v>
      </c>
      <c r="G51" s="251">
        <v>500</v>
      </c>
      <c r="H51" s="55"/>
      <c r="I51" s="7"/>
      <c r="J51" s="2"/>
      <c r="K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</row>
    <row r="52" spans="1:43" x14ac:dyDescent="0.2">
      <c r="A52" s="14"/>
      <c r="B52" s="8" t="s">
        <v>1098</v>
      </c>
      <c r="C52" s="13">
        <v>100000</v>
      </c>
      <c r="D52" s="13">
        <f>100000+25831</f>
        <v>125831</v>
      </c>
      <c r="E52" s="13">
        <f>100000+25831</f>
        <v>125831</v>
      </c>
      <c r="F52" s="251">
        <v>127000</v>
      </c>
      <c r="G52" s="251">
        <v>127000</v>
      </c>
      <c r="H52" s="55"/>
      <c r="I52" s="7"/>
      <c r="J52" s="2"/>
      <c r="K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</row>
    <row r="53" spans="1:43" x14ac:dyDescent="0.2">
      <c r="A53" s="14"/>
      <c r="B53" s="8" t="s">
        <v>1122</v>
      </c>
      <c r="C53" s="13">
        <v>6350</v>
      </c>
      <c r="D53" s="13">
        <f>6350-6350</f>
        <v>0</v>
      </c>
      <c r="E53" s="13">
        <f>6350-6350</f>
        <v>0</v>
      </c>
      <c r="F53" s="251">
        <v>88900</v>
      </c>
      <c r="G53" s="251">
        <v>88900</v>
      </c>
      <c r="H53" s="55"/>
      <c r="I53" s="7"/>
      <c r="J53" s="2"/>
      <c r="K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</row>
    <row r="54" spans="1:43" x14ac:dyDescent="0.2">
      <c r="A54" s="14"/>
      <c r="B54" s="8" t="s">
        <v>986</v>
      </c>
      <c r="C54" s="13">
        <v>14000</v>
      </c>
      <c r="D54" s="13">
        <v>14000</v>
      </c>
      <c r="E54" s="13">
        <v>14000</v>
      </c>
      <c r="F54" s="374">
        <v>10000</v>
      </c>
      <c r="G54" s="374">
        <v>10000</v>
      </c>
      <c r="H54" s="55"/>
      <c r="I54" s="7"/>
      <c r="J54" s="2"/>
      <c r="K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</row>
    <row r="55" spans="1:43" x14ac:dyDescent="0.2">
      <c r="A55" s="14"/>
      <c r="B55" s="8" t="s">
        <v>995</v>
      </c>
      <c r="C55" s="13">
        <f>62000+20000+20000</f>
        <v>102000</v>
      </c>
      <c r="D55" s="13">
        <f>62000+20000+20000</f>
        <v>102000</v>
      </c>
      <c r="E55" s="13">
        <f>62000+20000+20000</f>
        <v>102000</v>
      </c>
      <c r="F55" s="13"/>
      <c r="G55" s="13"/>
      <c r="H55" s="55"/>
      <c r="I55" s="7"/>
      <c r="J55" s="2"/>
      <c r="K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</row>
    <row r="56" spans="1:43" x14ac:dyDescent="0.2">
      <c r="A56" s="14"/>
      <c r="B56" s="19" t="s">
        <v>1086</v>
      </c>
      <c r="C56" s="13">
        <v>0</v>
      </c>
      <c r="D56" s="13">
        <v>2303</v>
      </c>
      <c r="E56" s="13">
        <v>2303</v>
      </c>
      <c r="F56" s="13"/>
      <c r="G56" s="13"/>
      <c r="H56" s="55"/>
      <c r="I56" s="7"/>
      <c r="J56" s="2"/>
      <c r="K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spans="1:43" x14ac:dyDescent="0.2">
      <c r="A57" s="14"/>
      <c r="B57" s="8" t="s">
        <v>1104</v>
      </c>
      <c r="C57" s="13">
        <v>0</v>
      </c>
      <c r="D57" s="13">
        <v>1000</v>
      </c>
      <c r="E57" s="13">
        <v>1000</v>
      </c>
      <c r="F57" s="13"/>
      <c r="G57" s="13"/>
      <c r="H57" s="55"/>
      <c r="I57" s="7"/>
      <c r="J57" s="2"/>
      <c r="K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spans="1:43" x14ac:dyDescent="0.2">
      <c r="A58" s="14"/>
      <c r="B58" s="8" t="s">
        <v>1171</v>
      </c>
      <c r="C58" s="13">
        <v>0</v>
      </c>
      <c r="D58" s="13">
        <v>0</v>
      </c>
      <c r="E58" s="13">
        <v>1260</v>
      </c>
      <c r="F58" s="13"/>
      <c r="G58" s="13"/>
      <c r="H58" s="55"/>
      <c r="I58" s="7"/>
      <c r="J58" s="2"/>
      <c r="K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spans="1:43" x14ac:dyDescent="0.2">
      <c r="A59" s="14"/>
      <c r="B59" s="8" t="s">
        <v>1177</v>
      </c>
      <c r="C59" s="13">
        <v>0</v>
      </c>
      <c r="D59" s="13">
        <v>0</v>
      </c>
      <c r="E59" s="13">
        <v>3653</v>
      </c>
      <c r="F59" s="13"/>
      <c r="G59" s="13"/>
      <c r="H59" s="55"/>
      <c r="I59" s="7"/>
      <c r="J59" s="2"/>
      <c r="K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spans="1:43" x14ac:dyDescent="0.2">
      <c r="A60" s="14"/>
      <c r="B60" s="19" t="s">
        <v>1206</v>
      </c>
      <c r="C60" s="13">
        <v>0</v>
      </c>
      <c r="D60" s="13">
        <v>0</v>
      </c>
      <c r="E60" s="13">
        <v>18637</v>
      </c>
      <c r="F60" s="13"/>
      <c r="G60" s="13"/>
      <c r="H60" s="55"/>
      <c r="I60" s="7"/>
      <c r="J60" s="2"/>
      <c r="K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spans="1:43" ht="7.5" customHeight="1" x14ac:dyDescent="0.2">
      <c r="A61" s="14"/>
      <c r="B61" s="8"/>
      <c r="C61" s="13"/>
      <c r="D61" s="13"/>
      <c r="E61" s="13"/>
      <c r="F61" s="13"/>
      <c r="G61" s="13"/>
      <c r="H61" s="55"/>
      <c r="I61" s="7"/>
      <c r="J61" s="2"/>
      <c r="K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spans="1:43" x14ac:dyDescent="0.2">
      <c r="A62" s="14"/>
      <c r="B62" s="14" t="s">
        <v>532</v>
      </c>
      <c r="C62" s="5">
        <v>0</v>
      </c>
      <c r="D62" s="5">
        <v>0</v>
      </c>
      <c r="E62" s="5">
        <v>0</v>
      </c>
      <c r="F62" s="5"/>
      <c r="G62" s="5"/>
      <c r="H62" s="55"/>
      <c r="I62" s="2"/>
      <c r="J62" s="2"/>
      <c r="K62" s="2"/>
      <c r="L62" s="2"/>
      <c r="M62" s="2"/>
      <c r="N62" s="2"/>
      <c r="O62" s="2"/>
      <c r="P62" s="2"/>
      <c r="Q62" s="7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1:43" ht="13.5" customHeight="1" x14ac:dyDescent="0.2">
      <c r="A63" s="14"/>
      <c r="B63" s="14" t="s">
        <v>352</v>
      </c>
      <c r="C63" s="5">
        <f>SUM(C64)</f>
        <v>2500</v>
      </c>
      <c r="D63" s="5">
        <f>SUM(D64)</f>
        <v>2850</v>
      </c>
      <c r="E63" s="5">
        <f>SUM(E64)</f>
        <v>2850</v>
      </c>
      <c r="F63" s="5">
        <f>SUM(F64)</f>
        <v>2500</v>
      </c>
      <c r="G63" s="5">
        <f>SUM(G64)</f>
        <v>2500</v>
      </c>
      <c r="H63" s="55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spans="1:43" ht="13.5" customHeight="1" x14ac:dyDescent="0.2">
      <c r="A64" s="14"/>
      <c r="B64" s="8" t="s">
        <v>534</v>
      </c>
      <c r="C64" s="13">
        <v>2500</v>
      </c>
      <c r="D64" s="13">
        <f>2500+350</f>
        <v>2850</v>
      </c>
      <c r="E64" s="13">
        <f>2500+350</f>
        <v>2850</v>
      </c>
      <c r="F64" s="251">
        <v>2500</v>
      </c>
      <c r="G64" s="251">
        <v>2500</v>
      </c>
      <c r="H64" s="55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spans="1:43" hidden="1" x14ac:dyDescent="0.2">
      <c r="A65" s="14"/>
      <c r="B65" s="8"/>
      <c r="C65" s="13"/>
      <c r="D65" s="13"/>
      <c r="E65" s="13"/>
      <c r="F65" s="13"/>
      <c r="G65" s="13"/>
      <c r="H65" s="55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spans="1:43" ht="18" customHeight="1" x14ac:dyDescent="0.25">
      <c r="A66" s="14" t="s">
        <v>324</v>
      </c>
      <c r="B66" s="22" t="s">
        <v>1</v>
      </c>
      <c r="C66" s="155">
        <f>SUM(C67+C70)</f>
        <v>821982</v>
      </c>
      <c r="D66" s="155">
        <f>SUM(D67+D70)</f>
        <v>836629</v>
      </c>
      <c r="E66" s="155">
        <f>SUM(E67+E70)</f>
        <v>628048</v>
      </c>
      <c r="F66" s="155">
        <f>SUM(F67+F70)</f>
        <v>873545</v>
      </c>
      <c r="G66" s="155">
        <f>SUM(G67+G70)</f>
        <v>873545</v>
      </c>
      <c r="H66" s="55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 ht="13.5" customHeight="1" x14ac:dyDescent="0.2">
      <c r="A67" s="14"/>
      <c r="B67" s="14" t="s">
        <v>2</v>
      </c>
      <c r="C67" s="144">
        <f>SUM(C68:C69)</f>
        <v>243832</v>
      </c>
      <c r="D67" s="144">
        <f>SUM(D68:D69)</f>
        <v>243832</v>
      </c>
      <c r="E67" s="144">
        <f>SUM(E68:E69)</f>
        <v>20914</v>
      </c>
      <c r="F67" s="144">
        <f>SUM(F68:F69)</f>
        <v>220907</v>
      </c>
      <c r="G67" s="144">
        <f>SUM(G68:G69)</f>
        <v>220907</v>
      </c>
      <c r="H67" s="55"/>
      <c r="I67" s="2"/>
      <c r="J67" s="2"/>
      <c r="K67" s="7"/>
      <c r="L67" s="7"/>
      <c r="M67" s="7"/>
      <c r="N67" s="7"/>
      <c r="O67" s="416" t="s">
        <v>931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spans="1:43" ht="13.5" customHeight="1" x14ac:dyDescent="0.2">
      <c r="A68" s="14"/>
      <c r="B68" s="8" t="s">
        <v>852</v>
      </c>
      <c r="C68" s="11">
        <f>220907+22925</f>
        <v>243832</v>
      </c>
      <c r="D68" s="11">
        <f>220907+22925</f>
        <v>243832</v>
      </c>
      <c r="E68" s="11">
        <f>220907+22925-222918</f>
        <v>20914</v>
      </c>
      <c r="F68" s="11"/>
      <c r="G68" s="11"/>
      <c r="H68" s="55"/>
      <c r="I68" s="607" t="s">
        <v>930</v>
      </c>
      <c r="J68" s="2"/>
      <c r="K68" s="7"/>
      <c r="L68" s="7"/>
      <c r="M68" s="7"/>
      <c r="N68" s="7"/>
      <c r="O68" s="7">
        <f>C68*0.27</f>
        <v>65834.64</v>
      </c>
      <c r="P68" s="7">
        <f>C68+O68</f>
        <v>309666.64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spans="1:43" ht="7.5" customHeight="1" x14ac:dyDescent="0.2">
      <c r="A69" s="14"/>
      <c r="B69" s="8"/>
      <c r="C69" s="11"/>
      <c r="D69" s="11"/>
      <c r="E69" s="11"/>
      <c r="F69" s="400">
        <v>220907</v>
      </c>
      <c r="G69" s="400">
        <v>220907</v>
      </c>
      <c r="H69" s="55"/>
      <c r="J69" s="2"/>
      <c r="K69" s="7"/>
      <c r="L69" s="7"/>
      <c r="M69" s="7"/>
      <c r="N69" s="7"/>
      <c r="O69" s="7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spans="1:43" ht="13.5" customHeight="1" x14ac:dyDescent="0.2">
      <c r="A70" s="14"/>
      <c r="B70" s="14" t="s">
        <v>313</v>
      </c>
      <c r="C70" s="144">
        <f>SUM(C71:C86)</f>
        <v>578150</v>
      </c>
      <c r="D70" s="144">
        <f>SUM(D71:D86)</f>
        <v>592797</v>
      </c>
      <c r="E70" s="144">
        <f>SUM(E71:E86)</f>
        <v>607134</v>
      </c>
      <c r="F70" s="144">
        <f>SUM(F71:F86)</f>
        <v>652638</v>
      </c>
      <c r="G70" s="144">
        <f>SUM(G71:G86)</f>
        <v>652638</v>
      </c>
      <c r="H70" s="55"/>
      <c r="I70" s="7"/>
      <c r="J70" s="2"/>
      <c r="K70" s="7"/>
      <c r="L70" s="7"/>
      <c r="M70" s="7"/>
      <c r="N70" s="7"/>
      <c r="O70" s="7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spans="1:43" ht="13.5" customHeight="1" x14ac:dyDescent="0.2">
      <c r="A71" s="14"/>
      <c r="B71" s="8" t="s">
        <v>789</v>
      </c>
      <c r="C71" s="11">
        <v>146397</v>
      </c>
      <c r="D71" s="11">
        <v>146397</v>
      </c>
      <c r="E71" s="11">
        <v>146397</v>
      </c>
      <c r="F71" s="400">
        <v>146397</v>
      </c>
      <c r="G71" s="400">
        <v>146397</v>
      </c>
      <c r="H71" s="55"/>
      <c r="I71" s="7"/>
      <c r="J71" s="2"/>
      <c r="K71" s="7"/>
      <c r="L71" s="7"/>
      <c r="M71" s="7"/>
      <c r="N71" s="7"/>
      <c r="O71" s="7">
        <f>C71*0.27</f>
        <v>39527.19</v>
      </c>
      <c r="P71" s="7">
        <f>C71+O71</f>
        <v>185924.19</v>
      </c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spans="1:43" ht="13.5" customHeight="1" x14ac:dyDescent="0.2">
      <c r="A72" s="14"/>
      <c r="B72" s="661" t="s">
        <v>1096</v>
      </c>
      <c r="C72" s="11">
        <v>209894</v>
      </c>
      <c r="D72" s="11">
        <f>209894+2870</f>
        <v>212764</v>
      </c>
      <c r="E72" s="11">
        <f>209894+2870</f>
        <v>212764</v>
      </c>
      <c r="F72" s="400">
        <v>209894</v>
      </c>
      <c r="G72" s="400">
        <v>209894</v>
      </c>
      <c r="H72" s="55"/>
      <c r="I72" s="7"/>
      <c r="J72" s="2"/>
      <c r="K72" s="7"/>
      <c r="L72" s="7"/>
      <c r="M72" s="7"/>
      <c r="N72" s="7"/>
      <c r="O72" s="7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spans="1:43" ht="13.5" customHeight="1" x14ac:dyDescent="0.2">
      <c r="A73" s="14"/>
      <c r="B73" s="662"/>
      <c r="C73" s="11">
        <v>164756</v>
      </c>
      <c r="D73" s="11">
        <v>164756</v>
      </c>
      <c r="E73" s="11">
        <v>164756</v>
      </c>
      <c r="F73" s="400">
        <v>164756</v>
      </c>
      <c r="G73" s="400">
        <v>164756</v>
      </c>
      <c r="H73" s="55"/>
      <c r="I73" s="7">
        <f>D72+D73</f>
        <v>377520</v>
      </c>
      <c r="J73" s="2">
        <f>297259120*1.27</f>
        <v>377519082.39999998</v>
      </c>
      <c r="K73" s="7"/>
      <c r="L73" s="7"/>
      <c r="M73" s="7"/>
      <c r="N73" s="7"/>
      <c r="O73" s="7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spans="1:43" ht="12.75" hidden="1" customHeight="1" x14ac:dyDescent="0.2">
      <c r="A74" s="14"/>
      <c r="B74" s="8" t="s">
        <v>932</v>
      </c>
      <c r="C74" s="13"/>
      <c r="D74" s="13"/>
      <c r="E74" s="13"/>
      <c r="F74" s="251">
        <f t="shared" ref="F74:G74" si="1">81523</f>
        <v>81523</v>
      </c>
      <c r="G74" s="251">
        <f t="shared" si="1"/>
        <v>81523</v>
      </c>
      <c r="H74" s="55"/>
      <c r="I74" s="7"/>
      <c r="J74" s="2"/>
      <c r="K74" s="7"/>
      <c r="L74" s="7"/>
      <c r="M74" s="7"/>
      <c r="N74" s="7"/>
      <c r="O74" s="7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spans="1:43" ht="13.5" customHeight="1" x14ac:dyDescent="0.2">
      <c r="A75" s="14"/>
      <c r="B75" s="8" t="s">
        <v>951</v>
      </c>
      <c r="C75" s="13">
        <v>50068</v>
      </c>
      <c r="D75" s="13">
        <v>50068</v>
      </c>
      <c r="E75" s="13">
        <f>50068+368</f>
        <v>50436</v>
      </c>
      <c r="F75" s="251">
        <v>50068</v>
      </c>
      <c r="G75" s="251">
        <v>50068</v>
      </c>
      <c r="H75" s="55"/>
      <c r="I75" s="7"/>
      <c r="J75" s="2">
        <f>377520-374650</f>
        <v>2870</v>
      </c>
      <c r="K75" s="7"/>
      <c r="L75" s="7"/>
      <c r="M75" s="7"/>
      <c r="N75" s="7"/>
      <c r="O75" s="7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spans="1:43" ht="13.5" customHeight="1" x14ac:dyDescent="0.2">
      <c r="A76" s="14"/>
      <c r="B76" s="8" t="s">
        <v>1002</v>
      </c>
      <c r="C76" s="13">
        <v>4500</v>
      </c>
      <c r="D76" s="13">
        <f>4500+1777</f>
        <v>6277</v>
      </c>
      <c r="E76" s="13">
        <f>4500+1777</f>
        <v>6277</v>
      </c>
      <c r="F76" s="13"/>
      <c r="G76" s="13"/>
      <c r="H76" s="55"/>
      <c r="I76" s="7"/>
      <c r="J76" s="2"/>
      <c r="K76" s="7"/>
      <c r="L76" s="7"/>
      <c r="M76" s="7"/>
      <c r="N76" s="7"/>
      <c r="O76" s="7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spans="1:43" ht="13.5" customHeight="1" x14ac:dyDescent="0.2">
      <c r="A77" s="14"/>
      <c r="B77" s="8" t="s">
        <v>1018</v>
      </c>
      <c r="C77" s="11">
        <v>2535</v>
      </c>
      <c r="D77" s="11">
        <v>2535</v>
      </c>
      <c r="E77" s="11">
        <v>2535</v>
      </c>
      <c r="F77" s="11"/>
      <c r="G77" s="11"/>
      <c r="H77" s="55"/>
      <c r="I77" s="7"/>
      <c r="J77" s="2"/>
      <c r="K77" s="7"/>
      <c r="L77" s="7"/>
      <c r="M77" s="7"/>
      <c r="N77" s="7"/>
      <c r="O77" s="7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spans="1:43" ht="13.5" customHeight="1" x14ac:dyDescent="0.2">
      <c r="A78" s="14"/>
      <c r="B78" s="8" t="s">
        <v>1102</v>
      </c>
      <c r="C78" s="11">
        <v>0</v>
      </c>
      <c r="D78" s="11">
        <v>10000</v>
      </c>
      <c r="E78" s="11">
        <v>10000</v>
      </c>
      <c r="F78" s="11"/>
      <c r="G78" s="11"/>
      <c r="H78" s="55"/>
      <c r="I78" s="7"/>
      <c r="J78" s="2"/>
      <c r="K78" s="7"/>
      <c r="L78" s="7"/>
      <c r="M78" s="7"/>
      <c r="N78" s="7"/>
      <c r="O78" s="7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spans="1:43" ht="13.5" customHeight="1" x14ac:dyDescent="0.2">
      <c r="A79" s="14"/>
      <c r="B79" s="8" t="s">
        <v>1153</v>
      </c>
      <c r="C79" s="11">
        <v>0</v>
      </c>
      <c r="D79" s="11">
        <v>0</v>
      </c>
      <c r="E79" s="11">
        <v>4890</v>
      </c>
      <c r="F79" s="11"/>
      <c r="G79" s="11"/>
      <c r="H79" s="55"/>
      <c r="I79" s="7"/>
      <c r="J79" s="2"/>
      <c r="K79" s="7"/>
      <c r="L79" s="7"/>
      <c r="M79" s="7"/>
      <c r="N79" s="7"/>
      <c r="O79" s="7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 ht="13.5" customHeight="1" x14ac:dyDescent="0.2">
      <c r="A80" s="14"/>
      <c r="B80" s="8" t="s">
        <v>1174</v>
      </c>
      <c r="C80" s="11">
        <v>0</v>
      </c>
      <c r="D80" s="11">
        <v>0</v>
      </c>
      <c r="E80" s="11">
        <v>9079</v>
      </c>
      <c r="F80" s="11"/>
      <c r="G80" s="11"/>
      <c r="H80" s="55"/>
      <c r="I80" s="7"/>
      <c r="J80" s="2"/>
      <c r="K80" s="7"/>
      <c r="L80" s="7"/>
      <c r="M80" s="7"/>
      <c r="N80" s="7"/>
      <c r="O80" s="7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spans="1:43" ht="13.5" hidden="1" customHeight="1" x14ac:dyDescent="0.2">
      <c r="A81" s="14"/>
      <c r="B81" s="8"/>
      <c r="C81" s="11"/>
      <c r="D81" s="11"/>
      <c r="E81" s="11"/>
      <c r="F81" s="11"/>
      <c r="G81" s="11"/>
      <c r="H81" s="55"/>
      <c r="I81" s="7"/>
      <c r="J81" s="2"/>
      <c r="K81" s="7"/>
      <c r="L81" s="7"/>
      <c r="M81" s="7"/>
      <c r="N81" s="7"/>
      <c r="O81" s="7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 ht="13.5" hidden="1" customHeight="1" x14ac:dyDescent="0.2">
      <c r="A82" s="14"/>
      <c r="B82" s="8"/>
      <c r="C82" s="11"/>
      <c r="D82" s="11"/>
      <c r="E82" s="11"/>
      <c r="F82" s="11"/>
      <c r="G82" s="11"/>
      <c r="H82" s="55"/>
      <c r="I82" s="7"/>
      <c r="J82" s="2"/>
      <c r="K82" s="7"/>
      <c r="L82" s="7"/>
      <c r="M82" s="7"/>
      <c r="N82" s="7"/>
      <c r="O82" s="7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spans="1:43" ht="13.5" hidden="1" customHeight="1" x14ac:dyDescent="0.2">
      <c r="A83" s="14"/>
      <c r="B83" s="8"/>
      <c r="C83" s="11"/>
      <c r="D83" s="11"/>
      <c r="E83" s="11"/>
      <c r="F83" s="11"/>
      <c r="G83" s="11"/>
      <c r="H83" s="55"/>
      <c r="I83" s="7"/>
      <c r="J83" s="7"/>
      <c r="K83" s="7"/>
      <c r="L83" s="7"/>
      <c r="M83" s="7"/>
      <c r="N83" s="7"/>
      <c r="O83" s="7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spans="1:43" ht="13.5" hidden="1" customHeight="1" x14ac:dyDescent="0.2">
      <c r="A84" s="14"/>
      <c r="B84" s="8"/>
      <c r="C84" s="11"/>
      <c r="D84" s="11"/>
      <c r="E84" s="11"/>
      <c r="F84" s="11"/>
      <c r="G84" s="11"/>
      <c r="H84" s="55"/>
      <c r="I84" s="7"/>
      <c r="J84" s="2"/>
      <c r="K84" s="7"/>
      <c r="L84" s="7"/>
      <c r="M84" s="7"/>
      <c r="N84" s="7"/>
      <c r="O84" s="7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spans="1:43" ht="13.5" hidden="1" customHeight="1" x14ac:dyDescent="0.2">
      <c r="A85" s="14"/>
      <c r="B85" s="8"/>
      <c r="C85" s="11"/>
      <c r="D85" s="11"/>
      <c r="E85" s="11"/>
      <c r="F85" s="11"/>
      <c r="G85" s="11"/>
      <c r="H85" s="55"/>
      <c r="I85" s="7"/>
      <c r="J85" s="2"/>
      <c r="K85" s="7"/>
      <c r="L85" s="7"/>
      <c r="M85" s="7"/>
      <c r="N85" s="7"/>
      <c r="O85" s="7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spans="1:43" ht="7.5" customHeight="1" x14ac:dyDescent="0.2">
      <c r="A86" s="14"/>
      <c r="B86" s="8"/>
      <c r="C86" s="11"/>
      <c r="D86" s="11"/>
      <c r="E86" s="11"/>
      <c r="F86" s="11"/>
      <c r="G86" s="11"/>
      <c r="H86" s="55"/>
      <c r="I86" s="7"/>
      <c r="J86" s="2"/>
      <c r="K86" s="7"/>
      <c r="L86" s="7"/>
      <c r="M86" s="7"/>
      <c r="N86" s="7"/>
      <c r="O86" s="7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spans="1:43" ht="15" x14ac:dyDescent="0.25">
      <c r="A87" s="14" t="s">
        <v>323</v>
      </c>
      <c r="B87" s="22" t="s">
        <v>12</v>
      </c>
      <c r="C87" s="40">
        <f>SUM(C88:C92)</f>
        <v>609635</v>
      </c>
      <c r="D87" s="40">
        <f>SUM(D88:D92)</f>
        <v>610315</v>
      </c>
      <c r="E87" s="40">
        <f>SUM(E88:E92)</f>
        <v>850465</v>
      </c>
      <c r="F87" s="427">
        <f>SUM(F88:F92)</f>
        <v>607608</v>
      </c>
      <c r="G87" s="427">
        <f>SUM(G88:G92)</f>
        <v>607608</v>
      </c>
      <c r="H87" s="55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spans="1:43" ht="13.5" customHeight="1" x14ac:dyDescent="0.2">
      <c r="A88" s="8" t="s">
        <v>696</v>
      </c>
      <c r="B88" s="19" t="s">
        <v>1158</v>
      </c>
      <c r="C88" s="13">
        <v>0</v>
      </c>
      <c r="D88" s="13">
        <v>680</v>
      </c>
      <c r="E88" s="13">
        <v>680</v>
      </c>
      <c r="F88" s="13">
        <v>0</v>
      </c>
      <c r="G88" s="13">
        <v>0</v>
      </c>
      <c r="H88" s="55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spans="1:43" ht="13.5" customHeight="1" x14ac:dyDescent="0.2">
      <c r="A89" s="8" t="s">
        <v>696</v>
      </c>
      <c r="B89" s="19" t="s">
        <v>1175</v>
      </c>
      <c r="C89" s="13">
        <v>0</v>
      </c>
      <c r="D89" s="13">
        <v>0</v>
      </c>
      <c r="E89" s="13">
        <v>222918</v>
      </c>
      <c r="F89" s="13"/>
      <c r="G89" s="13"/>
      <c r="H89" s="55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spans="1:43" ht="13.5" customHeight="1" x14ac:dyDescent="0.2">
      <c r="A90" s="8" t="s">
        <v>696</v>
      </c>
      <c r="B90" s="19" t="s">
        <v>1176</v>
      </c>
      <c r="C90" s="13">
        <v>0</v>
      </c>
      <c r="D90" s="13">
        <v>0</v>
      </c>
      <c r="E90" s="13">
        <v>626867</v>
      </c>
      <c r="F90" s="13"/>
      <c r="G90" s="13"/>
      <c r="H90" s="55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spans="1:43" ht="13.5" customHeight="1" x14ac:dyDescent="0.2">
      <c r="A91" s="8" t="s">
        <v>705</v>
      </c>
      <c r="B91" s="19" t="s">
        <v>726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55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spans="1:43" x14ac:dyDescent="0.2">
      <c r="A92" s="14"/>
      <c r="B92" s="8" t="s">
        <v>1005</v>
      </c>
      <c r="C92" s="13">
        <f>609635</f>
        <v>609635</v>
      </c>
      <c r="D92" s="13">
        <f>609635</f>
        <v>609635</v>
      </c>
      <c r="E92" s="13">
        <f>609635-609635</f>
        <v>0</v>
      </c>
      <c r="F92" s="251">
        <f>607608</f>
        <v>607608</v>
      </c>
      <c r="G92" s="251">
        <f>607608</f>
        <v>607608</v>
      </c>
      <c r="H92" s="529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spans="1:43" hidden="1" x14ac:dyDescent="0.2">
      <c r="A93" s="14"/>
      <c r="B93" s="8" t="s">
        <v>643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55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spans="1:43" ht="15.75" x14ac:dyDescent="0.2">
      <c r="A94" s="14" t="s">
        <v>197</v>
      </c>
      <c r="B94" s="182" t="s">
        <v>314</v>
      </c>
      <c r="C94" s="402">
        <f>SUM(C95+C98+C99)</f>
        <v>85788</v>
      </c>
      <c r="D94" s="402">
        <f>SUM(D95+D98+D99)</f>
        <v>85788</v>
      </c>
      <c r="E94" s="402">
        <f>SUM(E95+E98+E99)</f>
        <v>85788</v>
      </c>
      <c r="F94" s="402">
        <f>SUM(F95+F98+F99)</f>
        <v>85788</v>
      </c>
      <c r="G94" s="402">
        <f>SUM(G95+G98+G99)</f>
        <v>85788</v>
      </c>
      <c r="H94" s="421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spans="1:43" ht="15" customHeight="1" x14ac:dyDescent="0.2">
      <c r="A95" s="14"/>
      <c r="B95" s="184" t="s">
        <v>347</v>
      </c>
      <c r="C95" s="403">
        <f>SUM(C97)</f>
        <v>85788</v>
      </c>
      <c r="D95" s="403">
        <f>SUM(D97)</f>
        <v>85788</v>
      </c>
      <c r="E95" s="403">
        <f>SUM(E97)</f>
        <v>85788</v>
      </c>
      <c r="F95" s="403">
        <f>SUM(F97)</f>
        <v>85788</v>
      </c>
      <c r="G95" s="403">
        <f>SUM(G97)</f>
        <v>85788</v>
      </c>
      <c r="H95" s="42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spans="1:43" ht="13.5" hidden="1" customHeight="1" x14ac:dyDescent="0.2">
      <c r="A96" s="14"/>
      <c r="B96" s="219" t="s">
        <v>348</v>
      </c>
      <c r="C96" s="183"/>
      <c r="D96" s="183"/>
      <c r="E96" s="183"/>
      <c r="F96" s="183"/>
      <c r="G96" s="183"/>
      <c r="H96" s="42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spans="1:43" ht="13.5" customHeight="1" x14ac:dyDescent="0.2">
      <c r="A97" s="14"/>
      <c r="B97" s="219" t="s">
        <v>721</v>
      </c>
      <c r="C97" s="81">
        <v>85788</v>
      </c>
      <c r="D97" s="81">
        <v>85788</v>
      </c>
      <c r="E97" s="81">
        <v>85788</v>
      </c>
      <c r="F97" s="604">
        <v>85788</v>
      </c>
      <c r="G97" s="604">
        <v>85788</v>
      </c>
      <c r="H97" s="421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spans="1:43" ht="15" customHeight="1" x14ac:dyDescent="0.2">
      <c r="A98" s="14"/>
      <c r="B98" s="184" t="s">
        <v>349</v>
      </c>
      <c r="C98" s="183">
        <v>0</v>
      </c>
      <c r="D98" s="183">
        <v>0</v>
      </c>
      <c r="E98" s="183">
        <v>0</v>
      </c>
      <c r="F98" s="183">
        <v>0</v>
      </c>
      <c r="G98" s="183">
        <v>0</v>
      </c>
      <c r="H98" s="42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spans="1:43" ht="15" customHeight="1" thickBot="1" x14ac:dyDescent="0.25">
      <c r="A99" s="21"/>
      <c r="B99" s="181" t="s">
        <v>350</v>
      </c>
      <c r="C99" s="170">
        <v>0</v>
      </c>
      <c r="D99" s="170">
        <v>0</v>
      </c>
      <c r="E99" s="170">
        <v>0</v>
      </c>
      <c r="F99" s="170">
        <v>0</v>
      </c>
      <c r="G99" s="170">
        <v>0</v>
      </c>
      <c r="H99" s="42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spans="1:43" ht="24" customHeight="1" thickBot="1" x14ac:dyDescent="0.4">
      <c r="A100" s="212"/>
      <c r="B100" s="245" t="s">
        <v>346</v>
      </c>
      <c r="C100" s="222">
        <f>SUM(C43+C94)</f>
        <v>1742755</v>
      </c>
      <c r="D100" s="222">
        <f>SUM(D43+D94)</f>
        <v>1781216</v>
      </c>
      <c r="E100" s="222">
        <f>SUM(E43+E94)</f>
        <v>1836335</v>
      </c>
      <c r="F100" s="222">
        <f>SUM(F43+F94)</f>
        <v>1795841</v>
      </c>
      <c r="G100" s="222">
        <f>SUM(G43+G94)</f>
        <v>1795841</v>
      </c>
      <c r="H100" s="454"/>
      <c r="I100" s="7">
        <f>C100-C42</f>
        <v>321347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spans="1:43" ht="15.75" hidden="1" customHeight="1" x14ac:dyDescent="0.2">
      <c r="B101" s="2"/>
      <c r="C101" s="7">
        <f>SUM(C42-C100)</f>
        <v>-321347</v>
      </c>
      <c r="D101" s="7">
        <f>SUM(D42-D100)</f>
        <v>-323657</v>
      </c>
      <c r="E101" s="7">
        <f>SUM(E42-E100)</f>
        <v>-378776</v>
      </c>
      <c r="F101" s="7">
        <f>SUM(F42-F100)</f>
        <v>-374433</v>
      </c>
      <c r="G101" s="7">
        <f>SUM(G42-G100)</f>
        <v>-374433</v>
      </c>
      <c r="H101" s="7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spans="1:43" s="165" customFormat="1" ht="13.5" hidden="1" customHeight="1" x14ac:dyDescent="0.2">
      <c r="A102" s="88"/>
      <c r="B102" s="165" t="s">
        <v>304</v>
      </c>
      <c r="C102" s="35">
        <f>SUM(C42-C100)</f>
        <v>-321347</v>
      </c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</row>
    <row r="103" spans="1:43" s="165" customFormat="1" ht="13.5" hidden="1" customHeight="1" x14ac:dyDescent="0.2">
      <c r="A103" s="88"/>
      <c r="B103" s="254" t="s">
        <v>719</v>
      </c>
      <c r="C103" s="35" t="e">
        <f>-SUM('8.Önk.'!#REF!)</f>
        <v>#REF!</v>
      </c>
      <c r="D103" s="35"/>
      <c r="E103" s="35"/>
      <c r="F103" s="35"/>
      <c r="G103" s="35"/>
      <c r="H103" s="35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</row>
    <row r="104" spans="1:43" s="165" customFormat="1" ht="13.5" hidden="1" customHeight="1" x14ac:dyDescent="0.2">
      <c r="A104" s="88"/>
      <c r="B104" s="165" t="s">
        <v>720</v>
      </c>
      <c r="C104" s="35">
        <f>-SUM('8.Önk.'!R147)</f>
        <v>-106133</v>
      </c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</row>
    <row r="105" spans="1:43" s="165" customFormat="1" ht="13.5" customHeight="1" x14ac:dyDescent="0.2">
      <c r="A105" s="88"/>
      <c r="C105" s="164"/>
      <c r="D105" s="164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</row>
    <row r="106" spans="1:43" s="165" customFormat="1" ht="13.5" customHeight="1" x14ac:dyDescent="0.2">
      <c r="A106" s="88"/>
      <c r="C106" s="164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</row>
    <row r="107" spans="1:43" s="165" customFormat="1" ht="13.5" customHeight="1" x14ac:dyDescent="0.2">
      <c r="A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</row>
    <row r="108" spans="1:43" s="165" customFormat="1" ht="13.5" customHeight="1" x14ac:dyDescent="0.2">
      <c r="A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</row>
    <row r="109" spans="1:43" s="165" customFormat="1" ht="13.5" customHeight="1" x14ac:dyDescent="0.2">
      <c r="A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</row>
    <row r="110" spans="1:43" s="165" customFormat="1" ht="13.5" customHeight="1" x14ac:dyDescent="0.2">
      <c r="A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</row>
    <row r="111" spans="1:43" s="165" customFormat="1" ht="13.5" customHeight="1" x14ac:dyDescent="0.2">
      <c r="A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</row>
    <row r="112" spans="1:43" s="165" customFormat="1" ht="13.5" customHeight="1" x14ac:dyDescent="0.2">
      <c r="A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</row>
    <row r="113" spans="1:43" s="165" customFormat="1" ht="13.5" customHeight="1" x14ac:dyDescent="0.2">
      <c r="A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88"/>
      <c r="AO113" s="88"/>
      <c r="AP113" s="88"/>
      <c r="AQ113" s="88"/>
    </row>
    <row r="114" spans="1:43" s="165" customFormat="1" ht="13.5" customHeight="1" x14ac:dyDescent="0.2">
      <c r="A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</row>
    <row r="115" spans="1:43" s="165" customFormat="1" ht="13.5" customHeight="1" x14ac:dyDescent="0.2">
      <c r="A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</row>
    <row r="116" spans="1:43" s="165" customFormat="1" ht="13.5" customHeight="1" x14ac:dyDescent="0.2">
      <c r="A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  <c r="AA116" s="88"/>
      <c r="AB116" s="88"/>
      <c r="AC116" s="88"/>
      <c r="AD116" s="88"/>
      <c r="AE116" s="88"/>
      <c r="AF116" s="88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</row>
    <row r="117" spans="1:43" s="165" customFormat="1" ht="13.5" customHeight="1" x14ac:dyDescent="0.2">
      <c r="A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</row>
    <row r="118" spans="1:43" ht="15.75" customHeight="1" x14ac:dyDescent="0.2">
      <c r="B118" s="2"/>
      <c r="C118" s="187"/>
      <c r="D118" s="187"/>
      <c r="E118" s="187"/>
      <c r="F118" s="187"/>
      <c r="G118" s="187"/>
      <c r="H118" s="187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</row>
    <row r="119" spans="1:43" ht="15.75" customHeight="1" x14ac:dyDescent="0.2">
      <c r="B119" s="2"/>
      <c r="C119" s="7"/>
      <c r="D119" s="7"/>
      <c r="E119" s="7"/>
      <c r="F119" s="7"/>
      <c r="G119" s="7"/>
      <c r="H119" s="7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</row>
    <row r="120" spans="1:43" ht="15.75" customHeight="1" x14ac:dyDescent="0.2">
      <c r="B120" s="2"/>
      <c r="C120" s="7"/>
      <c r="D120" s="7"/>
      <c r="E120" s="7"/>
      <c r="F120" s="7"/>
      <c r="G120" s="7"/>
      <c r="H120" s="7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</row>
    <row r="121" spans="1:43" ht="15.75" customHeight="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</row>
    <row r="122" spans="1:43" ht="15.75" customHeight="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</row>
    <row r="123" spans="1:43" ht="15.75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</row>
    <row r="124" spans="1:43" ht="15.75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</row>
    <row r="125" spans="1:43" ht="15.7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</row>
    <row r="126" spans="1:43" ht="15.7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</row>
    <row r="127" spans="1:43" ht="15.75" customHeight="1" x14ac:dyDescent="0.2">
      <c r="A12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</row>
    <row r="128" spans="1:43" ht="15.75" customHeight="1" x14ac:dyDescent="0.2">
      <c r="A128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</row>
    <row r="129" spans="1:43" ht="15.75" customHeight="1" x14ac:dyDescent="0.2">
      <c r="A129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</row>
    <row r="130" spans="1:43" ht="15.75" customHeight="1" x14ac:dyDescent="0.2">
      <c r="A13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</row>
    <row r="131" spans="1:43" ht="15.75" customHeight="1" x14ac:dyDescent="0.2">
      <c r="A13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</row>
    <row r="132" spans="1:43" ht="15.75" customHeight="1" x14ac:dyDescent="0.2">
      <c r="A13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</row>
    <row r="133" spans="1:43" ht="15.75" customHeight="1" x14ac:dyDescent="0.2">
      <c r="A13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</row>
    <row r="134" spans="1:43" ht="15.75" customHeight="1" x14ac:dyDescent="0.2">
      <c r="A134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</row>
    <row r="135" spans="1:43" ht="15.75" customHeight="1" x14ac:dyDescent="0.2">
      <c r="A13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spans="1:43" ht="15.75" customHeight="1" x14ac:dyDescent="0.2">
      <c r="A136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</row>
    <row r="137" spans="1:43" ht="15.75" customHeight="1" x14ac:dyDescent="0.2">
      <c r="A13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</row>
    <row r="138" spans="1:43" ht="15.75" customHeight="1" x14ac:dyDescent="0.2">
      <c r="A138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</row>
    <row r="139" spans="1:43" ht="15.75" customHeight="1" x14ac:dyDescent="0.2">
      <c r="A139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</row>
    <row r="140" spans="1:43" ht="15.75" customHeight="1" x14ac:dyDescent="0.2">
      <c r="A14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</row>
    <row r="141" spans="1:43" ht="15.75" customHeight="1" x14ac:dyDescent="0.2">
      <c r="A14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ht="15.75" customHeight="1" x14ac:dyDescent="0.2">
      <c r="A14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</row>
    <row r="143" spans="1:43" ht="15.75" customHeight="1" x14ac:dyDescent="0.2">
      <c r="A14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</row>
    <row r="144" spans="1:43" ht="15.75" customHeight="1" x14ac:dyDescent="0.2">
      <c r="A144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</row>
    <row r="145" spans="1:43" ht="15.75" customHeight="1" x14ac:dyDescent="0.2">
      <c r="A14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</row>
    <row r="146" spans="1:43" ht="15.75" customHeight="1" x14ac:dyDescent="0.2">
      <c r="A146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</row>
    <row r="147" spans="1:43" ht="15.75" customHeight="1" x14ac:dyDescent="0.2">
      <c r="A14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</row>
    <row r="148" spans="1:43" ht="15.75" customHeight="1" x14ac:dyDescent="0.2">
      <c r="A148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</row>
    <row r="149" spans="1:43" ht="15.75" customHeight="1" x14ac:dyDescent="0.2">
      <c r="A149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</row>
    <row r="150" spans="1:43" ht="15.75" customHeight="1" x14ac:dyDescent="0.2">
      <c r="A15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</row>
    <row r="151" spans="1:43" ht="15.75" customHeight="1" x14ac:dyDescent="0.2">
      <c r="A15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</row>
    <row r="152" spans="1:43" ht="15.75" customHeight="1" x14ac:dyDescent="0.2">
      <c r="A15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</row>
    <row r="153" spans="1:43" ht="15.75" customHeight="1" x14ac:dyDescent="0.2">
      <c r="A15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</row>
    <row r="154" spans="1:43" ht="15.75" customHeight="1" x14ac:dyDescent="0.2">
      <c r="A154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</row>
    <row r="155" spans="1:43" ht="15.75" customHeight="1" x14ac:dyDescent="0.2">
      <c r="A15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</row>
    <row r="156" spans="1:43" ht="15.75" customHeight="1" x14ac:dyDescent="0.2">
      <c r="A156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</row>
    <row r="157" spans="1:43" ht="15.75" customHeight="1" x14ac:dyDescent="0.2">
      <c r="A157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</row>
    <row r="158" spans="1:43" ht="15.75" customHeight="1" x14ac:dyDescent="0.2">
      <c r="A158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</row>
    <row r="159" spans="1:43" ht="15.75" customHeight="1" x14ac:dyDescent="0.2">
      <c r="A159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</row>
    <row r="160" spans="1:43" ht="15.75" customHeight="1" x14ac:dyDescent="0.2">
      <c r="A16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</row>
    <row r="161" spans="1:43" ht="15.75" customHeight="1" x14ac:dyDescent="0.2">
      <c r="A16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</row>
    <row r="162" spans="1:43" ht="15.75" customHeight="1" x14ac:dyDescent="0.2">
      <c r="A162"/>
      <c r="B162" s="2"/>
      <c r="C162" s="27"/>
      <c r="D162" s="27"/>
      <c r="E162" s="27"/>
      <c r="F162" s="27"/>
      <c r="G162" s="27"/>
      <c r="H162" s="27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</row>
    <row r="163" spans="1:43" ht="15.75" customHeight="1" x14ac:dyDescent="0.2">
      <c r="A163"/>
      <c r="B163" s="2"/>
      <c r="C163" s="27"/>
      <c r="D163" s="27"/>
      <c r="E163" s="27"/>
      <c r="F163" s="27"/>
      <c r="G163" s="27"/>
      <c r="H163" s="27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</row>
    <row r="164" spans="1:43" ht="15.75" customHeight="1" x14ac:dyDescent="0.2">
      <c r="A164"/>
      <c r="B164" s="2"/>
      <c r="C164" s="27"/>
      <c r="D164" s="27"/>
      <c r="E164" s="27"/>
      <c r="F164" s="27"/>
      <c r="G164" s="27"/>
      <c r="H164" s="27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</row>
    <row r="165" spans="1:43" ht="15.75" customHeight="1" x14ac:dyDescent="0.2">
      <c r="A165"/>
      <c r="B165" s="2"/>
      <c r="C165" s="27"/>
      <c r="D165" s="27"/>
      <c r="E165" s="27"/>
      <c r="F165" s="27"/>
      <c r="G165" s="27"/>
      <c r="H165" s="27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</row>
    <row r="166" spans="1:43" ht="15.75" customHeight="1" x14ac:dyDescent="0.2">
      <c r="A166"/>
      <c r="B166" s="2"/>
      <c r="C166" s="27"/>
      <c r="D166" s="27"/>
      <c r="E166" s="27"/>
      <c r="F166" s="27"/>
      <c r="G166" s="27"/>
      <c r="H166" s="27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</row>
    <row r="167" spans="1:43" ht="15.75" customHeight="1" x14ac:dyDescent="0.2">
      <c r="A167"/>
      <c r="B167" s="2"/>
      <c r="C167" s="27"/>
      <c r="D167" s="27"/>
      <c r="E167" s="27"/>
      <c r="F167" s="27"/>
      <c r="G167" s="27"/>
      <c r="H167" s="27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</row>
    <row r="168" spans="1:43" ht="15.75" customHeight="1" x14ac:dyDescent="0.2">
      <c r="A168"/>
      <c r="B168" s="2"/>
      <c r="C168" s="27"/>
      <c r="D168" s="27"/>
      <c r="E168" s="27"/>
      <c r="F168" s="27"/>
      <c r="G168" s="27"/>
      <c r="H168" s="27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</row>
    <row r="169" spans="1:43" ht="15.75" customHeight="1" x14ac:dyDescent="0.2">
      <c r="A169"/>
      <c r="B169" s="2"/>
      <c r="C169" s="27"/>
      <c r="D169" s="27"/>
      <c r="E169" s="27"/>
      <c r="F169" s="27"/>
      <c r="G169" s="27"/>
      <c r="H169" s="27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</row>
    <row r="170" spans="1:43" ht="15.75" customHeight="1" x14ac:dyDescent="0.2">
      <c r="A170"/>
      <c r="B170" s="2"/>
      <c r="C170" s="27"/>
      <c r="D170" s="27"/>
      <c r="E170" s="27"/>
      <c r="F170" s="27"/>
      <c r="G170" s="27"/>
      <c r="H170" s="27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</row>
    <row r="171" spans="1:43" ht="15.75" customHeight="1" x14ac:dyDescent="0.2">
      <c r="A171"/>
      <c r="B171" s="2"/>
      <c r="C171" s="27"/>
      <c r="D171" s="27"/>
      <c r="E171" s="27"/>
      <c r="F171" s="27"/>
      <c r="G171" s="27"/>
      <c r="H171" s="27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</row>
    <row r="172" spans="1:43" ht="15.75" customHeight="1" x14ac:dyDescent="0.2">
      <c r="A172"/>
      <c r="B172" s="2"/>
      <c r="C172" s="27"/>
      <c r="D172" s="27"/>
      <c r="E172" s="27"/>
      <c r="F172" s="27"/>
      <c r="G172" s="27"/>
      <c r="H172" s="27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</row>
    <row r="173" spans="1:43" ht="15.75" customHeight="1" x14ac:dyDescent="0.2">
      <c r="A173"/>
      <c r="B173" s="2"/>
      <c r="C173" s="27"/>
      <c r="D173" s="27"/>
      <c r="E173" s="27"/>
      <c r="F173" s="27"/>
      <c r="G173" s="27"/>
      <c r="H173" s="27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</row>
    <row r="174" spans="1:43" ht="15.75" customHeight="1" x14ac:dyDescent="0.2">
      <c r="A174"/>
      <c r="B174" s="2"/>
      <c r="C174" s="27"/>
      <c r="D174" s="27"/>
      <c r="E174" s="27"/>
      <c r="F174" s="27"/>
      <c r="G174" s="27"/>
      <c r="H174" s="27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</row>
    <row r="175" spans="1:43" ht="15.75" customHeight="1" x14ac:dyDescent="0.2">
      <c r="A175"/>
      <c r="B175" s="2"/>
      <c r="C175" s="27"/>
      <c r="D175" s="27"/>
      <c r="E175" s="27"/>
      <c r="F175" s="27"/>
      <c r="G175" s="27"/>
      <c r="H175" s="27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</row>
    <row r="176" spans="1:43" ht="15.75" customHeight="1" x14ac:dyDescent="0.2">
      <c r="A176"/>
      <c r="B176" s="2"/>
      <c r="C176" s="27"/>
      <c r="D176" s="27"/>
      <c r="E176" s="27"/>
      <c r="F176" s="27"/>
      <c r="G176" s="27"/>
      <c r="H176" s="27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</row>
    <row r="177" spans="1:43" ht="15.75" customHeight="1" x14ac:dyDescent="0.2">
      <c r="A177"/>
      <c r="B177" s="2"/>
      <c r="C177" s="27"/>
      <c r="D177" s="27"/>
      <c r="E177" s="27"/>
      <c r="F177" s="27"/>
      <c r="G177" s="27"/>
      <c r="H177" s="27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</row>
    <row r="178" spans="1:43" ht="15.75" customHeight="1" x14ac:dyDescent="0.2">
      <c r="A178"/>
      <c r="B178" s="2"/>
      <c r="C178" s="27"/>
      <c r="D178" s="27"/>
      <c r="E178" s="27"/>
      <c r="F178" s="27"/>
      <c r="G178" s="27"/>
      <c r="H178" s="27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</row>
    <row r="179" spans="1:43" ht="15.75" customHeight="1" x14ac:dyDescent="0.2">
      <c r="A179"/>
      <c r="B179" s="2"/>
      <c r="C179" s="27"/>
      <c r="D179" s="27"/>
      <c r="E179" s="27"/>
      <c r="F179" s="27"/>
      <c r="G179" s="27"/>
      <c r="H179" s="27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</row>
    <row r="180" spans="1:43" ht="15.75" customHeight="1" x14ac:dyDescent="0.2">
      <c r="A180"/>
      <c r="B180" s="2"/>
      <c r="C180" s="27"/>
      <c r="D180" s="27"/>
      <c r="E180" s="27"/>
      <c r="F180" s="27"/>
      <c r="G180" s="27"/>
      <c r="H180" s="27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</row>
    <row r="181" spans="1:43" ht="15.75" customHeight="1" x14ac:dyDescent="0.2">
      <c r="A181"/>
      <c r="B181" s="2"/>
      <c r="C181" s="27"/>
      <c r="D181" s="27"/>
      <c r="E181" s="27"/>
      <c r="F181" s="27"/>
      <c r="G181" s="27"/>
      <c r="H181" s="27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</row>
    <row r="182" spans="1:43" ht="15.75" customHeight="1" x14ac:dyDescent="0.2">
      <c r="A182"/>
      <c r="B182" s="2"/>
      <c r="C182" s="27"/>
      <c r="D182" s="27"/>
      <c r="E182" s="27"/>
      <c r="F182" s="27"/>
      <c r="G182" s="27"/>
      <c r="H182" s="2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</row>
    <row r="183" spans="1:43" ht="15.75" customHeight="1" x14ac:dyDescent="0.2">
      <c r="A183"/>
      <c r="B183" s="2"/>
      <c r="C183" s="27"/>
      <c r="D183" s="27"/>
      <c r="E183" s="27"/>
      <c r="F183" s="27"/>
      <c r="G183" s="27"/>
      <c r="H183" s="27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</row>
    <row r="184" spans="1:43" ht="15.75" customHeight="1" x14ac:dyDescent="0.2">
      <c r="A184"/>
      <c r="B184" s="2"/>
      <c r="C184" s="27"/>
      <c r="D184" s="27"/>
      <c r="E184" s="27"/>
      <c r="F184" s="27"/>
      <c r="G184" s="27"/>
      <c r="H184" s="2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</row>
    <row r="185" spans="1:43" ht="15.75" customHeight="1" x14ac:dyDescent="0.2">
      <c r="A185"/>
      <c r="B185" s="2"/>
      <c r="C185" s="27"/>
      <c r="D185" s="27"/>
      <c r="E185" s="27"/>
      <c r="F185" s="27"/>
      <c r="G185" s="27"/>
      <c r="H185" s="27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</row>
    <row r="186" spans="1:43" ht="15.75" customHeight="1" x14ac:dyDescent="0.2">
      <c r="A186"/>
      <c r="B186" s="2"/>
      <c r="C186" s="27"/>
      <c r="D186" s="27"/>
      <c r="E186" s="27"/>
      <c r="F186" s="27"/>
      <c r="G186" s="27"/>
      <c r="H186" s="27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</row>
    <row r="187" spans="1:43" ht="15.75" customHeight="1" x14ac:dyDescent="0.2">
      <c r="A187"/>
      <c r="B187" s="2"/>
      <c r="C187" s="27"/>
      <c r="D187" s="27"/>
      <c r="E187" s="27"/>
      <c r="F187" s="27"/>
      <c r="G187" s="27"/>
      <c r="H187" s="27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</row>
    <row r="188" spans="1:43" ht="15.75" customHeight="1" x14ac:dyDescent="0.2">
      <c r="A188"/>
      <c r="B188" s="2"/>
      <c r="C188" s="27"/>
      <c r="D188" s="27"/>
      <c r="E188" s="27"/>
      <c r="F188" s="27"/>
      <c r="G188" s="27"/>
      <c r="H188" s="27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</row>
    <row r="189" spans="1:43" ht="15.75" customHeight="1" x14ac:dyDescent="0.2">
      <c r="A189"/>
      <c r="B189" s="2"/>
      <c r="C189" s="27"/>
      <c r="D189" s="27"/>
      <c r="E189" s="27"/>
      <c r="F189" s="27"/>
      <c r="G189" s="27"/>
      <c r="H189" s="27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</row>
    <row r="190" spans="1:43" ht="15.75" customHeight="1" x14ac:dyDescent="0.2">
      <c r="A190"/>
      <c r="B190" s="2"/>
      <c r="C190" s="27"/>
      <c r="D190" s="27"/>
      <c r="E190" s="27"/>
      <c r="F190" s="27"/>
      <c r="G190" s="27"/>
      <c r="H190" s="27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</row>
    <row r="191" spans="1:43" ht="15.75" customHeight="1" x14ac:dyDescent="0.2">
      <c r="A191"/>
      <c r="B191" s="2"/>
      <c r="C191" s="27"/>
      <c r="D191" s="27"/>
      <c r="E191" s="27"/>
      <c r="F191" s="27"/>
      <c r="G191" s="27"/>
      <c r="H191" s="27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</row>
    <row r="192" spans="1:43" ht="15.75" customHeight="1" x14ac:dyDescent="0.2">
      <c r="A192"/>
      <c r="B192" s="2"/>
      <c r="C192" s="27"/>
      <c r="D192" s="27"/>
      <c r="E192" s="27"/>
      <c r="F192" s="27"/>
      <c r="G192" s="27"/>
      <c r="H192" s="27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</row>
    <row r="193" spans="1:43" ht="15.75" customHeight="1" x14ac:dyDescent="0.2">
      <c r="A193"/>
      <c r="B193" s="2"/>
      <c r="C193" s="27"/>
      <c r="D193" s="27"/>
      <c r="E193" s="27"/>
      <c r="F193" s="27"/>
      <c r="G193" s="27"/>
      <c r="H193" s="27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</row>
    <row r="194" spans="1:43" ht="15.75" customHeight="1" x14ac:dyDescent="0.2">
      <c r="A194"/>
      <c r="B194" s="2"/>
      <c r="C194" s="27"/>
      <c r="D194" s="27"/>
      <c r="E194" s="27"/>
      <c r="F194" s="27"/>
      <c r="G194" s="27"/>
      <c r="H194" s="27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</row>
    <row r="195" spans="1:43" ht="15.75" customHeight="1" x14ac:dyDescent="0.2">
      <c r="A195"/>
      <c r="B195" s="2"/>
      <c r="C195" s="27"/>
      <c r="D195" s="27"/>
      <c r="E195" s="27"/>
      <c r="F195" s="27"/>
      <c r="G195" s="27"/>
      <c r="H195" s="27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</row>
    <row r="196" spans="1:43" ht="15.75" customHeight="1" x14ac:dyDescent="0.2">
      <c r="A196"/>
      <c r="B196" s="2"/>
      <c r="C196" s="27"/>
      <c r="D196" s="27"/>
      <c r="E196" s="27"/>
      <c r="F196" s="27"/>
      <c r="G196" s="27"/>
      <c r="H196" s="27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</row>
    <row r="197" spans="1:43" ht="15.75" customHeight="1" x14ac:dyDescent="0.2">
      <c r="A197"/>
      <c r="B197" s="2"/>
      <c r="C197" s="27"/>
      <c r="D197" s="27"/>
      <c r="E197" s="27"/>
      <c r="F197" s="27"/>
      <c r="G197" s="27"/>
      <c r="H197" s="27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</row>
    <row r="198" spans="1:43" ht="15.75" customHeight="1" x14ac:dyDescent="0.2">
      <c r="A198"/>
      <c r="B198" s="2"/>
      <c r="C198" s="27"/>
      <c r="D198" s="27"/>
      <c r="E198" s="27"/>
      <c r="F198" s="27"/>
      <c r="G198" s="27"/>
      <c r="H198" s="27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</row>
    <row r="199" spans="1:43" ht="15.75" customHeight="1" x14ac:dyDescent="0.2">
      <c r="A199"/>
      <c r="B199" s="2"/>
      <c r="C199" s="27"/>
      <c r="D199" s="27"/>
      <c r="E199" s="27"/>
      <c r="F199" s="27"/>
      <c r="G199" s="27"/>
      <c r="H199" s="27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</row>
    <row r="200" spans="1:43" ht="15.75" customHeight="1" x14ac:dyDescent="0.2">
      <c r="A200"/>
      <c r="B200" s="2"/>
      <c r="C200" s="27"/>
      <c r="D200" s="27"/>
      <c r="E200" s="27"/>
      <c r="F200" s="27"/>
      <c r="G200" s="27"/>
      <c r="H200" s="27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</row>
    <row r="201" spans="1:43" ht="15.75" customHeight="1" x14ac:dyDescent="0.2">
      <c r="A201"/>
      <c r="B201" s="2"/>
      <c r="C201" s="27"/>
      <c r="D201" s="27"/>
      <c r="E201" s="27"/>
      <c r="F201" s="27"/>
      <c r="G201" s="27"/>
      <c r="H201" s="27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</row>
    <row r="202" spans="1:43" ht="15.75" customHeight="1" x14ac:dyDescent="0.2">
      <c r="A202"/>
      <c r="B202" s="2"/>
      <c r="C202" s="27"/>
      <c r="D202" s="27"/>
      <c r="E202" s="27"/>
      <c r="F202" s="27"/>
      <c r="G202" s="27"/>
      <c r="H202" s="27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</row>
    <row r="203" spans="1:43" ht="15.75" customHeight="1" x14ac:dyDescent="0.2">
      <c r="A203"/>
      <c r="B203" s="2"/>
      <c r="C203" s="27"/>
      <c r="D203" s="27"/>
      <c r="E203" s="27"/>
      <c r="F203" s="27"/>
      <c r="G203" s="27"/>
      <c r="H203" s="27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</row>
    <row r="204" spans="1:43" ht="15.75" customHeight="1" x14ac:dyDescent="0.2">
      <c r="A204"/>
      <c r="B204" s="2"/>
      <c r="C204" s="27"/>
      <c r="D204" s="27"/>
      <c r="E204" s="27"/>
      <c r="F204" s="27"/>
      <c r="G204" s="27"/>
      <c r="H204" s="27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</row>
    <row r="205" spans="1:43" ht="15.75" customHeight="1" x14ac:dyDescent="0.2">
      <c r="A205"/>
      <c r="B205" s="2"/>
      <c r="C205" s="27"/>
      <c r="D205" s="27"/>
      <c r="E205" s="27"/>
      <c r="F205" s="27"/>
      <c r="G205" s="27"/>
      <c r="H205" s="27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</row>
    <row r="206" spans="1:43" ht="15.75" customHeight="1" x14ac:dyDescent="0.2">
      <c r="A206"/>
      <c r="B206" s="2"/>
      <c r="C206" s="27"/>
      <c r="D206" s="27"/>
      <c r="E206" s="27"/>
      <c r="F206" s="27"/>
      <c r="G206" s="27"/>
      <c r="H206" s="27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</row>
    <row r="207" spans="1:43" ht="15.75" customHeight="1" x14ac:dyDescent="0.2">
      <c r="A207"/>
      <c r="B207" s="2"/>
      <c r="C207" s="27"/>
      <c r="D207" s="27"/>
      <c r="E207" s="27"/>
      <c r="F207" s="27"/>
      <c r="G207" s="27"/>
      <c r="H207" s="27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</row>
    <row r="208" spans="1:43" ht="15.75" customHeight="1" x14ac:dyDescent="0.2">
      <c r="A208"/>
      <c r="B208" s="2"/>
      <c r="C208" s="27"/>
      <c r="D208" s="27"/>
      <c r="E208" s="27"/>
      <c r="F208" s="27"/>
      <c r="G208" s="27"/>
      <c r="H208" s="27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</row>
    <row r="209" spans="1:43" ht="15.75" customHeight="1" x14ac:dyDescent="0.2">
      <c r="A209"/>
      <c r="B209" s="2"/>
      <c r="C209" s="27"/>
      <c r="D209" s="27"/>
      <c r="E209" s="27"/>
      <c r="F209" s="27"/>
      <c r="G209" s="27"/>
      <c r="H209" s="27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</row>
    <row r="210" spans="1:43" ht="15.75" customHeight="1" x14ac:dyDescent="0.2">
      <c r="A210"/>
      <c r="B210" s="2"/>
      <c r="C210" s="27"/>
      <c r="D210" s="27"/>
      <c r="E210" s="27"/>
      <c r="F210" s="27"/>
      <c r="G210" s="27"/>
      <c r="H210" s="27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</row>
    <row r="211" spans="1:43" ht="15.75" customHeight="1" x14ac:dyDescent="0.2">
      <c r="A211"/>
      <c r="B211" s="2"/>
      <c r="C211" s="27"/>
      <c r="D211" s="27"/>
      <c r="E211" s="27"/>
      <c r="F211" s="27"/>
      <c r="G211" s="27"/>
      <c r="H211" s="27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</row>
    <row r="212" spans="1:43" ht="15.75" customHeight="1" x14ac:dyDescent="0.2">
      <c r="A212"/>
      <c r="B212" s="2"/>
      <c r="C212" s="27"/>
      <c r="D212" s="27"/>
      <c r="E212" s="27"/>
      <c r="F212" s="27"/>
      <c r="G212" s="27"/>
      <c r="H212" s="27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</row>
    <row r="213" spans="1:43" ht="15.75" customHeight="1" x14ac:dyDescent="0.2">
      <c r="A213"/>
      <c r="B213" s="2"/>
      <c r="C213" s="27"/>
      <c r="D213" s="27"/>
      <c r="E213" s="27"/>
      <c r="F213" s="27"/>
      <c r="G213" s="27"/>
      <c r="H213" s="27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</row>
    <row r="214" spans="1:43" ht="15.75" customHeight="1" x14ac:dyDescent="0.2">
      <c r="A214"/>
      <c r="B214" s="2"/>
      <c r="C214" s="27"/>
      <c r="D214" s="27"/>
      <c r="E214" s="27"/>
      <c r="F214" s="27"/>
      <c r="G214" s="27"/>
      <c r="H214" s="27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</row>
    <row r="215" spans="1:43" ht="15.75" customHeight="1" x14ac:dyDescent="0.2">
      <c r="A215"/>
      <c r="B215" s="2"/>
      <c r="C215" s="27"/>
      <c r="D215" s="27"/>
      <c r="E215" s="27"/>
      <c r="F215" s="27"/>
      <c r="G215" s="27"/>
      <c r="H215" s="27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</row>
    <row r="216" spans="1:43" ht="15.75" customHeight="1" x14ac:dyDescent="0.2">
      <c r="A216"/>
      <c r="B216" s="2"/>
      <c r="C216" s="27"/>
      <c r="D216" s="27"/>
      <c r="E216" s="27"/>
      <c r="F216" s="27"/>
      <c r="G216" s="27"/>
      <c r="H216" s="27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</row>
    <row r="217" spans="1:43" ht="15.75" customHeight="1" x14ac:dyDescent="0.2">
      <c r="A217"/>
      <c r="B217" s="2"/>
      <c r="C217" s="27"/>
      <c r="D217" s="27"/>
      <c r="E217" s="27"/>
      <c r="F217" s="27"/>
      <c r="G217" s="27"/>
      <c r="H217" s="27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</row>
    <row r="218" spans="1:43" ht="15.75" customHeight="1" x14ac:dyDescent="0.2">
      <c r="A218"/>
      <c r="B218" s="2"/>
      <c r="C218" s="27"/>
      <c r="D218" s="27"/>
      <c r="E218" s="27"/>
      <c r="F218" s="27"/>
      <c r="G218" s="27"/>
      <c r="H218" s="27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</row>
    <row r="219" spans="1:43" ht="15.75" customHeight="1" x14ac:dyDescent="0.2">
      <c r="A219"/>
      <c r="B219" s="2"/>
      <c r="C219" s="27"/>
      <c r="D219" s="27"/>
      <c r="E219" s="27"/>
      <c r="F219" s="27"/>
      <c r="G219" s="27"/>
      <c r="H219" s="27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</row>
    <row r="220" spans="1:43" ht="15.75" customHeight="1" x14ac:dyDescent="0.2">
      <c r="A220"/>
      <c r="B220" s="2"/>
      <c r="C220" s="27"/>
      <c r="D220" s="27"/>
      <c r="E220" s="27"/>
      <c r="F220" s="27"/>
      <c r="G220" s="27"/>
      <c r="H220" s="27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</row>
    <row r="221" spans="1:43" ht="15.75" customHeight="1" x14ac:dyDescent="0.2">
      <c r="A221"/>
      <c r="B221" s="2"/>
      <c r="C221" s="27"/>
      <c r="D221" s="27"/>
      <c r="E221" s="27"/>
      <c r="F221" s="27"/>
      <c r="G221" s="27"/>
      <c r="H221" s="27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</row>
    <row r="222" spans="1:43" ht="15.75" customHeight="1" x14ac:dyDescent="0.2">
      <c r="A222"/>
      <c r="B222" s="2"/>
      <c r="C222" s="27"/>
      <c r="D222" s="27"/>
      <c r="E222" s="27"/>
      <c r="F222" s="27"/>
      <c r="G222" s="27"/>
      <c r="H222" s="27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</row>
    <row r="223" spans="1:43" ht="15.75" customHeight="1" x14ac:dyDescent="0.2">
      <c r="A223"/>
      <c r="B223" s="2"/>
      <c r="C223" s="27"/>
      <c r="D223" s="27"/>
      <c r="E223" s="27"/>
      <c r="F223" s="27"/>
      <c r="G223" s="27"/>
      <c r="H223" s="27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</row>
    <row r="224" spans="1:43" ht="15.75" customHeight="1" x14ac:dyDescent="0.2">
      <c r="A224"/>
      <c r="B224" s="2"/>
      <c r="C224" s="27"/>
      <c r="D224" s="27"/>
      <c r="E224" s="27"/>
      <c r="F224" s="27"/>
      <c r="G224" s="27"/>
      <c r="H224" s="27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</row>
    <row r="225" spans="1:43" ht="15.75" customHeight="1" x14ac:dyDescent="0.2">
      <c r="A225"/>
      <c r="B225" s="2"/>
      <c r="C225" s="27"/>
      <c r="D225" s="27"/>
      <c r="E225" s="27"/>
      <c r="F225" s="27"/>
      <c r="G225" s="27"/>
      <c r="H225" s="27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</row>
    <row r="226" spans="1:43" ht="15.75" customHeight="1" x14ac:dyDescent="0.2">
      <c r="A226"/>
      <c r="B226" s="2"/>
      <c r="C226" s="27"/>
      <c r="D226" s="27"/>
      <c r="E226" s="27"/>
      <c r="F226" s="27"/>
      <c r="G226" s="27"/>
      <c r="H226" s="27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</row>
    <row r="227" spans="1:43" ht="15.75" customHeight="1" x14ac:dyDescent="0.2">
      <c r="A227"/>
      <c r="B227" s="2"/>
      <c r="C227" s="27"/>
      <c r="D227" s="27"/>
      <c r="E227" s="27"/>
      <c r="F227" s="27"/>
      <c r="G227" s="27"/>
      <c r="H227" s="27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</row>
    <row r="228" spans="1:43" ht="15.75" customHeight="1" x14ac:dyDescent="0.2">
      <c r="A228"/>
      <c r="B228" s="2"/>
      <c r="C228" s="27"/>
      <c r="D228" s="27"/>
      <c r="E228" s="27"/>
      <c r="F228" s="27"/>
      <c r="G228" s="27"/>
      <c r="H228" s="27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</row>
    <row r="229" spans="1:43" ht="15.75" customHeight="1" x14ac:dyDescent="0.2">
      <c r="A229"/>
      <c r="B229" s="2"/>
      <c r="C229" s="27"/>
      <c r="D229" s="27"/>
      <c r="E229" s="27"/>
      <c r="F229" s="27"/>
      <c r="G229" s="27"/>
      <c r="H229" s="27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</row>
    <row r="230" spans="1:43" ht="15.75" customHeight="1" x14ac:dyDescent="0.2">
      <c r="A230"/>
      <c r="B230" s="2"/>
      <c r="C230" s="27"/>
      <c r="D230" s="27"/>
      <c r="E230" s="27"/>
      <c r="F230" s="27"/>
      <c r="G230" s="27"/>
      <c r="H230" s="27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</row>
    <row r="231" spans="1:43" ht="15.75" customHeight="1" x14ac:dyDescent="0.2">
      <c r="A231"/>
      <c r="B231" s="2"/>
      <c r="C231" s="27"/>
      <c r="D231" s="27"/>
      <c r="E231" s="27"/>
      <c r="F231" s="27"/>
      <c r="G231" s="27"/>
      <c r="H231" s="27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</row>
    <row r="232" spans="1:43" ht="15.75" customHeight="1" x14ac:dyDescent="0.2">
      <c r="A232"/>
      <c r="B232" s="2"/>
      <c r="C232" s="27"/>
      <c r="D232" s="27"/>
      <c r="E232" s="27"/>
      <c r="F232" s="27"/>
      <c r="G232" s="27"/>
      <c r="H232" s="27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</row>
    <row r="233" spans="1:43" ht="15.75" customHeight="1" x14ac:dyDescent="0.2">
      <c r="A233"/>
      <c r="B233" s="2"/>
      <c r="C233" s="27"/>
      <c r="D233" s="27"/>
      <c r="E233" s="27"/>
      <c r="F233" s="27"/>
      <c r="G233" s="27"/>
      <c r="H233" s="27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</row>
    <row r="234" spans="1:43" ht="15.75" customHeight="1" x14ac:dyDescent="0.2">
      <c r="A234"/>
      <c r="B234" s="2"/>
      <c r="C234" s="27"/>
      <c r="D234" s="27"/>
      <c r="E234" s="27"/>
      <c r="F234" s="27"/>
      <c r="G234" s="27"/>
      <c r="H234" s="27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</row>
    <row r="235" spans="1:43" ht="15.75" customHeight="1" x14ac:dyDescent="0.2">
      <c r="A235"/>
      <c r="B235" s="2"/>
      <c r="C235" s="27"/>
      <c r="D235" s="27"/>
      <c r="E235" s="27"/>
      <c r="F235" s="27"/>
      <c r="G235" s="27"/>
      <c r="H235" s="27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</row>
    <row r="236" spans="1:43" ht="15.75" customHeight="1" x14ac:dyDescent="0.2">
      <c r="A236"/>
      <c r="B236" s="2"/>
      <c r="C236" s="27"/>
      <c r="D236" s="27"/>
      <c r="E236" s="27"/>
      <c r="F236" s="27"/>
      <c r="G236" s="27"/>
      <c r="H236" s="27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</row>
    <row r="237" spans="1:43" ht="15.75" customHeight="1" x14ac:dyDescent="0.2">
      <c r="A237"/>
      <c r="B237" s="2"/>
      <c r="C237" s="27"/>
      <c r="D237" s="27"/>
      <c r="E237" s="27"/>
      <c r="F237" s="27"/>
      <c r="G237" s="27"/>
      <c r="H237" s="27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</row>
    <row r="238" spans="1:43" ht="15.75" customHeight="1" x14ac:dyDescent="0.2">
      <c r="A238"/>
      <c r="B238" s="2"/>
      <c r="C238" s="27"/>
      <c r="D238" s="27"/>
      <c r="E238" s="27"/>
      <c r="F238" s="27"/>
      <c r="G238" s="27"/>
      <c r="H238" s="27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</row>
    <row r="239" spans="1:43" ht="15.75" customHeight="1" x14ac:dyDescent="0.2">
      <c r="A239"/>
      <c r="B239" s="2"/>
      <c r="C239" s="27"/>
      <c r="D239" s="27"/>
      <c r="E239" s="27"/>
      <c r="F239" s="27"/>
      <c r="G239" s="27"/>
      <c r="H239" s="27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</row>
    <row r="240" spans="1:43" ht="15.75" customHeight="1" x14ac:dyDescent="0.2">
      <c r="A240"/>
      <c r="B240" s="2"/>
      <c r="C240" s="27"/>
      <c r="D240" s="27"/>
      <c r="E240" s="27"/>
      <c r="F240" s="27"/>
      <c r="G240" s="27"/>
      <c r="H240" s="27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</row>
    <row r="241" spans="1:43" ht="15.75" customHeight="1" x14ac:dyDescent="0.2">
      <c r="A241"/>
      <c r="B241" s="2"/>
      <c r="C241" s="27"/>
      <c r="D241" s="27"/>
      <c r="E241" s="27"/>
      <c r="F241" s="27"/>
      <c r="G241" s="27"/>
      <c r="H241" s="27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</row>
    <row r="242" spans="1:43" ht="15.75" customHeight="1" x14ac:dyDescent="0.2">
      <c r="A242"/>
      <c r="B242" s="2"/>
      <c r="C242" s="27"/>
      <c r="D242" s="27"/>
      <c r="E242" s="27"/>
      <c r="F242" s="27"/>
      <c r="G242" s="27"/>
      <c r="H242" s="27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</row>
    <row r="243" spans="1:43" ht="15.75" customHeight="1" x14ac:dyDescent="0.2">
      <c r="A243"/>
      <c r="B243" s="2"/>
      <c r="C243" s="27"/>
      <c r="D243" s="27"/>
      <c r="E243" s="27"/>
      <c r="F243" s="27"/>
      <c r="G243" s="27"/>
      <c r="H243" s="27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</row>
    <row r="244" spans="1:43" ht="15.75" customHeight="1" x14ac:dyDescent="0.2">
      <c r="A244"/>
      <c r="B244" s="2"/>
      <c r="C244" s="27"/>
      <c r="D244" s="27"/>
      <c r="E244" s="27"/>
      <c r="F244" s="27"/>
      <c r="G244" s="27"/>
      <c r="H244" s="27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</row>
    <row r="245" spans="1:43" ht="15.75" customHeight="1" x14ac:dyDescent="0.2">
      <c r="A245"/>
      <c r="B245" s="2"/>
      <c r="C245" s="27"/>
      <c r="D245" s="27"/>
      <c r="E245" s="27"/>
      <c r="F245" s="27"/>
      <c r="G245" s="27"/>
      <c r="H245" s="27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</row>
    <row r="246" spans="1:43" ht="15.75" customHeight="1" x14ac:dyDescent="0.2">
      <c r="A246"/>
      <c r="B246" s="2"/>
      <c r="C246" s="27"/>
      <c r="D246" s="27"/>
      <c r="E246" s="27"/>
      <c r="F246" s="27"/>
      <c r="G246" s="27"/>
      <c r="H246" s="27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</row>
    <row r="247" spans="1:43" ht="15.75" customHeight="1" x14ac:dyDescent="0.2">
      <c r="A247"/>
      <c r="B247" s="2"/>
      <c r="C247" s="27"/>
      <c r="D247" s="27"/>
      <c r="E247" s="27"/>
      <c r="F247" s="27"/>
      <c r="G247" s="27"/>
      <c r="H247" s="27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</row>
    <row r="248" spans="1:43" ht="15.75" customHeight="1" x14ac:dyDescent="0.2">
      <c r="A248"/>
      <c r="B248" s="2"/>
      <c r="C248" s="27"/>
      <c r="D248" s="27"/>
      <c r="E248" s="27"/>
      <c r="F248" s="27"/>
      <c r="G248" s="27"/>
      <c r="H248" s="27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</row>
    <row r="249" spans="1:43" ht="15.75" customHeight="1" x14ac:dyDescent="0.2">
      <c r="A249"/>
      <c r="B249" s="2"/>
      <c r="C249" s="27"/>
      <c r="D249" s="27"/>
      <c r="E249" s="27"/>
      <c r="F249" s="27"/>
      <c r="G249" s="27"/>
      <c r="H249" s="27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</row>
    <row r="250" spans="1:43" ht="15.75" customHeight="1" x14ac:dyDescent="0.2">
      <c r="A250"/>
      <c r="B250" s="2"/>
      <c r="C250" s="27"/>
      <c r="D250" s="27"/>
      <c r="E250" s="27"/>
      <c r="F250" s="27"/>
      <c r="G250" s="27"/>
      <c r="H250" s="27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</row>
    <row r="251" spans="1:43" ht="15.75" customHeight="1" x14ac:dyDescent="0.2">
      <c r="A251"/>
      <c r="B251" s="2"/>
      <c r="C251" s="27"/>
      <c r="D251" s="27"/>
      <c r="E251" s="27"/>
      <c r="F251" s="27"/>
      <c r="G251" s="27"/>
      <c r="H251" s="27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</row>
    <row r="252" spans="1:43" ht="15.75" customHeight="1" x14ac:dyDescent="0.2">
      <c r="A252"/>
      <c r="B252" s="2"/>
      <c r="C252" s="27"/>
      <c r="D252" s="27"/>
      <c r="E252" s="27"/>
      <c r="F252" s="27"/>
      <c r="G252" s="27"/>
      <c r="H252" s="27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</row>
    <row r="253" spans="1:43" ht="15.75" customHeight="1" x14ac:dyDescent="0.2">
      <c r="A253"/>
      <c r="B253" s="2"/>
      <c r="C253" s="27"/>
      <c r="D253" s="27"/>
      <c r="E253" s="27"/>
      <c r="F253" s="27"/>
      <c r="G253" s="27"/>
      <c r="H253" s="27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</row>
    <row r="254" spans="1:43" ht="15.75" customHeight="1" x14ac:dyDescent="0.2">
      <c r="A254"/>
      <c r="B254" s="2"/>
      <c r="C254" s="27"/>
      <c r="D254" s="27"/>
      <c r="E254" s="27"/>
      <c r="F254" s="27"/>
      <c r="G254" s="27"/>
      <c r="H254" s="27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</row>
    <row r="255" spans="1:43" ht="15.75" customHeight="1" x14ac:dyDescent="0.2">
      <c r="A255"/>
      <c r="B255" s="2"/>
      <c r="C255" s="27"/>
      <c r="D255" s="27"/>
      <c r="E255" s="27"/>
      <c r="F255" s="27"/>
      <c r="G255" s="27"/>
      <c r="H255" s="27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</row>
    <row r="256" spans="1:43" ht="15.75" customHeight="1" x14ac:dyDescent="0.2">
      <c r="A256"/>
      <c r="B256" s="2"/>
      <c r="C256" s="27"/>
      <c r="D256" s="27"/>
      <c r="E256" s="27"/>
      <c r="F256" s="27"/>
      <c r="G256" s="27"/>
      <c r="H256" s="27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</row>
    <row r="257" spans="1:43" ht="15.75" customHeight="1" x14ac:dyDescent="0.2">
      <c r="A257"/>
      <c r="B257" s="2"/>
      <c r="C257" s="27"/>
      <c r="D257" s="27"/>
      <c r="E257" s="27"/>
      <c r="F257" s="27"/>
      <c r="G257" s="27"/>
      <c r="H257" s="27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</row>
    <row r="258" spans="1:43" ht="15.75" customHeight="1" x14ac:dyDescent="0.2">
      <c r="A258"/>
      <c r="B258" s="2"/>
      <c r="C258" s="27"/>
      <c r="D258" s="27"/>
      <c r="E258" s="27"/>
      <c r="F258" s="27"/>
      <c r="G258" s="27"/>
      <c r="H258" s="27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</row>
    <row r="259" spans="1:43" ht="15.75" customHeight="1" x14ac:dyDescent="0.2">
      <c r="A259"/>
      <c r="B259" s="2"/>
      <c r="C259" s="27"/>
      <c r="D259" s="27"/>
      <c r="E259" s="27"/>
      <c r="F259" s="27"/>
      <c r="G259" s="27"/>
      <c r="H259" s="27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</row>
    <row r="260" spans="1:43" ht="15.75" customHeight="1" x14ac:dyDescent="0.2">
      <c r="A260"/>
      <c r="B260" s="2"/>
      <c r="C260" s="27"/>
      <c r="D260" s="27"/>
      <c r="E260" s="27"/>
      <c r="F260" s="27"/>
      <c r="G260" s="27"/>
      <c r="H260" s="27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</row>
    <row r="261" spans="1:43" ht="15.75" customHeight="1" x14ac:dyDescent="0.2">
      <c r="A261"/>
      <c r="B261" s="2"/>
      <c r="C261" s="27"/>
      <c r="D261" s="27"/>
      <c r="E261" s="27"/>
      <c r="F261" s="27"/>
      <c r="G261" s="27"/>
      <c r="H261" s="27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</row>
    <row r="262" spans="1:43" ht="15.75" customHeight="1" x14ac:dyDescent="0.2">
      <c r="A262"/>
      <c r="B262" s="2"/>
      <c r="C262" s="27"/>
      <c r="D262" s="27"/>
      <c r="E262" s="27"/>
      <c r="F262" s="27"/>
      <c r="G262" s="27"/>
      <c r="H262" s="27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</row>
    <row r="263" spans="1:43" ht="15.75" customHeight="1" x14ac:dyDescent="0.2">
      <c r="A263"/>
      <c r="B263" s="2"/>
      <c r="C263" s="27"/>
      <c r="D263" s="27"/>
      <c r="E263" s="27"/>
      <c r="F263" s="27"/>
      <c r="G263" s="27"/>
      <c r="H263" s="27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</row>
    <row r="264" spans="1:43" ht="15.75" customHeight="1" x14ac:dyDescent="0.2">
      <c r="A264"/>
      <c r="B264" s="2"/>
      <c r="C264" s="27"/>
      <c r="D264" s="27"/>
      <c r="E264" s="27"/>
      <c r="F264" s="27"/>
      <c r="G264" s="27"/>
      <c r="H264" s="27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</row>
    <row r="265" spans="1:43" ht="15.75" customHeight="1" x14ac:dyDescent="0.2">
      <c r="A265"/>
      <c r="B265" s="2"/>
      <c r="C265" s="27"/>
      <c r="D265" s="27"/>
      <c r="E265" s="27"/>
      <c r="F265" s="27"/>
      <c r="G265" s="27"/>
      <c r="H265" s="27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</row>
    <row r="266" spans="1:43" ht="15.75" customHeight="1" x14ac:dyDescent="0.2">
      <c r="A266"/>
      <c r="B266" s="2"/>
      <c r="C266" s="27"/>
      <c r="D266" s="27"/>
      <c r="E266" s="27"/>
      <c r="F266" s="27"/>
      <c r="G266" s="27"/>
      <c r="H266" s="27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</row>
    <row r="267" spans="1:43" ht="15.75" customHeight="1" x14ac:dyDescent="0.2">
      <c r="A267"/>
      <c r="B267" s="2"/>
      <c r="C267" s="27"/>
      <c r="D267" s="27"/>
      <c r="E267" s="27"/>
      <c r="F267" s="27"/>
      <c r="G267" s="27"/>
      <c r="H267" s="27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</row>
    <row r="268" spans="1:43" ht="15.75" customHeight="1" x14ac:dyDescent="0.2">
      <c r="A268"/>
      <c r="B268" s="2"/>
      <c r="C268" s="27"/>
      <c r="D268" s="27"/>
      <c r="E268" s="27"/>
      <c r="F268" s="27"/>
      <c r="G268" s="27"/>
      <c r="H268" s="27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</row>
    <row r="269" spans="1:43" ht="15.75" customHeight="1" x14ac:dyDescent="0.2">
      <c r="A269"/>
      <c r="B269" s="2"/>
      <c r="C269" s="27"/>
      <c r="D269" s="27"/>
      <c r="E269" s="27"/>
      <c r="F269" s="27"/>
      <c r="G269" s="27"/>
      <c r="H269" s="27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</row>
    <row r="270" spans="1:43" ht="15.75" customHeight="1" x14ac:dyDescent="0.2">
      <c r="A270"/>
      <c r="B270" s="2"/>
      <c r="C270" s="27"/>
      <c r="D270" s="27"/>
      <c r="E270" s="27"/>
      <c r="F270" s="27"/>
      <c r="G270" s="27"/>
      <c r="H270" s="27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</row>
    <row r="271" spans="1:43" ht="15.75" customHeight="1" x14ac:dyDescent="0.2">
      <c r="A271"/>
      <c r="B271" s="2"/>
      <c r="C271" s="27"/>
      <c r="D271" s="27"/>
      <c r="E271" s="27"/>
      <c r="F271" s="27"/>
      <c r="G271" s="27"/>
      <c r="H271" s="27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</row>
    <row r="272" spans="1:43" ht="15.75" customHeight="1" x14ac:dyDescent="0.2">
      <c r="A272"/>
      <c r="B272" s="2"/>
      <c r="C272" s="27"/>
      <c r="D272" s="27"/>
      <c r="E272" s="27"/>
      <c r="F272" s="27"/>
      <c r="G272" s="27"/>
      <c r="H272" s="27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</row>
    <row r="273" spans="1:43" ht="15.75" customHeight="1" x14ac:dyDescent="0.2">
      <c r="A273"/>
      <c r="B273" s="2"/>
      <c r="C273" s="27"/>
      <c r="D273" s="27"/>
      <c r="E273" s="27"/>
      <c r="F273" s="27"/>
      <c r="G273" s="27"/>
      <c r="H273" s="27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</row>
    <row r="274" spans="1:43" ht="15.75" customHeight="1" x14ac:dyDescent="0.2">
      <c r="A274"/>
      <c r="B274" s="2"/>
      <c r="C274" s="27"/>
      <c r="D274" s="27"/>
      <c r="E274" s="27"/>
      <c r="F274" s="27"/>
      <c r="G274" s="27"/>
      <c r="H274" s="27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</row>
    <row r="275" spans="1:43" ht="15.75" customHeight="1" x14ac:dyDescent="0.2">
      <c r="A275"/>
      <c r="B275" s="2"/>
      <c r="C275" s="27"/>
      <c r="D275" s="27"/>
      <c r="E275" s="27"/>
      <c r="F275" s="27"/>
      <c r="G275" s="27"/>
      <c r="H275" s="27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</row>
    <row r="276" spans="1:43" ht="15.75" customHeight="1" x14ac:dyDescent="0.2">
      <c r="A276"/>
      <c r="B276" s="2"/>
      <c r="C276" s="27"/>
      <c r="D276" s="27"/>
      <c r="E276" s="27"/>
      <c r="F276" s="27"/>
      <c r="G276" s="27"/>
      <c r="H276" s="27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</row>
    <row r="277" spans="1:43" ht="15.75" customHeight="1" x14ac:dyDescent="0.2">
      <c r="A277"/>
      <c r="B277" s="2"/>
      <c r="C277" s="27"/>
      <c r="D277" s="27"/>
      <c r="E277" s="27"/>
      <c r="F277" s="27"/>
      <c r="G277" s="27"/>
      <c r="H277" s="27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</row>
    <row r="278" spans="1:43" ht="15.75" customHeight="1" x14ac:dyDescent="0.2">
      <c r="A278"/>
      <c r="B278" s="2"/>
      <c r="C278" s="27"/>
      <c r="D278" s="27"/>
      <c r="E278" s="27"/>
      <c r="F278" s="27"/>
      <c r="G278" s="27"/>
      <c r="H278" s="27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</row>
    <row r="279" spans="1:43" ht="15.75" customHeight="1" x14ac:dyDescent="0.2">
      <c r="A279"/>
      <c r="B279" s="2"/>
      <c r="C279" s="27"/>
      <c r="D279" s="27"/>
      <c r="E279" s="27"/>
      <c r="F279" s="27"/>
      <c r="G279" s="27"/>
      <c r="H279" s="27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</row>
    <row r="280" spans="1:43" ht="15.75" customHeight="1" x14ac:dyDescent="0.2">
      <c r="A280"/>
      <c r="B280" s="2"/>
      <c r="C280" s="27"/>
      <c r="D280" s="27"/>
      <c r="E280" s="27"/>
      <c r="F280" s="27"/>
      <c r="G280" s="27"/>
      <c r="H280" s="27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</row>
    <row r="281" spans="1:43" ht="15.75" customHeight="1" x14ac:dyDescent="0.2">
      <c r="A281"/>
      <c r="B281" s="2"/>
      <c r="C281" s="27"/>
      <c r="D281" s="27"/>
      <c r="E281" s="27"/>
      <c r="F281" s="27"/>
      <c r="G281" s="27"/>
      <c r="H281" s="27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</row>
    <row r="282" spans="1:43" ht="15.75" customHeight="1" x14ac:dyDescent="0.2">
      <c r="A282"/>
      <c r="B282" s="2"/>
      <c r="C282" s="27"/>
      <c r="D282" s="27"/>
      <c r="E282" s="27"/>
      <c r="F282" s="27"/>
      <c r="G282" s="27"/>
      <c r="H282" s="27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</row>
    <row r="283" spans="1:43" ht="15.75" customHeight="1" x14ac:dyDescent="0.2">
      <c r="A283"/>
      <c r="B283" s="2"/>
      <c r="C283" s="27"/>
      <c r="D283" s="27"/>
      <c r="E283" s="27"/>
      <c r="F283" s="27"/>
      <c r="G283" s="27"/>
      <c r="H283" s="27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</row>
    <row r="284" spans="1:43" ht="15.75" customHeight="1" x14ac:dyDescent="0.2">
      <c r="A284"/>
      <c r="B284" s="2"/>
      <c r="C284" s="27"/>
      <c r="D284" s="27"/>
      <c r="E284" s="27"/>
      <c r="F284" s="27"/>
      <c r="G284" s="27"/>
      <c r="H284" s="27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</row>
    <row r="285" spans="1:43" ht="15.75" customHeight="1" x14ac:dyDescent="0.2">
      <c r="A285"/>
      <c r="B285" s="2"/>
      <c r="C285" s="27"/>
      <c r="D285" s="27"/>
      <c r="E285" s="27"/>
      <c r="F285" s="27"/>
      <c r="G285" s="27"/>
      <c r="H285" s="27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</row>
    <row r="286" spans="1:43" ht="15.75" customHeight="1" x14ac:dyDescent="0.2">
      <c r="A286"/>
      <c r="B286" s="2"/>
      <c r="C286" s="27"/>
      <c r="D286" s="27"/>
      <c r="E286" s="27"/>
      <c r="F286" s="27"/>
      <c r="G286" s="27"/>
      <c r="H286" s="27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</row>
    <row r="287" spans="1:43" ht="15.75" customHeight="1" x14ac:dyDescent="0.2">
      <c r="A287"/>
      <c r="B287" s="2"/>
      <c r="C287" s="27"/>
      <c r="D287" s="27"/>
      <c r="E287" s="27"/>
      <c r="F287" s="27"/>
      <c r="G287" s="27"/>
      <c r="H287" s="27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</row>
    <row r="288" spans="1:43" ht="15.75" customHeight="1" x14ac:dyDescent="0.2">
      <c r="A288"/>
      <c r="B288" s="2"/>
      <c r="C288" s="27"/>
      <c r="D288" s="27"/>
      <c r="E288" s="27"/>
      <c r="F288" s="27"/>
      <c r="G288" s="27"/>
      <c r="H288" s="27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</row>
    <row r="289" spans="1:43" ht="15.75" customHeight="1" x14ac:dyDescent="0.2">
      <c r="A289"/>
      <c r="B289" s="2"/>
      <c r="C289" s="27"/>
      <c r="D289" s="27"/>
      <c r="E289" s="27"/>
      <c r="F289" s="27"/>
      <c r="G289" s="27"/>
      <c r="H289" s="27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</row>
    <row r="290" spans="1:43" ht="15.75" customHeight="1" x14ac:dyDescent="0.2">
      <c r="A290"/>
      <c r="B290" s="2"/>
      <c r="C290" s="27"/>
      <c r="D290" s="27"/>
      <c r="E290" s="27"/>
      <c r="F290" s="27"/>
      <c r="G290" s="27"/>
      <c r="H290" s="27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</row>
    <row r="291" spans="1:43" ht="15.75" customHeight="1" x14ac:dyDescent="0.2">
      <c r="A291"/>
      <c r="B291" s="2"/>
      <c r="C291" s="27"/>
      <c r="D291" s="27"/>
      <c r="E291" s="27"/>
      <c r="F291" s="27"/>
      <c r="G291" s="27"/>
      <c r="H291" s="27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</row>
    <row r="292" spans="1:43" ht="15.75" customHeight="1" x14ac:dyDescent="0.2">
      <c r="A292"/>
      <c r="B292" s="2"/>
      <c r="C292" s="27"/>
      <c r="D292" s="27"/>
      <c r="E292" s="27"/>
      <c r="F292" s="27"/>
      <c r="G292" s="27"/>
      <c r="H292" s="27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</row>
    <row r="293" spans="1:43" ht="15.75" customHeight="1" x14ac:dyDescent="0.2">
      <c r="A293"/>
      <c r="B293" s="2"/>
      <c r="C293" s="27"/>
      <c r="D293" s="27"/>
      <c r="E293" s="27"/>
      <c r="F293" s="27"/>
      <c r="G293" s="27"/>
      <c r="H293" s="27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</row>
    <row r="294" spans="1:43" ht="15.75" customHeight="1" x14ac:dyDescent="0.2">
      <c r="A294"/>
      <c r="B294" s="2"/>
      <c r="C294" s="27"/>
      <c r="D294" s="27"/>
      <c r="E294" s="27"/>
      <c r="F294" s="27"/>
      <c r="G294" s="27"/>
      <c r="H294" s="27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</row>
    <row r="295" spans="1:43" ht="15.75" customHeight="1" x14ac:dyDescent="0.2">
      <c r="A295"/>
      <c r="B295" s="2"/>
      <c r="C295" s="27"/>
      <c r="D295" s="27"/>
      <c r="E295" s="27"/>
      <c r="F295" s="27"/>
      <c r="G295" s="27"/>
      <c r="H295" s="27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</row>
    <row r="296" spans="1:43" ht="15.75" customHeight="1" x14ac:dyDescent="0.2">
      <c r="A296"/>
      <c r="B296" s="2"/>
      <c r="C296" s="27"/>
      <c r="D296" s="27"/>
      <c r="E296" s="27"/>
      <c r="F296" s="27"/>
      <c r="G296" s="27"/>
      <c r="H296" s="27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</row>
    <row r="297" spans="1:43" ht="15.75" customHeight="1" x14ac:dyDescent="0.2">
      <c r="A297"/>
      <c r="B297" s="2"/>
      <c r="C297" s="27"/>
      <c r="D297" s="27"/>
      <c r="E297" s="27"/>
      <c r="F297" s="27"/>
      <c r="G297" s="27"/>
      <c r="H297" s="27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</row>
    <row r="298" spans="1:43" ht="15.75" customHeight="1" x14ac:dyDescent="0.2">
      <c r="A298"/>
      <c r="B298" s="2"/>
      <c r="C298" s="27"/>
      <c r="D298" s="27"/>
      <c r="E298" s="27"/>
      <c r="F298" s="27"/>
      <c r="G298" s="27"/>
      <c r="H298" s="27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</row>
    <row r="299" spans="1:43" ht="15.75" customHeight="1" x14ac:dyDescent="0.2">
      <c r="A299"/>
      <c r="B299" s="2"/>
      <c r="C299" s="27"/>
      <c r="D299" s="27"/>
      <c r="E299" s="27"/>
      <c r="F299" s="27"/>
      <c r="G299" s="27"/>
      <c r="H299" s="27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</row>
    <row r="300" spans="1:43" ht="15.75" customHeight="1" x14ac:dyDescent="0.2">
      <c r="A300"/>
      <c r="B300" s="2"/>
      <c r="C300" s="27"/>
      <c r="D300" s="27"/>
      <c r="E300" s="27"/>
      <c r="F300" s="27"/>
      <c r="G300" s="27"/>
      <c r="H300" s="27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</row>
    <row r="301" spans="1:43" ht="15.75" customHeight="1" x14ac:dyDescent="0.2">
      <c r="A301"/>
      <c r="B301" s="2"/>
      <c r="C301" s="27"/>
      <c r="D301" s="27"/>
      <c r="E301" s="27"/>
      <c r="F301" s="27"/>
      <c r="G301" s="27"/>
      <c r="H301" s="27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</row>
    <row r="302" spans="1:43" ht="15.75" customHeight="1" x14ac:dyDescent="0.2">
      <c r="A302"/>
      <c r="B302" s="2"/>
      <c r="C302" s="27"/>
      <c r="D302" s="27"/>
      <c r="E302" s="27"/>
      <c r="F302" s="27"/>
      <c r="G302" s="27"/>
      <c r="H302" s="27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</row>
    <row r="303" spans="1:43" ht="15.75" customHeight="1" x14ac:dyDescent="0.2">
      <c r="A303"/>
      <c r="B303" s="2"/>
      <c r="C303" s="27"/>
      <c r="D303" s="27"/>
      <c r="E303" s="27"/>
      <c r="F303" s="27"/>
      <c r="G303" s="27"/>
      <c r="H303" s="27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</row>
    <row r="304" spans="1:43" ht="15.75" customHeight="1" x14ac:dyDescent="0.2">
      <c r="A304"/>
      <c r="B304" s="2"/>
      <c r="C304" s="27"/>
      <c r="D304" s="27"/>
      <c r="E304" s="27"/>
      <c r="F304" s="27"/>
      <c r="G304" s="27"/>
      <c r="H304" s="27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</row>
    <row r="305" spans="1:43" ht="15.75" customHeight="1" x14ac:dyDescent="0.2">
      <c r="A305"/>
      <c r="B305" s="2"/>
      <c r="C305" s="27"/>
      <c r="D305" s="27"/>
      <c r="E305" s="27"/>
      <c r="F305" s="27"/>
      <c r="G305" s="27"/>
      <c r="H305" s="27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</row>
    <row r="306" spans="1:43" ht="15.75" customHeight="1" x14ac:dyDescent="0.2">
      <c r="A306"/>
      <c r="B306" s="2"/>
      <c r="C306" s="27"/>
      <c r="D306" s="27"/>
      <c r="E306" s="27"/>
      <c r="F306" s="27"/>
      <c r="G306" s="27"/>
      <c r="H306" s="27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</row>
    <row r="307" spans="1:43" ht="15.75" customHeight="1" x14ac:dyDescent="0.2">
      <c r="A307"/>
      <c r="B307" s="2"/>
      <c r="C307" s="27"/>
      <c r="D307" s="27"/>
      <c r="E307" s="27"/>
      <c r="F307" s="27"/>
      <c r="G307" s="27"/>
      <c r="H307" s="27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</row>
    <row r="308" spans="1:43" ht="15.75" customHeight="1" x14ac:dyDescent="0.2">
      <c r="A308"/>
      <c r="B308" s="2"/>
      <c r="C308" s="27"/>
      <c r="D308" s="27"/>
      <c r="E308" s="27"/>
      <c r="F308" s="27"/>
      <c r="G308" s="27"/>
      <c r="H308" s="27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</row>
    <row r="309" spans="1:43" ht="15.75" customHeight="1" x14ac:dyDescent="0.2">
      <c r="A309"/>
      <c r="B309" s="2"/>
      <c r="C309" s="27"/>
      <c r="D309" s="27"/>
      <c r="E309" s="27"/>
      <c r="F309" s="27"/>
      <c r="G309" s="27"/>
      <c r="H309" s="27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</row>
    <row r="310" spans="1:43" ht="15.75" customHeight="1" x14ac:dyDescent="0.2">
      <c r="A310"/>
      <c r="B310" s="2"/>
      <c r="C310" s="27"/>
      <c r="D310" s="27"/>
      <c r="E310" s="27"/>
      <c r="F310" s="27"/>
      <c r="G310" s="27"/>
      <c r="H310" s="27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</row>
    <row r="311" spans="1:43" ht="15.75" customHeight="1" x14ac:dyDescent="0.2">
      <c r="A311"/>
      <c r="B311" s="2"/>
      <c r="C311" s="27"/>
      <c r="D311" s="27"/>
      <c r="E311" s="27"/>
      <c r="F311" s="27"/>
      <c r="G311" s="27"/>
      <c r="H311" s="27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</row>
    <row r="312" spans="1:43" ht="15.75" customHeight="1" x14ac:dyDescent="0.2">
      <c r="A312"/>
      <c r="B312" s="2"/>
      <c r="C312" s="27"/>
      <c r="D312" s="27"/>
      <c r="E312" s="27"/>
      <c r="F312" s="27"/>
      <c r="G312" s="27"/>
      <c r="H312" s="27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</row>
    <row r="313" spans="1:43" ht="15.75" customHeight="1" x14ac:dyDescent="0.2">
      <c r="A313"/>
      <c r="B313" s="2"/>
      <c r="C313" s="27"/>
      <c r="D313" s="27"/>
      <c r="E313" s="27"/>
      <c r="F313" s="27"/>
      <c r="G313" s="27"/>
      <c r="H313" s="27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</row>
    <row r="314" spans="1:43" ht="15.75" customHeight="1" x14ac:dyDescent="0.2">
      <c r="A314"/>
      <c r="B314" s="2"/>
      <c r="C314" s="27"/>
      <c r="D314" s="27"/>
      <c r="E314" s="27"/>
      <c r="F314" s="27"/>
      <c r="G314" s="27"/>
      <c r="H314" s="27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</row>
    <row r="315" spans="1:43" ht="15.75" customHeight="1" x14ac:dyDescent="0.2">
      <c r="A315"/>
      <c r="B315" s="2"/>
      <c r="C315" s="27"/>
      <c r="D315" s="27"/>
      <c r="E315" s="27"/>
      <c r="F315" s="27"/>
      <c r="G315" s="27"/>
      <c r="H315" s="27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</row>
    <row r="316" spans="1:43" ht="15.75" customHeight="1" x14ac:dyDescent="0.2">
      <c r="A316"/>
      <c r="B316" s="2"/>
      <c r="C316" s="27"/>
      <c r="D316" s="27"/>
      <c r="E316" s="27"/>
      <c r="F316" s="27"/>
      <c r="G316" s="27"/>
      <c r="H316" s="27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</row>
    <row r="317" spans="1:43" ht="15.75" customHeight="1" x14ac:dyDescent="0.2">
      <c r="A317"/>
      <c r="B317" s="2"/>
      <c r="C317" s="27"/>
      <c r="D317" s="27"/>
      <c r="E317" s="27"/>
      <c r="F317" s="27"/>
      <c r="G317" s="27"/>
      <c r="H317" s="27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</row>
    <row r="318" spans="1:43" ht="15.75" customHeight="1" x14ac:dyDescent="0.2">
      <c r="A318"/>
      <c r="B318" s="2"/>
      <c r="C318" s="27"/>
      <c r="D318" s="27"/>
      <c r="E318" s="27"/>
      <c r="F318" s="27"/>
      <c r="G318" s="27"/>
      <c r="H318" s="27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</row>
    <row r="319" spans="1:43" ht="15.75" customHeight="1" x14ac:dyDescent="0.2">
      <c r="A319"/>
      <c r="B319" s="2"/>
      <c r="C319" s="27"/>
      <c r="D319" s="27"/>
      <c r="E319" s="27"/>
      <c r="F319" s="27"/>
      <c r="G319" s="27"/>
      <c r="H319" s="27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</row>
    <row r="320" spans="1:43" ht="15.75" customHeight="1" x14ac:dyDescent="0.2">
      <c r="A320"/>
      <c r="B320" s="2"/>
      <c r="C320" s="27"/>
      <c r="D320" s="27"/>
      <c r="E320" s="27"/>
      <c r="F320" s="27"/>
      <c r="G320" s="27"/>
      <c r="H320" s="27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</row>
    <row r="321" spans="1:43" ht="15.75" customHeight="1" x14ac:dyDescent="0.2">
      <c r="A321"/>
      <c r="B321" s="2"/>
      <c r="C321" s="27"/>
      <c r="D321" s="27"/>
      <c r="E321" s="27"/>
      <c r="F321" s="27"/>
      <c r="G321" s="27"/>
      <c r="H321" s="27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</row>
    <row r="322" spans="1:43" ht="15.75" customHeight="1" x14ac:dyDescent="0.2">
      <c r="A322"/>
      <c r="B322" s="2"/>
      <c r="C322" s="27"/>
      <c r="D322" s="27"/>
      <c r="E322" s="27"/>
      <c r="F322" s="27"/>
      <c r="G322" s="27"/>
      <c r="H322" s="27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</row>
    <row r="323" spans="1:43" ht="15.75" customHeight="1" x14ac:dyDescent="0.2">
      <c r="A323"/>
      <c r="B323" s="2"/>
      <c r="C323" s="27"/>
      <c r="D323" s="27"/>
      <c r="E323" s="27"/>
      <c r="F323" s="27"/>
      <c r="G323" s="27"/>
      <c r="H323" s="27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</row>
    <row r="324" spans="1:43" ht="15.75" customHeight="1" x14ac:dyDescent="0.2">
      <c r="A324"/>
      <c r="B324" s="2"/>
      <c r="C324" s="27"/>
      <c r="D324" s="27"/>
      <c r="E324" s="27"/>
      <c r="F324" s="27"/>
      <c r="G324" s="27"/>
      <c r="H324" s="27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</row>
    <row r="325" spans="1:43" ht="15.75" customHeight="1" x14ac:dyDescent="0.2">
      <c r="A325"/>
      <c r="B325" s="2"/>
      <c r="C325" s="27"/>
      <c r="D325" s="27"/>
      <c r="E325" s="27"/>
      <c r="F325" s="27"/>
      <c r="G325" s="27"/>
      <c r="H325" s="27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</row>
    <row r="326" spans="1:43" ht="15.75" customHeight="1" x14ac:dyDescent="0.2">
      <c r="A326"/>
      <c r="B326" s="2"/>
      <c r="C326" s="27"/>
      <c r="D326" s="27"/>
      <c r="E326" s="27"/>
      <c r="F326" s="27"/>
      <c r="G326" s="27"/>
      <c r="H326" s="27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</row>
    <row r="327" spans="1:43" ht="15.75" customHeight="1" x14ac:dyDescent="0.2">
      <c r="A327"/>
      <c r="B327" s="2"/>
      <c r="C327" s="27"/>
      <c r="D327" s="27"/>
      <c r="E327" s="27"/>
      <c r="F327" s="27"/>
      <c r="G327" s="27"/>
      <c r="H327" s="27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</row>
    <row r="328" spans="1:43" ht="15.75" customHeight="1" x14ac:dyDescent="0.2">
      <c r="A328"/>
      <c r="B328" s="2"/>
      <c r="C328" s="27"/>
      <c r="D328" s="27"/>
      <c r="E328" s="27"/>
      <c r="F328" s="27"/>
      <c r="G328" s="27"/>
      <c r="H328" s="27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</row>
    <row r="329" spans="1:43" ht="15.75" customHeight="1" x14ac:dyDescent="0.2">
      <c r="A329"/>
      <c r="B329" s="2"/>
      <c r="C329" s="27"/>
      <c r="D329" s="27"/>
      <c r="E329" s="27"/>
      <c r="F329" s="27"/>
      <c r="G329" s="27"/>
      <c r="H329" s="27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</row>
    <row r="330" spans="1:43" ht="15.75" customHeight="1" x14ac:dyDescent="0.2">
      <c r="A330"/>
      <c r="B330" s="2"/>
      <c r="C330" s="27"/>
      <c r="D330" s="27"/>
      <c r="E330" s="27"/>
      <c r="F330" s="27"/>
      <c r="G330" s="27"/>
      <c r="H330" s="27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</row>
    <row r="331" spans="1:43" ht="15.75" customHeight="1" x14ac:dyDescent="0.2">
      <c r="A331"/>
      <c r="B331" s="2"/>
      <c r="C331" s="27"/>
      <c r="D331" s="27"/>
      <c r="E331" s="27"/>
      <c r="F331" s="27"/>
      <c r="G331" s="27"/>
      <c r="H331" s="27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</row>
    <row r="332" spans="1:43" ht="15.75" customHeight="1" x14ac:dyDescent="0.2">
      <c r="A332"/>
      <c r="B332" s="2"/>
      <c r="C332" s="27"/>
      <c r="D332" s="27"/>
      <c r="E332" s="27"/>
      <c r="F332" s="27"/>
      <c r="G332" s="27"/>
      <c r="H332" s="27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</row>
    <row r="333" spans="1:43" ht="15.75" customHeight="1" x14ac:dyDescent="0.2">
      <c r="A333"/>
      <c r="B333" s="2"/>
      <c r="C333" s="27"/>
      <c r="D333" s="27"/>
      <c r="E333" s="27"/>
      <c r="F333" s="27"/>
      <c r="G333" s="27"/>
      <c r="H333" s="27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</row>
    <row r="334" spans="1:43" ht="15.75" customHeight="1" x14ac:dyDescent="0.2">
      <c r="A334"/>
      <c r="B334" s="2"/>
      <c r="C334" s="27"/>
      <c r="D334" s="27"/>
      <c r="E334" s="27"/>
      <c r="F334" s="27"/>
      <c r="G334" s="27"/>
      <c r="H334" s="27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</row>
    <row r="335" spans="1:43" ht="15.75" customHeight="1" x14ac:dyDescent="0.2">
      <c r="A335"/>
      <c r="B335" s="2"/>
      <c r="C335" s="27"/>
      <c r="D335" s="27"/>
      <c r="E335" s="27"/>
      <c r="F335" s="27"/>
      <c r="G335" s="27"/>
      <c r="H335" s="27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</row>
    <row r="336" spans="1:43" ht="15.75" customHeight="1" x14ac:dyDescent="0.2">
      <c r="A336"/>
      <c r="B336" s="2"/>
      <c r="C336" s="27"/>
      <c r="D336" s="27"/>
      <c r="E336" s="27"/>
      <c r="F336" s="27"/>
      <c r="G336" s="27"/>
      <c r="H336" s="27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</row>
    <row r="337" spans="1:43" ht="15.75" customHeight="1" x14ac:dyDescent="0.2">
      <c r="A337"/>
      <c r="B337" s="2"/>
      <c r="C337" s="27"/>
      <c r="D337" s="27"/>
      <c r="E337" s="27"/>
      <c r="F337" s="27"/>
      <c r="G337" s="27"/>
      <c r="H337" s="27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</row>
    <row r="338" spans="1:43" ht="15.75" customHeight="1" x14ac:dyDescent="0.2">
      <c r="A338"/>
      <c r="B338" s="2"/>
      <c r="C338" s="27"/>
      <c r="D338" s="27"/>
      <c r="E338" s="27"/>
      <c r="F338" s="27"/>
      <c r="G338" s="27"/>
      <c r="H338" s="27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</row>
    <row r="339" spans="1:43" ht="15.75" customHeight="1" x14ac:dyDescent="0.2">
      <c r="A339"/>
      <c r="B339" s="2"/>
      <c r="C339" s="27"/>
      <c r="D339" s="27"/>
      <c r="E339" s="27"/>
      <c r="F339" s="27"/>
      <c r="G339" s="27"/>
      <c r="H339" s="27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</row>
    <row r="340" spans="1:43" ht="15.75" customHeight="1" x14ac:dyDescent="0.2">
      <c r="A340"/>
      <c r="B340" s="2"/>
      <c r="C340" s="27"/>
      <c r="D340" s="27"/>
      <c r="E340" s="27"/>
      <c r="F340" s="27"/>
      <c r="G340" s="27"/>
      <c r="H340" s="27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</row>
    <row r="341" spans="1:43" ht="15.75" customHeight="1" x14ac:dyDescent="0.2">
      <c r="A341"/>
      <c r="B341" s="2"/>
      <c r="C341" s="27"/>
      <c r="D341" s="27"/>
      <c r="E341" s="27"/>
      <c r="F341" s="27"/>
      <c r="G341" s="27"/>
      <c r="H341" s="27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</row>
    <row r="342" spans="1:43" ht="15.75" customHeight="1" x14ac:dyDescent="0.2">
      <c r="A342"/>
      <c r="B342" s="2"/>
      <c r="C342" s="27"/>
      <c r="D342" s="27"/>
      <c r="E342" s="27"/>
      <c r="F342" s="27"/>
      <c r="G342" s="27"/>
      <c r="H342" s="27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</row>
    <row r="343" spans="1:43" ht="15.75" customHeight="1" x14ac:dyDescent="0.2">
      <c r="A343"/>
      <c r="B343" s="2"/>
      <c r="C343" s="27"/>
      <c r="D343" s="27"/>
      <c r="E343" s="27"/>
      <c r="F343" s="27"/>
      <c r="G343" s="27"/>
      <c r="H343" s="27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</row>
    <row r="344" spans="1:43" ht="15.75" customHeight="1" x14ac:dyDescent="0.2">
      <c r="A344"/>
      <c r="B344" s="2"/>
      <c r="C344" s="27"/>
      <c r="D344" s="27"/>
      <c r="E344" s="27"/>
      <c r="F344" s="27"/>
      <c r="G344" s="27"/>
      <c r="H344" s="27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</row>
    <row r="345" spans="1:43" ht="15.75" customHeight="1" x14ac:dyDescent="0.2">
      <c r="A345"/>
      <c r="B345" s="2"/>
      <c r="C345" s="27"/>
      <c r="D345" s="27"/>
      <c r="E345" s="27"/>
      <c r="F345" s="27"/>
      <c r="G345" s="27"/>
      <c r="H345" s="27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</row>
    <row r="346" spans="1:43" ht="15.75" customHeight="1" x14ac:dyDescent="0.2">
      <c r="A346"/>
      <c r="B346" s="2"/>
      <c r="C346" s="27"/>
      <c r="D346" s="27"/>
      <c r="E346" s="27"/>
      <c r="F346" s="27"/>
      <c r="G346" s="27"/>
      <c r="H346" s="27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</row>
    <row r="347" spans="1:43" ht="15.75" customHeight="1" x14ac:dyDescent="0.2">
      <c r="A347"/>
      <c r="B347" s="2"/>
      <c r="C347" s="27"/>
      <c r="D347" s="27"/>
      <c r="E347" s="27"/>
      <c r="F347" s="27"/>
      <c r="G347" s="27"/>
      <c r="H347" s="27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</row>
    <row r="348" spans="1:43" ht="15.75" customHeight="1" x14ac:dyDescent="0.2">
      <c r="A348"/>
      <c r="B348" s="2"/>
      <c r="C348" s="27"/>
      <c r="D348" s="27"/>
      <c r="E348" s="27"/>
      <c r="F348" s="27"/>
      <c r="G348" s="27"/>
      <c r="H348" s="27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</row>
    <row r="349" spans="1:43" ht="15.75" customHeight="1" x14ac:dyDescent="0.2">
      <c r="A349"/>
      <c r="B349" s="2"/>
      <c r="C349" s="27"/>
      <c r="D349" s="27"/>
      <c r="E349" s="27"/>
      <c r="F349" s="27"/>
      <c r="G349" s="27"/>
      <c r="H349" s="27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</row>
    <row r="350" spans="1:43" ht="15.75" customHeight="1" x14ac:dyDescent="0.2">
      <c r="A350"/>
      <c r="B350" s="2"/>
      <c r="C350" s="27"/>
      <c r="D350" s="27"/>
      <c r="E350" s="27"/>
      <c r="F350" s="27"/>
      <c r="G350" s="27"/>
      <c r="H350" s="27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</row>
    <row r="351" spans="1:43" ht="15.75" customHeight="1" x14ac:dyDescent="0.2">
      <c r="A351"/>
      <c r="B351" s="2"/>
      <c r="C351" s="27"/>
      <c r="D351" s="27"/>
      <c r="E351" s="27"/>
      <c r="F351" s="27"/>
      <c r="G351" s="27"/>
      <c r="H351" s="27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</row>
    <row r="352" spans="1:43" ht="15.75" customHeight="1" x14ac:dyDescent="0.2">
      <c r="A352"/>
      <c r="B352" s="2"/>
      <c r="C352" s="27"/>
      <c r="D352" s="27"/>
      <c r="E352" s="27"/>
      <c r="F352" s="27"/>
      <c r="G352" s="27"/>
      <c r="H352" s="27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</row>
    <row r="353" spans="1:43" ht="15.75" customHeight="1" x14ac:dyDescent="0.2">
      <c r="A353"/>
      <c r="B353" s="2"/>
      <c r="C353" s="27"/>
      <c r="D353" s="27"/>
      <c r="E353" s="27"/>
      <c r="F353" s="27"/>
      <c r="G353" s="27"/>
      <c r="H353" s="27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</row>
    <row r="354" spans="1:43" ht="15.75" customHeight="1" x14ac:dyDescent="0.2">
      <c r="A354"/>
      <c r="B354" s="2"/>
      <c r="C354" s="27"/>
      <c r="D354" s="27"/>
      <c r="E354" s="27"/>
      <c r="F354" s="27"/>
      <c r="G354" s="27"/>
      <c r="H354" s="27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</row>
    <row r="355" spans="1:43" ht="15.75" customHeight="1" x14ac:dyDescent="0.2">
      <c r="A355"/>
      <c r="B355" s="2"/>
      <c r="C355" s="27"/>
      <c r="D355" s="27"/>
      <c r="E355" s="27"/>
      <c r="F355" s="27"/>
      <c r="G355" s="27"/>
      <c r="H355" s="27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</row>
    <row r="356" spans="1:43" ht="15.75" customHeight="1" x14ac:dyDescent="0.2">
      <c r="A356"/>
      <c r="B356" s="2"/>
      <c r="C356" s="27"/>
      <c r="D356" s="27"/>
      <c r="E356" s="27"/>
      <c r="F356" s="27"/>
      <c r="G356" s="27"/>
      <c r="H356" s="27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</row>
    <row r="357" spans="1:43" ht="15.75" customHeight="1" x14ac:dyDescent="0.2">
      <c r="A357"/>
      <c r="B357" s="2"/>
      <c r="C357" s="27"/>
      <c r="D357" s="27"/>
      <c r="E357" s="27"/>
      <c r="F357" s="27"/>
      <c r="G357" s="27"/>
      <c r="H357" s="27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</row>
    <row r="358" spans="1:43" ht="15.75" customHeight="1" x14ac:dyDescent="0.2">
      <c r="A358"/>
      <c r="B358" s="2"/>
      <c r="C358" s="27"/>
      <c r="D358" s="27"/>
      <c r="E358" s="27"/>
      <c r="F358" s="27"/>
      <c r="G358" s="27"/>
      <c r="H358" s="27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</row>
    <row r="359" spans="1:43" ht="15.75" customHeight="1" x14ac:dyDescent="0.2">
      <c r="A359"/>
      <c r="B359" s="2"/>
      <c r="C359" s="27"/>
      <c r="D359" s="27"/>
      <c r="E359" s="27"/>
      <c r="F359" s="27"/>
      <c r="G359" s="27"/>
      <c r="H359" s="27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</row>
    <row r="360" spans="1:43" ht="15.75" customHeight="1" x14ac:dyDescent="0.2">
      <c r="A360"/>
      <c r="B360" s="2"/>
      <c r="C360" s="27"/>
      <c r="D360" s="27"/>
      <c r="E360" s="27"/>
      <c r="F360" s="27"/>
      <c r="G360" s="27"/>
      <c r="H360" s="27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</row>
    <row r="361" spans="1:43" ht="15.75" customHeight="1" x14ac:dyDescent="0.2">
      <c r="A361"/>
      <c r="B361" s="2"/>
      <c r="C361" s="27"/>
      <c r="D361" s="27"/>
      <c r="E361" s="27"/>
      <c r="F361" s="27"/>
      <c r="G361" s="27"/>
      <c r="H361" s="27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</row>
    <row r="362" spans="1:43" ht="15.75" customHeight="1" x14ac:dyDescent="0.2">
      <c r="A362"/>
      <c r="B362" s="2"/>
      <c r="C362" s="27"/>
      <c r="D362" s="27"/>
      <c r="E362" s="27"/>
      <c r="F362" s="27"/>
      <c r="G362" s="27"/>
      <c r="H362" s="27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</row>
    <row r="363" spans="1:43" ht="15.75" customHeight="1" x14ac:dyDescent="0.2">
      <c r="A363"/>
      <c r="B363" s="2"/>
      <c r="C363" s="27"/>
      <c r="D363" s="27"/>
      <c r="E363" s="27"/>
      <c r="F363" s="27"/>
      <c r="G363" s="27"/>
      <c r="H363" s="27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</row>
    <row r="364" spans="1:43" ht="15.75" customHeight="1" x14ac:dyDescent="0.2">
      <c r="A364"/>
      <c r="B364" s="2"/>
      <c r="C364" s="27"/>
      <c r="D364" s="27"/>
      <c r="E364" s="27"/>
      <c r="F364" s="27"/>
      <c r="G364" s="27"/>
      <c r="H364" s="27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</row>
    <row r="365" spans="1:43" ht="15.75" customHeight="1" x14ac:dyDescent="0.2">
      <c r="A365"/>
      <c r="B365" s="2"/>
      <c r="C365" s="27"/>
      <c r="D365" s="27"/>
      <c r="E365" s="27"/>
      <c r="F365" s="27"/>
      <c r="G365" s="27"/>
      <c r="H365" s="27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</row>
    <row r="366" spans="1:43" ht="15.75" customHeight="1" x14ac:dyDescent="0.2">
      <c r="A366"/>
      <c r="B366" s="2"/>
      <c r="C366" s="27"/>
      <c r="D366" s="27"/>
      <c r="E366" s="27"/>
      <c r="F366" s="27"/>
      <c r="G366" s="27"/>
      <c r="H366" s="27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</row>
    <row r="367" spans="1:43" ht="15.75" customHeight="1" x14ac:dyDescent="0.2">
      <c r="A367"/>
      <c r="B367" s="2"/>
      <c r="C367" s="27"/>
      <c r="D367" s="27"/>
      <c r="E367" s="27"/>
      <c r="F367" s="27"/>
      <c r="G367" s="27"/>
      <c r="H367" s="27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</row>
    <row r="368" spans="1:43" ht="15.75" customHeight="1" x14ac:dyDescent="0.2">
      <c r="A368"/>
      <c r="B368" s="2"/>
      <c r="C368" s="27"/>
      <c r="D368" s="27"/>
      <c r="E368" s="27"/>
      <c r="F368" s="27"/>
      <c r="G368" s="27"/>
      <c r="H368" s="27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</row>
    <row r="369" spans="1:43" ht="15.75" customHeight="1" x14ac:dyDescent="0.2">
      <c r="A369"/>
      <c r="B369" s="2"/>
      <c r="C369" s="27"/>
      <c r="D369" s="27"/>
      <c r="E369" s="27"/>
      <c r="F369" s="27"/>
      <c r="G369" s="27"/>
      <c r="H369" s="27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</row>
    <row r="370" spans="1:43" ht="15.75" customHeight="1" x14ac:dyDescent="0.2">
      <c r="A370"/>
      <c r="B370" s="2"/>
      <c r="C370" s="27"/>
      <c r="D370" s="27"/>
      <c r="E370" s="27"/>
      <c r="F370" s="27"/>
      <c r="G370" s="27"/>
      <c r="H370" s="27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</row>
    <row r="371" spans="1:43" ht="15.75" customHeight="1" x14ac:dyDescent="0.2">
      <c r="A371"/>
      <c r="B371" s="2"/>
      <c r="C371" s="27"/>
      <c r="D371" s="27"/>
      <c r="E371" s="27"/>
      <c r="F371" s="27"/>
      <c r="G371" s="27"/>
      <c r="H371" s="27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</row>
    <row r="372" spans="1:43" ht="15.75" customHeight="1" x14ac:dyDescent="0.2">
      <c r="A372"/>
      <c r="B372" s="2"/>
      <c r="C372" s="27"/>
      <c r="D372" s="27"/>
      <c r="E372" s="27"/>
      <c r="F372" s="27"/>
      <c r="G372" s="27"/>
      <c r="H372" s="27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</row>
    <row r="373" spans="1:43" ht="15.75" customHeight="1" x14ac:dyDescent="0.2">
      <c r="A373"/>
      <c r="B373" s="2"/>
      <c r="C373" s="27"/>
      <c r="D373" s="27"/>
      <c r="E373" s="27"/>
      <c r="F373" s="27"/>
      <c r="G373" s="27"/>
      <c r="H373" s="27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</row>
    <row r="374" spans="1:43" ht="15.75" customHeight="1" x14ac:dyDescent="0.2">
      <c r="A374"/>
      <c r="B374" s="2"/>
      <c r="C374" s="27"/>
      <c r="D374" s="27"/>
      <c r="E374" s="27"/>
      <c r="F374" s="27"/>
      <c r="G374" s="27"/>
      <c r="H374" s="27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</row>
    <row r="375" spans="1:43" ht="15.75" customHeight="1" x14ac:dyDescent="0.2">
      <c r="A375"/>
      <c r="B375" s="2"/>
      <c r="C375" s="27"/>
      <c r="D375" s="27"/>
      <c r="E375" s="27"/>
      <c r="F375" s="27"/>
      <c r="G375" s="27"/>
      <c r="H375" s="27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</row>
    <row r="376" spans="1:43" ht="15.75" customHeight="1" x14ac:dyDescent="0.2">
      <c r="A376"/>
      <c r="B376" s="2"/>
      <c r="C376" s="27"/>
      <c r="D376" s="27"/>
      <c r="E376" s="27"/>
      <c r="F376" s="27"/>
      <c r="G376" s="27"/>
      <c r="H376" s="27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</row>
    <row r="377" spans="1:43" ht="15.75" customHeight="1" x14ac:dyDescent="0.2">
      <c r="A377"/>
      <c r="B377" s="2"/>
      <c r="C377" s="27"/>
      <c r="D377" s="27"/>
      <c r="E377" s="27"/>
      <c r="F377" s="27"/>
      <c r="G377" s="27"/>
      <c r="H377" s="27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</row>
    <row r="378" spans="1:43" ht="15.75" customHeight="1" x14ac:dyDescent="0.2">
      <c r="A378"/>
      <c r="B378" s="2"/>
      <c r="C378" s="27"/>
      <c r="D378" s="27"/>
      <c r="E378" s="27"/>
      <c r="F378" s="27"/>
      <c r="G378" s="27"/>
      <c r="H378" s="27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</row>
    <row r="379" spans="1:43" ht="15.75" customHeight="1" x14ac:dyDescent="0.2">
      <c r="A379"/>
      <c r="B379" s="2"/>
      <c r="C379" s="27"/>
      <c r="D379" s="27"/>
      <c r="E379" s="27"/>
      <c r="F379" s="27"/>
      <c r="G379" s="27"/>
      <c r="H379" s="27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</row>
    <row r="380" spans="1:43" ht="15.75" customHeight="1" x14ac:dyDescent="0.2">
      <c r="A380"/>
      <c r="B380" s="2"/>
      <c r="C380" s="27"/>
      <c r="D380" s="27"/>
      <c r="E380" s="27"/>
      <c r="F380" s="27"/>
      <c r="G380" s="27"/>
      <c r="H380" s="27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</row>
    <row r="381" spans="1:43" ht="15.75" customHeight="1" x14ac:dyDescent="0.2">
      <c r="A381"/>
      <c r="B381" s="2"/>
      <c r="C381" s="27"/>
      <c r="D381" s="27"/>
      <c r="E381" s="27"/>
      <c r="F381" s="27"/>
      <c r="G381" s="27"/>
      <c r="H381" s="27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</row>
    <row r="382" spans="1:43" ht="15.75" customHeight="1" x14ac:dyDescent="0.2">
      <c r="A382"/>
      <c r="B382" s="2"/>
      <c r="C382" s="27"/>
      <c r="D382" s="27"/>
      <c r="E382" s="27"/>
      <c r="F382" s="27"/>
      <c r="G382" s="27"/>
      <c r="H382" s="27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</row>
    <row r="383" spans="1:43" ht="15.75" customHeight="1" x14ac:dyDescent="0.2">
      <c r="A383"/>
      <c r="B383" s="2"/>
      <c r="C383" s="27"/>
      <c r="D383" s="27"/>
      <c r="E383" s="27"/>
      <c r="F383" s="27"/>
      <c r="G383" s="27"/>
      <c r="H383" s="27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</row>
    <row r="384" spans="1:43" ht="15.75" customHeight="1" x14ac:dyDescent="0.2">
      <c r="A384"/>
      <c r="B384" s="2"/>
      <c r="C384" s="27"/>
      <c r="D384" s="27"/>
      <c r="E384" s="27"/>
      <c r="F384" s="27"/>
      <c r="G384" s="27"/>
      <c r="H384" s="27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</row>
    <row r="385" spans="1:43" ht="15.75" customHeight="1" x14ac:dyDescent="0.2">
      <c r="A385"/>
      <c r="B385" s="2"/>
      <c r="C385" s="27"/>
      <c r="D385" s="27"/>
      <c r="E385" s="27"/>
      <c r="F385" s="27"/>
      <c r="G385" s="27"/>
      <c r="H385" s="27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</row>
    <row r="386" spans="1:43" ht="15.75" customHeight="1" x14ac:dyDescent="0.2">
      <c r="A386"/>
      <c r="B386" s="2"/>
      <c r="C386" s="27"/>
      <c r="D386" s="27"/>
      <c r="E386" s="27"/>
      <c r="F386" s="27"/>
      <c r="G386" s="27"/>
      <c r="H386" s="27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</row>
    <row r="387" spans="1:43" ht="15.75" customHeight="1" x14ac:dyDescent="0.2">
      <c r="A387"/>
      <c r="B387" s="2"/>
      <c r="C387" s="27"/>
      <c r="D387" s="27"/>
      <c r="E387" s="27"/>
      <c r="F387" s="27"/>
      <c r="G387" s="27"/>
      <c r="H387" s="27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</row>
    <row r="388" spans="1:43" ht="15.75" customHeight="1" x14ac:dyDescent="0.2">
      <c r="A388"/>
      <c r="B388" s="2"/>
      <c r="C388" s="27"/>
      <c r="D388" s="27"/>
      <c r="E388" s="27"/>
      <c r="F388" s="27"/>
      <c r="G388" s="27"/>
      <c r="H388" s="27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</row>
    <row r="389" spans="1:43" ht="15.75" customHeight="1" x14ac:dyDescent="0.2">
      <c r="A389"/>
      <c r="B389" s="2"/>
      <c r="C389" s="27"/>
      <c r="D389" s="27"/>
      <c r="E389" s="27"/>
      <c r="F389" s="27"/>
      <c r="G389" s="27"/>
      <c r="H389" s="27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</row>
    <row r="390" spans="1:43" ht="15.75" customHeight="1" x14ac:dyDescent="0.2">
      <c r="A390"/>
      <c r="B390" s="2"/>
      <c r="C390" s="27"/>
      <c r="D390" s="27"/>
      <c r="E390" s="27"/>
      <c r="F390" s="27"/>
      <c r="G390" s="27"/>
      <c r="H390" s="27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</row>
    <row r="391" spans="1:43" ht="15.75" customHeight="1" x14ac:dyDescent="0.2">
      <c r="A391"/>
      <c r="B391" s="2"/>
      <c r="C391" s="27"/>
      <c r="D391" s="27"/>
      <c r="E391" s="27"/>
      <c r="F391" s="27"/>
      <c r="G391" s="27"/>
      <c r="H391" s="27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</row>
    <row r="392" spans="1:43" ht="15.75" customHeight="1" x14ac:dyDescent="0.2">
      <c r="A392"/>
      <c r="B392" s="2"/>
      <c r="C392" s="27"/>
      <c r="D392" s="27"/>
      <c r="E392" s="27"/>
      <c r="F392" s="27"/>
      <c r="G392" s="27"/>
      <c r="H392" s="27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</row>
    <row r="393" spans="1:43" ht="15.75" customHeight="1" x14ac:dyDescent="0.2">
      <c r="A393"/>
      <c r="B393" s="2"/>
      <c r="C393" s="27"/>
      <c r="D393" s="27"/>
      <c r="E393" s="27"/>
      <c r="F393" s="27"/>
      <c r="G393" s="27"/>
      <c r="H393" s="27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</row>
    <row r="394" spans="1:43" ht="15.75" customHeight="1" x14ac:dyDescent="0.2">
      <c r="A394"/>
      <c r="B394" s="2"/>
      <c r="C394" s="27"/>
      <c r="D394" s="27"/>
      <c r="E394" s="27"/>
      <c r="F394" s="27"/>
      <c r="G394" s="27"/>
      <c r="H394" s="2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</row>
    <row r="395" spans="1:43" ht="15.75" customHeight="1" x14ac:dyDescent="0.2">
      <c r="A395"/>
      <c r="B395" s="2"/>
      <c r="C395" s="27"/>
      <c r="D395" s="27"/>
      <c r="E395" s="27"/>
      <c r="F395" s="27"/>
      <c r="G395" s="27"/>
      <c r="H395" s="2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</row>
    <row r="396" spans="1:43" ht="15.75" customHeight="1" x14ac:dyDescent="0.2">
      <c r="A396"/>
      <c r="B396" s="2"/>
      <c r="C396" s="27"/>
      <c r="D396" s="27"/>
      <c r="E396" s="27"/>
      <c r="F396" s="27"/>
      <c r="G396" s="27"/>
      <c r="H396" s="27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</row>
    <row r="397" spans="1:43" ht="15.75" customHeight="1" x14ac:dyDescent="0.2">
      <c r="A397"/>
      <c r="B397" s="2"/>
      <c r="C397" s="27"/>
      <c r="D397" s="27"/>
      <c r="E397" s="27"/>
      <c r="F397" s="27"/>
      <c r="G397" s="27"/>
      <c r="H397" s="27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</row>
    <row r="398" spans="1:43" ht="15.75" customHeight="1" x14ac:dyDescent="0.2">
      <c r="A398"/>
      <c r="B398" s="2"/>
      <c r="C398" s="27"/>
      <c r="D398" s="27"/>
      <c r="E398" s="27"/>
      <c r="F398" s="27"/>
      <c r="G398" s="27"/>
      <c r="H398" s="27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</row>
    <row r="399" spans="1:43" ht="15.75" customHeight="1" x14ac:dyDescent="0.2">
      <c r="A399"/>
      <c r="B399" s="2"/>
      <c r="C399" s="27"/>
      <c r="D399" s="27"/>
      <c r="E399" s="27"/>
      <c r="F399" s="27"/>
      <c r="G399" s="27"/>
      <c r="H399" s="27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</row>
    <row r="400" spans="1:43" ht="15.75" customHeight="1" x14ac:dyDescent="0.2">
      <c r="A400"/>
      <c r="B400" s="2"/>
      <c r="C400" s="27"/>
      <c r="D400" s="27"/>
      <c r="E400" s="27"/>
      <c r="F400" s="27"/>
      <c r="G400" s="27"/>
      <c r="H400" s="27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</row>
    <row r="401" spans="1:43" ht="15.75" customHeight="1" x14ac:dyDescent="0.2">
      <c r="A401"/>
      <c r="B401" s="2"/>
      <c r="C401" s="27"/>
      <c r="D401" s="27"/>
      <c r="E401" s="27"/>
      <c r="F401" s="27"/>
      <c r="G401" s="27"/>
      <c r="H401" s="27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</row>
    <row r="402" spans="1:43" ht="15.75" customHeight="1" x14ac:dyDescent="0.2">
      <c r="A402"/>
      <c r="B402" s="2"/>
      <c r="C402" s="27"/>
      <c r="D402" s="27"/>
      <c r="E402" s="27"/>
      <c r="F402" s="27"/>
      <c r="G402" s="27"/>
      <c r="H402" s="27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</row>
    <row r="403" spans="1:43" ht="15.75" customHeight="1" x14ac:dyDescent="0.2">
      <c r="A403"/>
      <c r="B403" s="2"/>
      <c r="C403" s="27"/>
      <c r="D403" s="27"/>
      <c r="E403" s="27"/>
      <c r="F403" s="27"/>
      <c r="G403" s="27"/>
      <c r="H403" s="27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</row>
    <row r="404" spans="1:43" ht="15.75" customHeight="1" x14ac:dyDescent="0.2">
      <c r="A404"/>
      <c r="B404" s="2"/>
      <c r="C404" s="27"/>
      <c r="D404" s="27"/>
      <c r="E404" s="27"/>
      <c r="F404" s="27"/>
      <c r="G404" s="27"/>
      <c r="H404" s="27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</row>
    <row r="405" spans="1:43" ht="15.75" customHeight="1" x14ac:dyDescent="0.2">
      <c r="A405"/>
      <c r="B405" s="2"/>
      <c r="C405" s="27"/>
      <c r="D405" s="27"/>
      <c r="E405" s="27"/>
      <c r="F405" s="27"/>
      <c r="G405" s="27"/>
      <c r="H405" s="27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</row>
    <row r="406" spans="1:43" ht="15.75" customHeight="1" x14ac:dyDescent="0.2">
      <c r="A406"/>
      <c r="B406" s="2"/>
      <c r="C406" s="27"/>
      <c r="D406" s="27"/>
      <c r="E406" s="27"/>
      <c r="F406" s="27"/>
      <c r="G406" s="27"/>
      <c r="H406" s="27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</row>
    <row r="407" spans="1:43" ht="15.75" customHeight="1" x14ac:dyDescent="0.2">
      <c r="A407"/>
      <c r="B407" s="2"/>
      <c r="C407" s="27"/>
      <c r="D407" s="27"/>
      <c r="E407" s="27"/>
      <c r="F407" s="27"/>
      <c r="G407" s="27"/>
      <c r="H407" s="27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</row>
    <row r="408" spans="1:43" ht="15.75" customHeight="1" x14ac:dyDescent="0.2">
      <c r="A408"/>
      <c r="B408" s="2"/>
      <c r="C408" s="27"/>
      <c r="D408" s="27"/>
      <c r="E408" s="27"/>
      <c r="F408" s="27"/>
      <c r="G408" s="27"/>
      <c r="H408" s="27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</row>
    <row r="409" spans="1:43" ht="15.75" customHeight="1" x14ac:dyDescent="0.2">
      <c r="A409"/>
      <c r="B409" s="2"/>
      <c r="C409" s="27"/>
      <c r="D409" s="27"/>
      <c r="E409" s="27"/>
      <c r="F409" s="27"/>
      <c r="G409" s="27"/>
      <c r="H409" s="27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</row>
    <row r="410" spans="1:43" ht="15.75" customHeight="1" x14ac:dyDescent="0.2">
      <c r="A410"/>
      <c r="B410" s="2"/>
      <c r="C410" s="27"/>
      <c r="D410" s="27"/>
      <c r="E410" s="27"/>
      <c r="F410" s="27"/>
      <c r="G410" s="27"/>
      <c r="H410" s="27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</row>
    <row r="411" spans="1:43" ht="15.75" customHeight="1" x14ac:dyDescent="0.2">
      <c r="A411"/>
      <c r="B411" s="2"/>
      <c r="C411" s="27"/>
      <c r="D411" s="27"/>
      <c r="E411" s="27"/>
      <c r="F411" s="27"/>
      <c r="G411" s="27"/>
      <c r="H411" s="27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</row>
    <row r="412" spans="1:43" ht="15.75" customHeight="1" x14ac:dyDescent="0.2">
      <c r="A412"/>
      <c r="B412" s="2"/>
      <c r="C412" s="27"/>
      <c r="D412" s="27"/>
      <c r="E412" s="27"/>
      <c r="F412" s="27"/>
      <c r="G412" s="27"/>
      <c r="H412" s="27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</row>
    <row r="413" spans="1:43" ht="15.75" customHeight="1" x14ac:dyDescent="0.2">
      <c r="A413"/>
      <c r="B413" s="2"/>
      <c r="C413" s="27"/>
      <c r="D413" s="27"/>
      <c r="E413" s="27"/>
      <c r="F413" s="27"/>
      <c r="G413" s="27"/>
      <c r="H413" s="27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</row>
    <row r="414" spans="1:43" ht="15.75" customHeight="1" x14ac:dyDescent="0.2">
      <c r="A414"/>
      <c r="B414" s="2"/>
      <c r="C414" s="27"/>
      <c r="D414" s="27"/>
      <c r="E414" s="27"/>
      <c r="F414" s="27"/>
      <c r="G414" s="27"/>
      <c r="H414" s="27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</row>
    <row r="415" spans="1:43" ht="15.75" customHeight="1" x14ac:dyDescent="0.2">
      <c r="A415"/>
      <c r="B415" s="2"/>
      <c r="C415" s="27"/>
      <c r="D415" s="27"/>
      <c r="E415" s="27"/>
      <c r="F415" s="27"/>
      <c r="G415" s="27"/>
      <c r="H415" s="27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</row>
    <row r="416" spans="1:43" ht="15.75" customHeight="1" x14ac:dyDescent="0.2">
      <c r="A416"/>
      <c r="B416" s="2"/>
      <c r="C416" s="27"/>
      <c r="D416" s="27"/>
      <c r="E416" s="27"/>
      <c r="F416" s="27"/>
      <c r="G416" s="27"/>
      <c r="H416" s="27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</row>
    <row r="417" spans="1:43" ht="15.75" customHeight="1" x14ac:dyDescent="0.2">
      <c r="A417"/>
      <c r="B417" s="2"/>
      <c r="C417" s="27"/>
      <c r="D417" s="27"/>
      <c r="E417" s="27"/>
      <c r="F417" s="27"/>
      <c r="G417" s="27"/>
      <c r="H417" s="27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</row>
    <row r="418" spans="1:43" ht="15.75" customHeight="1" x14ac:dyDescent="0.2">
      <c r="A418"/>
      <c r="B418" s="2"/>
      <c r="C418" s="27"/>
      <c r="D418" s="27"/>
      <c r="E418" s="27"/>
      <c r="F418" s="27"/>
      <c r="G418" s="27"/>
      <c r="H418" s="27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</row>
    <row r="419" spans="1:43" ht="15.75" customHeight="1" x14ac:dyDescent="0.2">
      <c r="A419"/>
      <c r="B419" s="2"/>
      <c r="C419" s="27"/>
      <c r="D419" s="27"/>
      <c r="E419" s="27"/>
      <c r="F419" s="27"/>
      <c r="G419" s="27"/>
      <c r="H419" s="27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</row>
    <row r="420" spans="1:43" ht="15.75" customHeight="1" x14ac:dyDescent="0.2">
      <c r="A420"/>
      <c r="B420" s="2"/>
      <c r="C420" s="27"/>
      <c r="D420" s="27"/>
      <c r="E420" s="27"/>
      <c r="F420" s="27"/>
      <c r="G420" s="27"/>
      <c r="H420" s="27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</row>
    <row r="421" spans="1:43" ht="15.75" customHeight="1" x14ac:dyDescent="0.2">
      <c r="A421"/>
      <c r="B421" s="2"/>
      <c r="C421" s="27"/>
      <c r="D421" s="27"/>
      <c r="E421" s="27"/>
      <c r="F421" s="27"/>
      <c r="G421" s="27"/>
      <c r="H421" s="27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</row>
    <row r="422" spans="1:43" ht="15.75" customHeight="1" x14ac:dyDescent="0.2">
      <c r="A422"/>
      <c r="B422" s="2"/>
      <c r="C422" s="27"/>
      <c r="D422" s="27"/>
      <c r="E422" s="27"/>
      <c r="F422" s="27"/>
      <c r="G422" s="27"/>
      <c r="H422" s="27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</row>
    <row r="423" spans="1:43" ht="15.75" customHeight="1" x14ac:dyDescent="0.2">
      <c r="A423"/>
      <c r="B423" s="2"/>
      <c r="C423" s="27"/>
      <c r="D423" s="27"/>
      <c r="E423" s="27"/>
      <c r="F423" s="27"/>
      <c r="G423" s="27"/>
      <c r="H423" s="27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</row>
    <row r="424" spans="1:43" ht="15.75" customHeight="1" x14ac:dyDescent="0.2">
      <c r="A424"/>
      <c r="B424" s="2"/>
      <c r="C424" s="27"/>
      <c r="D424" s="27"/>
      <c r="E424" s="27"/>
      <c r="F424" s="27"/>
      <c r="G424" s="27"/>
      <c r="H424" s="27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</row>
    <row r="425" spans="1:43" ht="15.75" customHeight="1" x14ac:dyDescent="0.2">
      <c r="A425"/>
      <c r="B425" s="2"/>
      <c r="C425" s="27"/>
      <c r="D425" s="27"/>
      <c r="E425" s="27"/>
      <c r="F425" s="27"/>
      <c r="G425" s="27"/>
      <c r="H425" s="27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</row>
    <row r="426" spans="1:43" ht="15.75" customHeight="1" x14ac:dyDescent="0.2">
      <c r="A426"/>
      <c r="B426" s="2"/>
      <c r="C426" s="27"/>
      <c r="D426" s="27"/>
      <c r="E426" s="27"/>
      <c r="F426" s="27"/>
      <c r="G426" s="27"/>
      <c r="H426" s="27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</row>
    <row r="427" spans="1:43" ht="15.75" customHeight="1" x14ac:dyDescent="0.2">
      <c r="A427"/>
      <c r="B427" s="2"/>
      <c r="C427" s="27"/>
      <c r="D427" s="27"/>
      <c r="E427" s="27"/>
      <c r="F427" s="27"/>
      <c r="G427" s="27"/>
      <c r="H427" s="27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</row>
    <row r="428" spans="1:43" ht="15.75" customHeight="1" x14ac:dyDescent="0.2">
      <c r="A428"/>
      <c r="B428" s="2"/>
      <c r="C428" s="27"/>
      <c r="D428" s="27"/>
      <c r="E428" s="27"/>
      <c r="F428" s="27"/>
      <c r="G428" s="27"/>
      <c r="H428" s="27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</row>
    <row r="429" spans="1:43" ht="15.75" customHeight="1" x14ac:dyDescent="0.2">
      <c r="A429"/>
      <c r="B429" s="2"/>
      <c r="C429" s="27"/>
      <c r="D429" s="27"/>
      <c r="E429" s="27"/>
      <c r="F429" s="27"/>
      <c r="G429" s="27"/>
      <c r="H429" s="27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</row>
    <row r="430" spans="1:43" ht="15.75" customHeight="1" x14ac:dyDescent="0.2">
      <c r="A430"/>
      <c r="B430" s="2"/>
      <c r="C430" s="27"/>
      <c r="D430" s="27"/>
      <c r="E430" s="27"/>
      <c r="F430" s="27"/>
      <c r="G430" s="27"/>
      <c r="H430" s="27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</row>
    <row r="431" spans="1:43" ht="15.75" customHeight="1" x14ac:dyDescent="0.2">
      <c r="A431"/>
      <c r="B431" s="2"/>
      <c r="C431" s="27"/>
      <c r="D431" s="27"/>
      <c r="E431" s="27"/>
      <c r="F431" s="27"/>
      <c r="G431" s="27"/>
      <c r="H431" s="27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</row>
    <row r="432" spans="1:43" ht="15.75" customHeight="1" x14ac:dyDescent="0.2">
      <c r="A432"/>
      <c r="B432" s="2"/>
      <c r="C432" s="27"/>
      <c r="D432" s="27"/>
      <c r="E432" s="27"/>
      <c r="F432" s="27"/>
      <c r="G432" s="27"/>
      <c r="H432" s="27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</row>
    <row r="433" spans="1:43" ht="15.75" customHeight="1" x14ac:dyDescent="0.2">
      <c r="A433"/>
      <c r="B433" s="2"/>
      <c r="C433" s="27"/>
      <c r="D433" s="27"/>
      <c r="E433" s="27"/>
      <c r="F433" s="27"/>
      <c r="G433" s="27"/>
      <c r="H433" s="27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</row>
    <row r="434" spans="1:43" ht="15.75" customHeight="1" x14ac:dyDescent="0.2">
      <c r="A434"/>
      <c r="B434" s="2"/>
      <c r="C434" s="27"/>
      <c r="D434" s="27"/>
      <c r="E434" s="27"/>
      <c r="F434" s="27"/>
      <c r="G434" s="27"/>
      <c r="H434" s="27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</row>
    <row r="435" spans="1:43" ht="15.75" customHeight="1" x14ac:dyDescent="0.2">
      <c r="A435"/>
      <c r="B435" s="2"/>
      <c r="C435" s="27"/>
      <c r="D435" s="27"/>
      <c r="E435" s="27"/>
      <c r="F435" s="27"/>
      <c r="G435" s="27"/>
      <c r="H435" s="27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</row>
    <row r="436" spans="1:43" ht="15.75" customHeight="1" x14ac:dyDescent="0.2">
      <c r="A436"/>
      <c r="B436" s="2"/>
      <c r="C436" s="27"/>
      <c r="D436" s="27"/>
      <c r="E436" s="27"/>
      <c r="F436" s="27"/>
      <c r="G436" s="27"/>
      <c r="H436" s="27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</row>
    <row r="437" spans="1:43" ht="15.75" customHeight="1" x14ac:dyDescent="0.2">
      <c r="A437"/>
      <c r="B437" s="2"/>
      <c r="C437" s="27"/>
      <c r="D437" s="27"/>
      <c r="E437" s="27"/>
      <c r="F437" s="27"/>
      <c r="G437" s="27"/>
      <c r="H437" s="27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</row>
    <row r="438" spans="1:43" ht="15.75" customHeight="1" x14ac:dyDescent="0.2">
      <c r="A438"/>
      <c r="B438" s="2"/>
      <c r="C438" s="27"/>
      <c r="D438" s="27"/>
      <c r="E438" s="27"/>
      <c r="F438" s="27"/>
      <c r="G438" s="27"/>
      <c r="H438" s="27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</row>
    <row r="439" spans="1:43" ht="15.75" customHeight="1" x14ac:dyDescent="0.2">
      <c r="A439"/>
      <c r="B439" s="2"/>
      <c r="C439" s="27"/>
      <c r="D439" s="27"/>
      <c r="E439" s="27"/>
      <c r="F439" s="27"/>
      <c r="G439" s="27"/>
      <c r="H439" s="27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</row>
    <row r="440" spans="1:43" ht="15.75" customHeight="1" x14ac:dyDescent="0.2">
      <c r="A440"/>
      <c r="B440" s="2"/>
      <c r="C440" s="27"/>
      <c r="D440" s="27"/>
      <c r="E440" s="27"/>
      <c r="F440" s="27"/>
      <c r="G440" s="27"/>
      <c r="H440" s="27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</row>
    <row r="441" spans="1:43" ht="15.75" customHeight="1" x14ac:dyDescent="0.2">
      <c r="A441"/>
      <c r="B441" s="2"/>
      <c r="C441" s="27"/>
      <c r="D441" s="27"/>
      <c r="E441" s="27"/>
      <c r="F441" s="27"/>
      <c r="G441" s="27"/>
      <c r="H441" s="27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</row>
    <row r="442" spans="1:43" ht="15.75" customHeight="1" x14ac:dyDescent="0.2">
      <c r="A442"/>
      <c r="B442" s="2"/>
      <c r="C442" s="27"/>
      <c r="D442" s="27"/>
      <c r="E442" s="27"/>
      <c r="F442" s="27"/>
      <c r="G442" s="27"/>
      <c r="H442" s="27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</row>
    <row r="443" spans="1:43" ht="15.75" customHeight="1" x14ac:dyDescent="0.2">
      <c r="A443"/>
      <c r="B443" s="2"/>
      <c r="C443" s="27"/>
      <c r="D443" s="27"/>
      <c r="E443" s="27"/>
      <c r="F443" s="27"/>
      <c r="G443" s="27"/>
      <c r="H443" s="27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</row>
    <row r="444" spans="1:43" ht="15.75" customHeight="1" x14ac:dyDescent="0.2">
      <c r="A444"/>
      <c r="B444" s="2"/>
      <c r="C444" s="27"/>
      <c r="D444" s="27"/>
      <c r="E444" s="27"/>
      <c r="F444" s="27"/>
      <c r="G444" s="27"/>
      <c r="H444" s="27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</row>
    <row r="445" spans="1:43" ht="15.75" customHeight="1" x14ac:dyDescent="0.2">
      <c r="A445"/>
      <c r="B445" s="2"/>
      <c r="C445" s="27"/>
      <c r="D445" s="27"/>
      <c r="E445" s="27"/>
      <c r="F445" s="27"/>
      <c r="G445" s="27"/>
      <c r="H445" s="27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</row>
    <row r="446" spans="1:43" ht="15.75" customHeight="1" x14ac:dyDescent="0.2">
      <c r="A446"/>
      <c r="B446" s="2"/>
      <c r="C446" s="27"/>
      <c r="D446" s="27"/>
      <c r="E446" s="27"/>
      <c r="F446" s="27"/>
      <c r="G446" s="27"/>
      <c r="H446" s="27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</row>
    <row r="447" spans="1:43" ht="15.75" customHeight="1" x14ac:dyDescent="0.2">
      <c r="A447"/>
      <c r="B447" s="2"/>
      <c r="C447" s="27"/>
      <c r="D447" s="27"/>
      <c r="E447" s="27"/>
      <c r="F447" s="27"/>
      <c r="G447" s="27"/>
      <c r="H447" s="27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</row>
    <row r="448" spans="1:43" ht="15.75" customHeight="1" x14ac:dyDescent="0.2">
      <c r="A448"/>
      <c r="B448" s="2"/>
      <c r="C448" s="27"/>
      <c r="D448" s="27"/>
      <c r="E448" s="27"/>
      <c r="F448" s="27"/>
      <c r="G448" s="27"/>
      <c r="H448" s="27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</row>
    <row r="449" spans="1:43" ht="15.75" customHeight="1" x14ac:dyDescent="0.2">
      <c r="A449"/>
      <c r="B449" s="2"/>
      <c r="C449" s="27"/>
      <c r="D449" s="27"/>
      <c r="E449" s="27"/>
      <c r="F449" s="27"/>
      <c r="G449" s="27"/>
      <c r="H449" s="27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</row>
    <row r="450" spans="1:43" ht="15.75" customHeight="1" x14ac:dyDescent="0.2">
      <c r="A450"/>
      <c r="B450" s="2"/>
      <c r="C450" s="27"/>
      <c r="D450" s="27"/>
      <c r="E450" s="27"/>
      <c r="F450" s="27"/>
      <c r="G450" s="27"/>
      <c r="H450" s="27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</row>
    <row r="451" spans="1:43" ht="15.75" customHeight="1" x14ac:dyDescent="0.2">
      <c r="A451"/>
      <c r="B451" s="2"/>
      <c r="C451" s="27"/>
      <c r="D451" s="27"/>
      <c r="E451" s="27"/>
      <c r="F451" s="27"/>
      <c r="G451" s="27"/>
      <c r="H451" s="27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</row>
    <row r="452" spans="1:43" ht="15.75" customHeight="1" x14ac:dyDescent="0.2">
      <c r="A452"/>
      <c r="B452" s="2"/>
      <c r="C452" s="27"/>
      <c r="D452" s="27"/>
      <c r="E452" s="27"/>
      <c r="F452" s="27"/>
      <c r="G452" s="27"/>
      <c r="H452" s="27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</row>
    <row r="453" spans="1:43" ht="15.75" customHeight="1" x14ac:dyDescent="0.2">
      <c r="A453"/>
      <c r="B453" s="2"/>
      <c r="C453" s="27"/>
      <c r="D453" s="27"/>
      <c r="E453" s="27"/>
      <c r="F453" s="27"/>
      <c r="G453" s="27"/>
      <c r="H453" s="27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</row>
    <row r="454" spans="1:43" ht="15.75" customHeight="1" x14ac:dyDescent="0.2">
      <c r="A454"/>
      <c r="B454" s="2"/>
      <c r="C454" s="27"/>
      <c r="D454" s="27"/>
      <c r="E454" s="27"/>
      <c r="F454" s="27"/>
      <c r="G454" s="27"/>
      <c r="H454" s="27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</row>
    <row r="455" spans="1:43" ht="15.75" customHeight="1" x14ac:dyDescent="0.2">
      <c r="A455"/>
      <c r="B455" s="2"/>
      <c r="C455" s="27"/>
      <c r="D455" s="27"/>
      <c r="E455" s="27"/>
      <c r="F455" s="27"/>
      <c r="G455" s="27"/>
      <c r="H455" s="27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</row>
    <row r="456" spans="1:43" ht="15.75" customHeight="1" x14ac:dyDescent="0.2">
      <c r="A456"/>
      <c r="B456" s="2"/>
      <c r="C456" s="27"/>
      <c r="D456" s="27"/>
      <c r="E456" s="27"/>
      <c r="F456" s="27"/>
      <c r="G456" s="27"/>
      <c r="H456" s="27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</row>
    <row r="457" spans="1:43" ht="15.75" customHeight="1" x14ac:dyDescent="0.2">
      <c r="A457"/>
      <c r="B457" s="2"/>
      <c r="C457" s="27"/>
      <c r="D457" s="27"/>
      <c r="E457" s="27"/>
      <c r="F457" s="27"/>
      <c r="G457" s="27"/>
      <c r="H457" s="27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</row>
    <row r="458" spans="1:43" ht="15.75" customHeight="1" x14ac:dyDescent="0.2">
      <c r="A458"/>
      <c r="B458" s="2"/>
      <c r="C458" s="27"/>
      <c r="D458" s="27"/>
      <c r="E458" s="27"/>
      <c r="F458" s="27"/>
      <c r="G458" s="27"/>
      <c r="H458" s="27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</row>
    <row r="459" spans="1:43" ht="15.75" customHeight="1" x14ac:dyDescent="0.2">
      <c r="A459"/>
      <c r="B459" s="2"/>
      <c r="C459" s="27"/>
      <c r="D459" s="27"/>
      <c r="E459" s="27"/>
      <c r="F459" s="27"/>
      <c r="G459" s="27"/>
      <c r="H459" s="27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</row>
    <row r="460" spans="1:43" ht="15.75" customHeight="1" x14ac:dyDescent="0.2">
      <c r="A460"/>
      <c r="B460" s="2"/>
      <c r="C460" s="27"/>
      <c r="D460" s="27"/>
      <c r="E460" s="27"/>
      <c r="F460" s="27"/>
      <c r="G460" s="27"/>
      <c r="H460" s="27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</row>
    <row r="461" spans="1:43" ht="15.75" customHeight="1" x14ac:dyDescent="0.2">
      <c r="A461"/>
      <c r="B461" s="2"/>
      <c r="C461" s="27"/>
      <c r="D461" s="27"/>
      <c r="E461" s="27"/>
      <c r="F461" s="27"/>
      <c r="G461" s="27"/>
      <c r="H461" s="27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</row>
    <row r="462" spans="1:43" ht="15.75" customHeight="1" x14ac:dyDescent="0.2">
      <c r="A462"/>
      <c r="B462" s="2"/>
      <c r="C462" s="27"/>
      <c r="D462" s="27"/>
      <c r="E462" s="27"/>
      <c r="F462" s="27"/>
      <c r="G462" s="27"/>
      <c r="H462" s="27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</row>
    <row r="463" spans="1:43" ht="15.75" customHeight="1" x14ac:dyDescent="0.2">
      <c r="A463"/>
      <c r="B463" s="2"/>
      <c r="C463" s="27"/>
      <c r="D463" s="27"/>
      <c r="E463" s="27"/>
      <c r="F463" s="27"/>
      <c r="G463" s="27"/>
      <c r="H463" s="27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</row>
    <row r="464" spans="1:43" ht="15.75" customHeight="1" x14ac:dyDescent="0.2">
      <c r="A464"/>
      <c r="B464" s="2"/>
      <c r="C464" s="27"/>
      <c r="D464" s="27"/>
      <c r="E464" s="27"/>
      <c r="F464" s="27"/>
      <c r="G464" s="27"/>
      <c r="H464" s="27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</row>
    <row r="465" spans="1:43" ht="15.75" customHeight="1" x14ac:dyDescent="0.2">
      <c r="A465"/>
      <c r="B465" s="2"/>
      <c r="C465" s="27"/>
      <c r="D465" s="27"/>
      <c r="E465" s="27"/>
      <c r="F465" s="27"/>
      <c r="G465" s="27"/>
      <c r="H465" s="27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</row>
    <row r="466" spans="1:43" ht="15.75" customHeight="1" x14ac:dyDescent="0.2">
      <c r="A466"/>
      <c r="B466" s="2"/>
      <c r="C466" s="27"/>
      <c r="D466" s="27"/>
      <c r="E466" s="27"/>
      <c r="F466" s="27"/>
      <c r="G466" s="27"/>
      <c r="H466" s="27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</row>
    <row r="467" spans="1:43" ht="15.75" customHeight="1" x14ac:dyDescent="0.2">
      <c r="A467"/>
      <c r="B467" s="2"/>
      <c r="C467" s="27"/>
      <c r="D467" s="27"/>
      <c r="E467" s="27"/>
      <c r="F467" s="27"/>
      <c r="G467" s="27"/>
      <c r="H467" s="27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</row>
    <row r="468" spans="1:43" ht="15.75" customHeight="1" x14ac:dyDescent="0.2">
      <c r="A468"/>
      <c r="B468" s="2"/>
      <c r="C468" s="27"/>
      <c r="D468" s="27"/>
      <c r="E468" s="27"/>
      <c r="F468" s="27"/>
      <c r="G468" s="27"/>
      <c r="H468" s="27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</row>
    <row r="469" spans="1:43" ht="15.75" customHeight="1" x14ac:dyDescent="0.2">
      <c r="A469"/>
      <c r="B469" s="2"/>
      <c r="C469" s="27"/>
      <c r="D469" s="27"/>
      <c r="E469" s="27"/>
      <c r="F469" s="27"/>
      <c r="G469" s="27"/>
      <c r="H469" s="27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</row>
    <row r="470" spans="1:43" ht="15.75" customHeight="1" x14ac:dyDescent="0.2">
      <c r="A470"/>
      <c r="B470" s="2"/>
      <c r="C470" s="27"/>
      <c r="D470" s="27"/>
      <c r="E470" s="27"/>
      <c r="F470" s="27"/>
      <c r="G470" s="27"/>
      <c r="H470" s="27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</row>
    <row r="471" spans="1:43" ht="15.75" customHeight="1" x14ac:dyDescent="0.2">
      <c r="A471"/>
      <c r="B471" s="2"/>
      <c r="C471" s="27"/>
      <c r="D471" s="27"/>
      <c r="E471" s="27"/>
      <c r="F471" s="27"/>
      <c r="G471" s="27"/>
      <c r="H471" s="27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</row>
    <row r="472" spans="1:43" ht="15.75" customHeight="1" x14ac:dyDescent="0.2">
      <c r="A472"/>
      <c r="B472" s="2"/>
      <c r="C472" s="27"/>
      <c r="D472" s="27"/>
      <c r="E472" s="27"/>
      <c r="F472" s="27"/>
      <c r="G472" s="27"/>
      <c r="H472" s="27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</row>
    <row r="473" spans="1:43" ht="15.75" customHeight="1" x14ac:dyDescent="0.2">
      <c r="A473"/>
      <c r="B473" s="2"/>
      <c r="C473" s="27"/>
      <c r="D473" s="27"/>
      <c r="E473" s="27"/>
      <c r="F473" s="27"/>
      <c r="G473" s="27"/>
      <c r="H473" s="27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</row>
    <row r="474" spans="1:43" ht="15.75" customHeight="1" x14ac:dyDescent="0.2">
      <c r="A474"/>
      <c r="B474" s="2"/>
      <c r="C474" s="27"/>
      <c r="D474" s="27"/>
      <c r="E474" s="27"/>
      <c r="F474" s="27"/>
      <c r="G474" s="27"/>
      <c r="H474" s="27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</row>
    <row r="475" spans="1:43" ht="15.75" customHeight="1" x14ac:dyDescent="0.2">
      <c r="A475"/>
      <c r="B475" s="2"/>
      <c r="C475" s="27"/>
      <c r="D475" s="27"/>
      <c r="E475" s="27"/>
      <c r="F475" s="27"/>
      <c r="G475" s="27"/>
      <c r="H475" s="27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</row>
    <row r="476" spans="1:43" ht="15.75" customHeight="1" x14ac:dyDescent="0.2">
      <c r="A476"/>
      <c r="B476" s="2"/>
      <c r="C476" s="27"/>
      <c r="D476" s="27"/>
      <c r="E476" s="27"/>
      <c r="F476" s="27"/>
      <c r="G476" s="27"/>
      <c r="H476" s="27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</row>
    <row r="477" spans="1:43" ht="15.75" customHeight="1" x14ac:dyDescent="0.2">
      <c r="A477"/>
      <c r="B477" s="2"/>
      <c r="C477" s="27"/>
      <c r="D477" s="27"/>
      <c r="E477" s="27"/>
      <c r="F477" s="27"/>
      <c r="G477" s="27"/>
      <c r="H477" s="27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</row>
    <row r="478" spans="1:43" ht="15.75" customHeight="1" x14ac:dyDescent="0.2">
      <c r="A478"/>
      <c r="B478" s="2"/>
      <c r="C478" s="27"/>
      <c r="D478" s="27"/>
      <c r="E478" s="27"/>
      <c r="F478" s="27"/>
      <c r="G478" s="27"/>
      <c r="H478" s="27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</row>
    <row r="479" spans="1:43" ht="15.75" customHeight="1" x14ac:dyDescent="0.2">
      <c r="A479"/>
      <c r="B479" s="2"/>
      <c r="C479" s="27"/>
      <c r="D479" s="27"/>
      <c r="E479" s="27"/>
      <c r="F479" s="27"/>
      <c r="G479" s="27"/>
      <c r="H479" s="27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</row>
    <row r="480" spans="1:43" ht="15.75" customHeight="1" x14ac:dyDescent="0.2">
      <c r="A480"/>
      <c r="B480" s="2"/>
      <c r="C480" s="27"/>
      <c r="D480" s="27"/>
      <c r="E480" s="27"/>
      <c r="F480" s="27"/>
      <c r="G480" s="27"/>
      <c r="H480" s="27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</row>
    <row r="481" spans="1:43" ht="15.75" customHeight="1" x14ac:dyDescent="0.2">
      <c r="A481"/>
      <c r="B481" s="2"/>
      <c r="C481" s="27"/>
      <c r="D481" s="27"/>
      <c r="E481" s="27"/>
      <c r="F481" s="27"/>
      <c r="G481" s="27"/>
      <c r="H481" s="27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</row>
    <row r="482" spans="1:43" ht="15.75" customHeight="1" x14ac:dyDescent="0.2">
      <c r="A482"/>
      <c r="B482" s="2"/>
      <c r="C482" s="27"/>
      <c r="D482" s="27"/>
      <c r="E482" s="27"/>
      <c r="F482" s="27"/>
      <c r="G482" s="27"/>
      <c r="H482" s="27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</row>
    <row r="483" spans="1:43" ht="15.75" customHeight="1" x14ac:dyDescent="0.2">
      <c r="A483"/>
      <c r="B483" s="2"/>
      <c r="C483" s="27"/>
      <c r="D483" s="27"/>
      <c r="E483" s="27"/>
      <c r="F483" s="27"/>
      <c r="G483" s="27"/>
      <c r="H483" s="27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</row>
    <row r="484" spans="1:43" ht="15.75" customHeight="1" x14ac:dyDescent="0.2">
      <c r="A484"/>
      <c r="B484" s="2"/>
      <c r="C484" s="27"/>
      <c r="D484" s="27"/>
      <c r="E484" s="27"/>
      <c r="F484" s="27"/>
      <c r="G484" s="27"/>
      <c r="H484" s="27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</row>
    <row r="485" spans="1:43" ht="15.75" customHeight="1" x14ac:dyDescent="0.2">
      <c r="A485"/>
      <c r="B485" s="2"/>
      <c r="C485" s="27"/>
      <c r="D485" s="27"/>
      <c r="E485" s="27"/>
      <c r="F485" s="27"/>
      <c r="G485" s="27"/>
      <c r="H485" s="27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</row>
    <row r="486" spans="1:43" ht="15.75" customHeight="1" x14ac:dyDescent="0.2">
      <c r="A486"/>
      <c r="B486" s="2"/>
      <c r="C486" s="27"/>
      <c r="D486" s="27"/>
      <c r="E486" s="27"/>
      <c r="F486" s="27"/>
      <c r="G486" s="27"/>
      <c r="H486" s="27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</row>
    <row r="487" spans="1:43" ht="15.75" customHeight="1" x14ac:dyDescent="0.2">
      <c r="A487"/>
      <c r="B487" s="2"/>
      <c r="C487" s="27"/>
      <c r="D487" s="27"/>
      <c r="E487" s="27"/>
      <c r="F487" s="27"/>
      <c r="G487" s="27"/>
      <c r="H487" s="27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</row>
    <row r="488" spans="1:43" ht="15.75" customHeight="1" x14ac:dyDescent="0.2">
      <c r="A488"/>
      <c r="B488" s="2"/>
      <c r="C488" s="27"/>
      <c r="D488" s="27"/>
      <c r="E488" s="27"/>
      <c r="F488" s="27"/>
      <c r="G488" s="27"/>
      <c r="H488" s="27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</row>
    <row r="489" spans="1:43" ht="15.75" customHeight="1" x14ac:dyDescent="0.2">
      <c r="A489"/>
      <c r="B489" s="2"/>
      <c r="C489" s="27"/>
      <c r="D489" s="27"/>
      <c r="E489" s="27"/>
      <c r="F489" s="27"/>
      <c r="G489" s="27"/>
      <c r="H489" s="27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</row>
    <row r="490" spans="1:43" ht="15.75" customHeight="1" x14ac:dyDescent="0.2">
      <c r="A490"/>
      <c r="B490" s="2"/>
      <c r="C490" s="27"/>
      <c r="D490" s="27"/>
      <c r="E490" s="27"/>
      <c r="F490" s="27"/>
      <c r="G490" s="27"/>
      <c r="H490" s="27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</row>
    <row r="491" spans="1:43" ht="15.75" customHeight="1" x14ac:dyDescent="0.2">
      <c r="A491"/>
      <c r="B491" s="2"/>
      <c r="C491" s="27"/>
      <c r="D491" s="27"/>
      <c r="E491" s="27"/>
      <c r="F491" s="27"/>
      <c r="G491" s="27"/>
      <c r="H491" s="27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</row>
    <row r="492" spans="1:43" ht="15.75" customHeight="1" x14ac:dyDescent="0.2">
      <c r="A492"/>
      <c r="B492" s="2"/>
      <c r="C492" s="27"/>
      <c r="D492" s="27"/>
      <c r="E492" s="27"/>
      <c r="F492" s="27"/>
      <c r="G492" s="27"/>
      <c r="H492" s="27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</row>
    <row r="493" spans="1:43" ht="15.75" customHeight="1" x14ac:dyDescent="0.2">
      <c r="A493"/>
      <c r="B493" s="2"/>
      <c r="C493" s="27"/>
      <c r="D493" s="27"/>
      <c r="E493" s="27"/>
      <c r="F493" s="27"/>
      <c r="G493" s="27"/>
      <c r="H493" s="27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</row>
    <row r="494" spans="1:43" ht="15.75" customHeight="1" x14ac:dyDescent="0.2">
      <c r="A494"/>
      <c r="B494" s="2"/>
      <c r="C494" s="27"/>
      <c r="D494" s="27"/>
      <c r="E494" s="27"/>
      <c r="F494" s="27"/>
      <c r="G494" s="27"/>
      <c r="H494" s="27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</row>
    <row r="495" spans="1:43" ht="15.75" customHeight="1" x14ac:dyDescent="0.2">
      <c r="A495"/>
      <c r="B495" s="2"/>
      <c r="C495" s="27"/>
      <c r="D495" s="27"/>
      <c r="E495" s="27"/>
      <c r="F495" s="27"/>
      <c r="G495" s="27"/>
      <c r="H495" s="27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</row>
    <row r="496" spans="1:43" ht="15.75" customHeight="1" x14ac:dyDescent="0.2">
      <c r="A496"/>
      <c r="B496" s="2"/>
      <c r="C496" s="27"/>
      <c r="D496" s="27"/>
      <c r="E496" s="27"/>
      <c r="F496" s="27"/>
      <c r="G496" s="27"/>
      <c r="H496" s="27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</row>
    <row r="497" spans="1:43" ht="15.75" customHeight="1" x14ac:dyDescent="0.2">
      <c r="A497"/>
      <c r="B497" s="2"/>
      <c r="C497" s="27"/>
      <c r="D497" s="27"/>
      <c r="E497" s="27"/>
      <c r="F497" s="27"/>
      <c r="G497" s="27"/>
      <c r="H497" s="27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</row>
    <row r="498" spans="1:43" ht="15.75" customHeight="1" x14ac:dyDescent="0.2">
      <c r="A498"/>
      <c r="B498" s="2"/>
      <c r="C498" s="27"/>
      <c r="D498" s="27"/>
      <c r="E498" s="27"/>
      <c r="F498" s="27"/>
      <c r="G498" s="27"/>
      <c r="H498" s="27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</row>
    <row r="499" spans="1:43" ht="15.75" customHeight="1" x14ac:dyDescent="0.2">
      <c r="A499"/>
      <c r="B499" s="2"/>
      <c r="C499" s="27"/>
      <c r="D499" s="27"/>
      <c r="E499" s="27"/>
      <c r="F499" s="27"/>
      <c r="G499" s="27"/>
      <c r="H499" s="27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</row>
    <row r="500" spans="1:43" ht="15.75" customHeight="1" x14ac:dyDescent="0.2">
      <c r="A500"/>
      <c r="B500" s="2"/>
      <c r="C500" s="27"/>
      <c r="D500" s="27"/>
      <c r="E500" s="27"/>
      <c r="F500" s="27"/>
      <c r="G500" s="27"/>
      <c r="H500" s="27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</row>
    <row r="501" spans="1:43" ht="15.75" customHeight="1" x14ac:dyDescent="0.2">
      <c r="A501"/>
      <c r="B501" s="2"/>
      <c r="C501" s="27"/>
      <c r="D501" s="27"/>
      <c r="E501" s="27"/>
      <c r="F501" s="27"/>
      <c r="G501" s="27"/>
      <c r="H501" s="27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</row>
    <row r="502" spans="1:43" ht="15.75" customHeight="1" x14ac:dyDescent="0.2">
      <c r="A502"/>
      <c r="B502" s="2"/>
      <c r="C502" s="27"/>
      <c r="D502" s="27"/>
      <c r="E502" s="27"/>
      <c r="F502" s="27"/>
      <c r="G502" s="27"/>
      <c r="H502" s="27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</row>
    <row r="503" spans="1:43" ht="15.75" customHeight="1" x14ac:dyDescent="0.2">
      <c r="A503"/>
      <c r="B503" s="2"/>
      <c r="C503" s="27"/>
      <c r="D503" s="27"/>
      <c r="E503" s="27"/>
      <c r="F503" s="27"/>
      <c r="G503" s="27"/>
      <c r="H503" s="27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</row>
    <row r="504" spans="1:43" ht="15.75" customHeight="1" x14ac:dyDescent="0.2">
      <c r="A504"/>
      <c r="B504" s="2"/>
      <c r="C504" s="27"/>
      <c r="D504" s="27"/>
      <c r="E504" s="27"/>
      <c r="F504" s="27"/>
      <c r="G504" s="27"/>
      <c r="H504" s="27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</row>
    <row r="505" spans="1:43" ht="15.75" customHeight="1" x14ac:dyDescent="0.2">
      <c r="A505"/>
      <c r="B505" s="2"/>
      <c r="C505" s="27"/>
      <c r="D505" s="27"/>
      <c r="E505" s="27"/>
      <c r="F505" s="27"/>
      <c r="G505" s="27"/>
      <c r="H505" s="27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</row>
    <row r="506" spans="1:43" ht="15.75" customHeight="1" x14ac:dyDescent="0.2">
      <c r="A506"/>
      <c r="B506" s="2"/>
      <c r="C506" s="27"/>
      <c r="D506" s="27"/>
      <c r="E506" s="27"/>
      <c r="F506" s="27"/>
      <c r="G506" s="27"/>
      <c r="H506" s="27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</row>
    <row r="507" spans="1:43" ht="15.75" customHeight="1" x14ac:dyDescent="0.2">
      <c r="A507"/>
      <c r="B507" s="2"/>
      <c r="C507" s="27"/>
      <c r="D507" s="27"/>
      <c r="E507" s="27"/>
      <c r="F507" s="27"/>
      <c r="G507" s="27"/>
      <c r="H507" s="27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</row>
    <row r="508" spans="1:43" ht="15.75" customHeight="1" x14ac:dyDescent="0.2">
      <c r="A508"/>
      <c r="B508" s="2"/>
      <c r="C508" s="27"/>
      <c r="D508" s="27"/>
      <c r="E508" s="27"/>
      <c r="F508" s="27"/>
      <c r="G508" s="27"/>
      <c r="H508" s="27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</row>
    <row r="509" spans="1:43" ht="15.75" customHeight="1" x14ac:dyDescent="0.2">
      <c r="A509"/>
      <c r="B509" s="2"/>
      <c r="C509" s="27"/>
      <c r="D509" s="27"/>
      <c r="E509" s="27"/>
      <c r="F509" s="27"/>
      <c r="G509" s="27"/>
      <c r="H509" s="27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</row>
    <row r="510" spans="1:43" ht="15.75" customHeight="1" x14ac:dyDescent="0.2">
      <c r="A510"/>
      <c r="B510" s="2"/>
      <c r="C510" s="27"/>
      <c r="D510" s="27"/>
      <c r="E510" s="27"/>
      <c r="F510" s="27"/>
      <c r="G510" s="27"/>
      <c r="H510" s="27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</row>
    <row r="511" spans="1:43" ht="15.75" customHeight="1" x14ac:dyDescent="0.2">
      <c r="A511"/>
      <c r="B511" s="2"/>
      <c r="C511" s="27"/>
      <c r="D511" s="27"/>
      <c r="E511" s="27"/>
      <c r="F511" s="27"/>
      <c r="G511" s="27"/>
      <c r="H511" s="27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</row>
    <row r="512" spans="1:43" ht="15.75" customHeight="1" x14ac:dyDescent="0.2">
      <c r="A512"/>
      <c r="B512" s="2"/>
      <c r="C512" s="27"/>
      <c r="D512" s="27"/>
      <c r="E512" s="27"/>
      <c r="F512" s="27"/>
      <c r="G512" s="27"/>
      <c r="H512" s="27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</row>
    <row r="513" spans="1:43" ht="15.75" customHeight="1" x14ac:dyDescent="0.2">
      <c r="A513"/>
      <c r="B513" s="2"/>
      <c r="C513" s="27"/>
      <c r="D513" s="27"/>
      <c r="E513" s="27"/>
      <c r="F513" s="27"/>
      <c r="G513" s="27"/>
      <c r="H513" s="27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</row>
    <row r="514" spans="1:43" ht="15.75" customHeight="1" x14ac:dyDescent="0.2">
      <c r="A514"/>
      <c r="B514" s="2"/>
      <c r="C514" s="27"/>
      <c r="D514" s="27"/>
      <c r="E514" s="27"/>
      <c r="F514" s="27"/>
      <c r="G514" s="27"/>
      <c r="H514" s="27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</row>
    <row r="515" spans="1:43" ht="15.75" customHeight="1" x14ac:dyDescent="0.2">
      <c r="A515"/>
      <c r="B515" s="2"/>
      <c r="C515" s="27"/>
      <c r="D515" s="27"/>
      <c r="E515" s="27"/>
      <c r="F515" s="27"/>
      <c r="G515" s="27"/>
      <c r="H515" s="27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</row>
    <row r="516" spans="1:43" ht="15.75" customHeight="1" x14ac:dyDescent="0.2">
      <c r="A516"/>
      <c r="B516" s="2"/>
      <c r="C516" s="27"/>
      <c r="D516" s="27"/>
      <c r="E516" s="27"/>
      <c r="F516" s="27"/>
      <c r="G516" s="27"/>
      <c r="H516" s="27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</row>
    <row r="517" spans="1:43" ht="15.75" customHeight="1" x14ac:dyDescent="0.2">
      <c r="A517"/>
      <c r="B517" s="2"/>
      <c r="C517" s="27"/>
      <c r="D517" s="27"/>
      <c r="E517" s="27"/>
      <c r="F517" s="27"/>
      <c r="G517" s="27"/>
      <c r="H517" s="27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</row>
    <row r="518" spans="1:43" ht="15.75" customHeight="1" x14ac:dyDescent="0.2">
      <c r="A518"/>
      <c r="B518" s="2"/>
      <c r="C518" s="27"/>
      <c r="D518" s="27"/>
      <c r="E518" s="27"/>
      <c r="F518" s="27"/>
      <c r="G518" s="27"/>
      <c r="H518" s="27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</row>
    <row r="519" spans="1:43" ht="15.75" customHeight="1" x14ac:dyDescent="0.2">
      <c r="A519"/>
      <c r="B519" s="2"/>
      <c r="C519" s="27"/>
      <c r="D519" s="27"/>
      <c r="E519" s="27"/>
      <c r="F519" s="27"/>
      <c r="G519" s="27"/>
      <c r="H519" s="27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</row>
    <row r="520" spans="1:43" ht="15.75" customHeight="1" x14ac:dyDescent="0.2">
      <c r="A520"/>
      <c r="B520" s="2"/>
      <c r="C520" s="27"/>
      <c r="D520" s="27"/>
      <c r="E520" s="27"/>
      <c r="F520" s="27"/>
      <c r="G520" s="27"/>
      <c r="H520" s="27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</row>
    <row r="521" spans="1:43" ht="15.75" customHeight="1" x14ac:dyDescent="0.2">
      <c r="A521"/>
      <c r="B521" s="2"/>
      <c r="C521" s="27"/>
      <c r="D521" s="27"/>
      <c r="E521" s="27"/>
      <c r="F521" s="27"/>
      <c r="G521" s="27"/>
      <c r="H521" s="27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</row>
    <row r="522" spans="1:43" ht="15.75" customHeight="1" x14ac:dyDescent="0.2">
      <c r="A522"/>
      <c r="B522" s="2"/>
      <c r="C522" s="27"/>
      <c r="D522" s="27"/>
      <c r="E522" s="27"/>
      <c r="F522" s="27"/>
      <c r="G522" s="27"/>
      <c r="H522" s="27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</row>
    <row r="523" spans="1:43" ht="15.75" customHeight="1" x14ac:dyDescent="0.2">
      <c r="A523"/>
      <c r="B523" s="2"/>
      <c r="C523" s="27"/>
      <c r="D523" s="27"/>
      <c r="E523" s="27"/>
      <c r="F523" s="27"/>
      <c r="G523" s="27"/>
      <c r="H523" s="27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</row>
    <row r="524" spans="1:43" ht="15.75" customHeight="1" x14ac:dyDescent="0.2">
      <c r="A524"/>
      <c r="B524" s="2"/>
      <c r="C524" s="27"/>
      <c r="D524" s="27"/>
      <c r="E524" s="27"/>
      <c r="F524" s="27"/>
      <c r="G524" s="27"/>
      <c r="H524" s="27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</row>
    <row r="525" spans="1:43" ht="15.75" customHeight="1" x14ac:dyDescent="0.2">
      <c r="A525"/>
      <c r="B525" s="2"/>
      <c r="C525" s="27"/>
      <c r="D525" s="27"/>
      <c r="E525" s="27"/>
      <c r="F525" s="27"/>
      <c r="G525" s="27"/>
      <c r="H525" s="27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</row>
    <row r="526" spans="1:43" ht="15.75" customHeight="1" x14ac:dyDescent="0.2">
      <c r="A526"/>
      <c r="B526" s="2"/>
      <c r="C526" s="27"/>
      <c r="D526" s="27"/>
      <c r="E526" s="27"/>
      <c r="F526" s="27"/>
      <c r="G526" s="27"/>
      <c r="H526" s="27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</row>
    <row r="527" spans="1:43" ht="15.75" customHeight="1" x14ac:dyDescent="0.2">
      <c r="A527"/>
      <c r="B527" s="2"/>
      <c r="C527" s="27"/>
      <c r="D527" s="27"/>
      <c r="E527" s="27"/>
      <c r="F527" s="27"/>
      <c r="G527" s="27"/>
      <c r="H527" s="27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</row>
    <row r="528" spans="1:43" ht="15.75" customHeight="1" x14ac:dyDescent="0.2">
      <c r="A528"/>
      <c r="B528" s="2"/>
      <c r="C528" s="27"/>
      <c r="D528" s="27"/>
      <c r="E528" s="27"/>
      <c r="F528" s="27"/>
      <c r="G528" s="27"/>
      <c r="H528" s="27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</row>
    <row r="529" spans="1:43" ht="15.75" customHeight="1" x14ac:dyDescent="0.2">
      <c r="A529"/>
      <c r="B529" s="2"/>
      <c r="C529" s="27"/>
      <c r="D529" s="27"/>
      <c r="E529" s="27"/>
      <c r="F529" s="27"/>
      <c r="G529" s="27"/>
      <c r="H529" s="27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</row>
    <row r="530" spans="1:43" ht="15.75" customHeight="1" x14ac:dyDescent="0.2">
      <c r="A530"/>
      <c r="B530" s="2"/>
      <c r="C530" s="27"/>
      <c r="D530" s="27"/>
      <c r="E530" s="27"/>
      <c r="F530" s="27"/>
      <c r="G530" s="27"/>
      <c r="H530" s="27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</row>
    <row r="531" spans="1:43" ht="15.75" customHeight="1" x14ac:dyDescent="0.2">
      <c r="A531"/>
      <c r="B531" s="2"/>
      <c r="C531" s="27"/>
      <c r="D531" s="27"/>
      <c r="E531" s="27"/>
      <c r="F531" s="27"/>
      <c r="G531" s="27"/>
      <c r="H531" s="27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</row>
    <row r="532" spans="1:43" ht="15.75" customHeight="1" x14ac:dyDescent="0.2">
      <c r="A532"/>
      <c r="B532" s="2"/>
      <c r="C532" s="27"/>
      <c r="D532" s="27"/>
      <c r="E532" s="27"/>
      <c r="F532" s="27"/>
      <c r="G532" s="27"/>
      <c r="H532" s="27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</row>
    <row r="533" spans="1:43" ht="15.75" customHeight="1" x14ac:dyDescent="0.2">
      <c r="A533"/>
      <c r="B533" s="2"/>
      <c r="C533" s="27"/>
      <c r="D533" s="27"/>
      <c r="E533" s="27"/>
      <c r="F533" s="27"/>
      <c r="G533" s="27"/>
      <c r="H533" s="27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</row>
    <row r="534" spans="1:43" ht="15.75" customHeight="1" x14ac:dyDescent="0.2">
      <c r="A534"/>
      <c r="B534" s="2"/>
      <c r="C534" s="27"/>
      <c r="D534" s="27"/>
      <c r="E534" s="27"/>
      <c r="F534" s="27"/>
      <c r="G534" s="27"/>
      <c r="H534" s="27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</row>
    <row r="535" spans="1:43" ht="15.75" customHeight="1" x14ac:dyDescent="0.2">
      <c r="A535"/>
      <c r="B535" s="2"/>
      <c r="C535" s="27"/>
      <c r="D535" s="27"/>
      <c r="E535" s="27"/>
      <c r="F535" s="27"/>
      <c r="G535" s="27"/>
      <c r="H535" s="27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</row>
    <row r="536" spans="1:43" ht="15.75" customHeight="1" x14ac:dyDescent="0.2">
      <c r="A536"/>
      <c r="B536" s="2"/>
      <c r="C536" s="27"/>
      <c r="D536" s="27"/>
      <c r="E536" s="27"/>
      <c r="F536" s="27"/>
      <c r="G536" s="27"/>
      <c r="H536" s="27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</row>
    <row r="537" spans="1:43" ht="15.75" customHeight="1" x14ac:dyDescent="0.2">
      <c r="A537"/>
      <c r="B537" s="2"/>
      <c r="C537" s="27"/>
      <c r="D537" s="27"/>
      <c r="E537" s="27"/>
      <c r="F537" s="27"/>
      <c r="G537" s="27"/>
      <c r="H537" s="27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</row>
    <row r="538" spans="1:43" ht="15.75" customHeight="1" x14ac:dyDescent="0.2">
      <c r="A538"/>
      <c r="B538" s="2"/>
      <c r="C538" s="27"/>
      <c r="D538" s="27"/>
      <c r="E538" s="27"/>
      <c r="F538" s="27"/>
      <c r="G538" s="27"/>
      <c r="H538" s="27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</row>
    <row r="539" spans="1:43" ht="15.75" customHeight="1" x14ac:dyDescent="0.2">
      <c r="A539"/>
      <c r="B539" s="2"/>
      <c r="C539" s="27"/>
      <c r="D539" s="27"/>
      <c r="E539" s="27"/>
      <c r="F539" s="27"/>
      <c r="G539" s="27"/>
      <c r="H539" s="27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</row>
    <row r="540" spans="1:43" ht="15.75" customHeight="1" x14ac:dyDescent="0.2">
      <c r="A540"/>
      <c r="B540" s="2"/>
      <c r="C540" s="27"/>
      <c r="D540" s="27"/>
      <c r="E540" s="27"/>
      <c r="F540" s="27"/>
      <c r="G540" s="27"/>
      <c r="H540" s="27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</row>
    <row r="541" spans="1:43" ht="15.75" customHeight="1" x14ac:dyDescent="0.2">
      <c r="A541"/>
      <c r="B541" s="2"/>
      <c r="C541" s="27"/>
      <c r="D541" s="27"/>
      <c r="E541" s="27"/>
      <c r="F541" s="27"/>
      <c r="G541" s="27"/>
      <c r="H541" s="27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</row>
    <row r="542" spans="1:43" ht="15.75" customHeight="1" x14ac:dyDescent="0.2">
      <c r="A542"/>
      <c r="B542" s="2"/>
      <c r="C542" s="27"/>
      <c r="D542" s="27"/>
      <c r="E542" s="27"/>
      <c r="F542" s="27"/>
      <c r="G542" s="27"/>
      <c r="H542" s="27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</row>
    <row r="543" spans="1:43" ht="15.75" customHeight="1" x14ac:dyDescent="0.2">
      <c r="A543"/>
      <c r="B543" s="2"/>
      <c r="C543" s="27"/>
      <c r="D543" s="27"/>
      <c r="E543" s="27"/>
      <c r="F543" s="27"/>
      <c r="G543" s="27"/>
      <c r="H543" s="27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</row>
    <row r="544" spans="1:43" ht="15.75" customHeight="1" x14ac:dyDescent="0.2">
      <c r="A544"/>
      <c r="B544" s="2"/>
      <c r="C544" s="27"/>
      <c r="D544" s="27"/>
      <c r="E544" s="27"/>
      <c r="F544" s="27"/>
      <c r="G544" s="27"/>
      <c r="H544" s="27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</row>
    <row r="545" spans="1:43" ht="15.75" customHeight="1" x14ac:dyDescent="0.2">
      <c r="A545"/>
      <c r="B545" s="2"/>
      <c r="C545" s="27"/>
      <c r="D545" s="27"/>
      <c r="E545" s="27"/>
      <c r="F545" s="27"/>
      <c r="G545" s="27"/>
      <c r="H545" s="27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</row>
    <row r="546" spans="1:43" ht="15.75" customHeight="1" x14ac:dyDescent="0.2">
      <c r="A546"/>
      <c r="B546" s="2"/>
      <c r="C546" s="27"/>
      <c r="D546" s="27"/>
      <c r="E546" s="27"/>
      <c r="F546" s="27"/>
      <c r="G546" s="27"/>
      <c r="H546" s="27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</row>
    <row r="547" spans="1:43" ht="15.75" customHeight="1" x14ac:dyDescent="0.2">
      <c r="A547"/>
      <c r="B547" s="2"/>
      <c r="C547" s="27"/>
      <c r="D547" s="27"/>
      <c r="E547" s="27"/>
      <c r="F547" s="27"/>
      <c r="G547" s="27"/>
      <c r="H547" s="27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</row>
    <row r="548" spans="1:43" ht="15.75" customHeight="1" x14ac:dyDescent="0.2">
      <c r="A548"/>
      <c r="B548" s="2"/>
      <c r="C548" s="27"/>
      <c r="D548" s="27"/>
      <c r="E548" s="27"/>
      <c r="F548" s="27"/>
      <c r="G548" s="27"/>
      <c r="H548" s="27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</row>
    <row r="549" spans="1:43" ht="15.75" customHeight="1" x14ac:dyDescent="0.2">
      <c r="A549"/>
      <c r="B549" s="2"/>
      <c r="C549" s="27"/>
      <c r="D549" s="27"/>
      <c r="E549" s="27"/>
      <c r="F549" s="27"/>
      <c r="G549" s="27"/>
      <c r="H549" s="27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</row>
    <row r="550" spans="1:43" ht="15.75" customHeight="1" x14ac:dyDescent="0.2">
      <c r="A550"/>
      <c r="B550" s="2"/>
      <c r="C550" s="27"/>
      <c r="D550" s="27"/>
      <c r="E550" s="27"/>
      <c r="F550" s="27"/>
      <c r="G550" s="27"/>
      <c r="H550" s="27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</row>
    <row r="551" spans="1:43" ht="15.75" customHeight="1" x14ac:dyDescent="0.2">
      <c r="A551"/>
      <c r="B551" s="2"/>
      <c r="C551" s="27"/>
      <c r="D551" s="27"/>
      <c r="E551" s="27"/>
      <c r="F551" s="27"/>
      <c r="G551" s="27"/>
      <c r="H551" s="27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</row>
    <row r="552" spans="1:43" ht="15.75" customHeight="1" x14ac:dyDescent="0.2">
      <c r="A552"/>
      <c r="B552" s="2"/>
      <c r="C552" s="27"/>
      <c r="D552" s="27"/>
      <c r="E552" s="27"/>
      <c r="F552" s="27"/>
      <c r="G552" s="27"/>
      <c r="H552" s="27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</row>
    <row r="553" spans="1:43" ht="15.75" customHeight="1" x14ac:dyDescent="0.2">
      <c r="A553"/>
      <c r="B553" s="2"/>
      <c r="C553" s="27"/>
      <c r="D553" s="27"/>
      <c r="E553" s="27"/>
      <c r="F553" s="27"/>
      <c r="G553" s="27"/>
      <c r="H553" s="27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</row>
    <row r="554" spans="1:43" ht="15.75" customHeight="1" x14ac:dyDescent="0.2">
      <c r="A554"/>
      <c r="B554" s="2"/>
      <c r="C554" s="27"/>
      <c r="D554" s="27"/>
      <c r="E554" s="27"/>
      <c r="F554" s="27"/>
      <c r="G554" s="27"/>
      <c r="H554" s="27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</row>
    <row r="555" spans="1:43" ht="15.75" customHeight="1" x14ac:dyDescent="0.2">
      <c r="A555"/>
      <c r="B555" s="2"/>
      <c r="C555" s="27"/>
      <c r="D555" s="27"/>
      <c r="E555" s="27"/>
      <c r="F555" s="27"/>
      <c r="G555" s="27"/>
      <c r="H555" s="27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</row>
    <row r="556" spans="1:43" ht="15.75" customHeight="1" x14ac:dyDescent="0.2">
      <c r="A556"/>
      <c r="B556" s="2"/>
      <c r="C556" s="27"/>
      <c r="D556" s="27"/>
      <c r="E556" s="27"/>
      <c r="F556" s="27"/>
      <c r="G556" s="27"/>
      <c r="H556" s="27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</row>
    <row r="557" spans="1:43" ht="15.75" customHeight="1" x14ac:dyDescent="0.2">
      <c r="A557"/>
      <c r="B557" s="2"/>
      <c r="C557" s="27"/>
      <c r="D557" s="27"/>
      <c r="E557" s="27"/>
      <c r="F557" s="27"/>
      <c r="G557" s="27"/>
      <c r="H557" s="27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</row>
    <row r="558" spans="1:43" ht="15.75" customHeight="1" x14ac:dyDescent="0.2">
      <c r="A558"/>
      <c r="B558" s="2"/>
      <c r="C558" s="27"/>
      <c r="D558" s="27"/>
      <c r="E558" s="27"/>
      <c r="F558" s="27"/>
      <c r="G558" s="27"/>
      <c r="H558" s="27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</row>
    <row r="559" spans="1:43" ht="15.75" customHeight="1" x14ac:dyDescent="0.2">
      <c r="A559"/>
      <c r="B559" s="2"/>
      <c r="C559" s="27"/>
      <c r="D559" s="27"/>
      <c r="E559" s="27"/>
      <c r="F559" s="27"/>
      <c r="G559" s="27"/>
      <c r="H559" s="27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</row>
    <row r="560" spans="1:43" ht="15.75" customHeight="1" x14ac:dyDescent="0.2">
      <c r="A560"/>
      <c r="B560" s="2"/>
      <c r="C560" s="27"/>
      <c r="D560" s="27"/>
      <c r="E560" s="27"/>
      <c r="F560" s="27"/>
      <c r="G560" s="27"/>
      <c r="H560" s="27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</row>
    <row r="561" spans="1:43" ht="15.75" customHeight="1" x14ac:dyDescent="0.2">
      <c r="A561"/>
      <c r="B561" s="2"/>
      <c r="C561" s="27"/>
      <c r="D561" s="27"/>
      <c r="E561" s="27"/>
      <c r="F561" s="27"/>
      <c r="G561" s="27"/>
      <c r="H561" s="27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</row>
    <row r="562" spans="1:43" ht="15.75" customHeight="1" x14ac:dyDescent="0.2">
      <c r="A562"/>
      <c r="B562" s="2"/>
      <c r="C562" s="27"/>
      <c r="D562" s="27"/>
      <c r="E562" s="27"/>
      <c r="F562" s="27"/>
      <c r="G562" s="27"/>
      <c r="H562" s="27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</row>
    <row r="563" spans="1:43" ht="15.75" customHeight="1" x14ac:dyDescent="0.2">
      <c r="A563"/>
      <c r="B563" s="2"/>
      <c r="C563" s="27"/>
      <c r="D563" s="27"/>
      <c r="E563" s="27"/>
      <c r="F563" s="27"/>
      <c r="G563" s="27"/>
      <c r="H563" s="27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</row>
    <row r="564" spans="1:43" ht="15.75" customHeight="1" x14ac:dyDescent="0.2">
      <c r="A564"/>
      <c r="B564" s="2"/>
      <c r="C564" s="27"/>
      <c r="D564" s="27"/>
      <c r="E564" s="27"/>
      <c r="F564" s="27"/>
      <c r="G564" s="27"/>
      <c r="H564" s="27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</row>
    <row r="565" spans="1:43" ht="15.75" customHeight="1" x14ac:dyDescent="0.2">
      <c r="A565"/>
      <c r="B565" s="2"/>
      <c r="C565" s="27"/>
      <c r="D565" s="27"/>
      <c r="E565" s="27"/>
      <c r="F565" s="27"/>
      <c r="G565" s="27"/>
      <c r="H565" s="27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</row>
    <row r="566" spans="1:43" ht="15.75" customHeight="1" x14ac:dyDescent="0.2">
      <c r="A566"/>
      <c r="B566" s="2"/>
      <c r="C566" s="27"/>
      <c r="D566" s="27"/>
      <c r="E566" s="27"/>
      <c r="F566" s="27"/>
      <c r="G566" s="27"/>
      <c r="H566" s="27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</row>
    <row r="567" spans="1:43" ht="15.75" customHeight="1" x14ac:dyDescent="0.2">
      <c r="A567"/>
      <c r="B567" s="2"/>
      <c r="C567" s="27"/>
      <c r="D567" s="27"/>
      <c r="E567" s="27"/>
      <c r="F567" s="27"/>
      <c r="G567" s="27"/>
      <c r="H567" s="27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</row>
    <row r="568" spans="1:43" ht="15.75" customHeight="1" x14ac:dyDescent="0.2">
      <c r="A568"/>
      <c r="B568" s="2"/>
      <c r="C568" s="27"/>
      <c r="D568" s="27"/>
      <c r="E568" s="27"/>
      <c r="F568" s="27"/>
      <c r="G568" s="27"/>
      <c r="H568" s="27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</row>
    <row r="569" spans="1:43" ht="15.75" customHeight="1" x14ac:dyDescent="0.2">
      <c r="A569"/>
      <c r="B569" s="2"/>
      <c r="C569" s="27"/>
      <c r="D569" s="27"/>
      <c r="E569" s="27"/>
      <c r="F569" s="27"/>
      <c r="G569" s="27"/>
      <c r="H569" s="27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</row>
    <row r="570" spans="1:43" ht="15.75" customHeight="1" x14ac:dyDescent="0.2">
      <c r="A570"/>
      <c r="B570" s="2"/>
      <c r="C570" s="27"/>
      <c r="D570" s="27"/>
      <c r="E570" s="27"/>
      <c r="F570" s="27"/>
      <c r="G570" s="27"/>
      <c r="H570" s="27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</row>
    <row r="571" spans="1:43" ht="15.75" customHeight="1" x14ac:dyDescent="0.2">
      <c r="A571"/>
      <c r="B571" s="2"/>
      <c r="C571" s="27"/>
      <c r="D571" s="27"/>
      <c r="E571" s="27"/>
      <c r="F571" s="27"/>
      <c r="G571" s="27"/>
      <c r="H571" s="27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</row>
    <row r="572" spans="1:43" ht="15.75" customHeight="1" x14ac:dyDescent="0.2">
      <c r="A572"/>
      <c r="B572" s="2"/>
      <c r="C572" s="27"/>
      <c r="D572" s="27"/>
      <c r="E572" s="27"/>
      <c r="F572" s="27"/>
      <c r="G572" s="27"/>
      <c r="H572" s="27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</row>
    <row r="573" spans="1:43" ht="15.75" customHeight="1" x14ac:dyDescent="0.2">
      <c r="A573"/>
      <c r="B573" s="2"/>
      <c r="C573" s="27"/>
      <c r="D573" s="27"/>
      <c r="E573" s="27"/>
      <c r="F573" s="27"/>
      <c r="G573" s="27"/>
      <c r="H573" s="27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</row>
    <row r="574" spans="1:43" ht="15.75" customHeight="1" x14ac:dyDescent="0.2">
      <c r="A574"/>
      <c r="B574" s="2"/>
      <c r="C574" s="27"/>
      <c r="D574" s="27"/>
      <c r="E574" s="27"/>
      <c r="F574" s="27"/>
      <c r="G574" s="27"/>
      <c r="H574" s="27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</row>
    <row r="575" spans="1:43" ht="15.75" customHeight="1" x14ac:dyDescent="0.2">
      <c r="A575"/>
      <c r="B575" s="2"/>
      <c r="C575" s="27"/>
      <c r="D575" s="27"/>
      <c r="E575" s="27"/>
      <c r="F575" s="27"/>
      <c r="G575" s="27"/>
      <c r="H575" s="27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</row>
    <row r="576" spans="1:43" ht="15.75" customHeight="1" x14ac:dyDescent="0.2">
      <c r="A576"/>
      <c r="B576" s="2"/>
      <c r="C576" s="27"/>
      <c r="D576" s="27"/>
      <c r="E576" s="27"/>
      <c r="F576" s="27"/>
      <c r="G576" s="27"/>
      <c r="H576" s="27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</row>
    <row r="577" spans="1:43" ht="15.75" customHeight="1" x14ac:dyDescent="0.2">
      <c r="A577"/>
      <c r="B577" s="2"/>
      <c r="C577" s="27"/>
      <c r="D577" s="27"/>
      <c r="E577" s="27"/>
      <c r="F577" s="27"/>
      <c r="G577" s="27"/>
      <c r="H577" s="27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</row>
    <row r="578" spans="1:43" ht="15.75" customHeight="1" x14ac:dyDescent="0.2">
      <c r="A578"/>
      <c r="B578" s="2"/>
      <c r="C578" s="27"/>
      <c r="D578" s="27"/>
      <c r="E578" s="27"/>
      <c r="F578" s="27"/>
      <c r="G578" s="27"/>
      <c r="H578" s="27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</row>
    <row r="579" spans="1:43" ht="15.75" customHeight="1" x14ac:dyDescent="0.2">
      <c r="A579"/>
      <c r="B579" s="2"/>
      <c r="C579" s="27"/>
      <c r="D579" s="27"/>
      <c r="E579" s="27"/>
      <c r="F579" s="27"/>
      <c r="G579" s="27"/>
      <c r="H579" s="27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</row>
    <row r="580" spans="1:43" ht="15.75" customHeight="1" x14ac:dyDescent="0.2">
      <c r="A580"/>
      <c r="B580" s="2"/>
      <c r="C580" s="27"/>
      <c r="D580" s="27"/>
      <c r="E580" s="27"/>
      <c r="F580" s="27"/>
      <c r="G580" s="27"/>
      <c r="H580" s="27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</row>
    <row r="581" spans="1:43" ht="15.75" customHeight="1" x14ac:dyDescent="0.2">
      <c r="A581"/>
      <c r="B581" s="2"/>
      <c r="C581" s="27"/>
      <c r="D581" s="27"/>
      <c r="E581" s="27"/>
      <c r="F581" s="27"/>
      <c r="G581" s="27"/>
      <c r="H581" s="27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</row>
    <row r="582" spans="1:43" ht="15.75" customHeight="1" x14ac:dyDescent="0.2">
      <c r="A582"/>
      <c r="B582" s="2"/>
      <c r="C582" s="27"/>
      <c r="D582" s="27"/>
      <c r="E582" s="27"/>
      <c r="F582" s="27"/>
      <c r="G582" s="27"/>
      <c r="H582" s="27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</row>
    <row r="583" spans="1:43" ht="15.75" customHeight="1" x14ac:dyDescent="0.2">
      <c r="A583"/>
      <c r="B583" s="2"/>
      <c r="C583" s="27"/>
      <c r="D583" s="27"/>
      <c r="E583" s="27"/>
      <c r="F583" s="27"/>
      <c r="G583" s="27"/>
      <c r="H583" s="27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</row>
    <row r="584" spans="1:43" ht="15.75" customHeight="1" x14ac:dyDescent="0.2">
      <c r="A584"/>
      <c r="B584" s="2"/>
      <c r="C584" s="27"/>
      <c r="D584" s="27"/>
      <c r="E584" s="27"/>
      <c r="F584" s="27"/>
      <c r="G584" s="27"/>
      <c r="H584" s="27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</row>
    <row r="585" spans="1:43" ht="15.75" customHeight="1" x14ac:dyDescent="0.2">
      <c r="A585"/>
      <c r="B585" s="2"/>
      <c r="C585" s="27"/>
      <c r="D585" s="27"/>
      <c r="E585" s="27"/>
      <c r="F585" s="27"/>
      <c r="G585" s="27"/>
      <c r="H585" s="27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</row>
    <row r="586" spans="1:43" ht="15.75" customHeight="1" x14ac:dyDescent="0.2">
      <c r="A586"/>
      <c r="B586" s="2"/>
      <c r="C586" s="27"/>
      <c r="D586" s="27"/>
      <c r="E586" s="27"/>
      <c r="F586" s="27"/>
      <c r="G586" s="27"/>
      <c r="H586" s="27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</row>
    <row r="587" spans="1:43" ht="15.75" customHeight="1" x14ac:dyDescent="0.2">
      <c r="A587"/>
      <c r="B587" s="2"/>
      <c r="C587" s="27"/>
      <c r="D587" s="27"/>
      <c r="E587" s="27"/>
      <c r="F587" s="27"/>
      <c r="G587" s="27"/>
      <c r="H587" s="27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</row>
    <row r="588" spans="1:43" ht="15.75" customHeight="1" x14ac:dyDescent="0.2">
      <c r="A588"/>
      <c r="B588" s="2"/>
      <c r="C588" s="27"/>
      <c r="D588" s="27"/>
      <c r="E588" s="27"/>
      <c r="F588" s="27"/>
      <c r="G588" s="27"/>
      <c r="H588" s="27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</row>
    <row r="589" spans="1:43" ht="15.75" customHeight="1" x14ac:dyDescent="0.2">
      <c r="A589"/>
      <c r="B589" s="2"/>
      <c r="C589" s="27"/>
      <c r="D589" s="27"/>
      <c r="E589" s="27"/>
      <c r="F589" s="27"/>
      <c r="G589" s="27"/>
      <c r="H589" s="27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</row>
    <row r="590" spans="1:43" ht="15.75" customHeight="1" x14ac:dyDescent="0.2">
      <c r="A590"/>
      <c r="B590" s="2"/>
      <c r="C590" s="27"/>
      <c r="D590" s="27"/>
      <c r="E590" s="27"/>
      <c r="F590" s="27"/>
      <c r="G590" s="27"/>
      <c r="H590" s="27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</row>
    <row r="591" spans="1:43" ht="15.75" customHeight="1" x14ac:dyDescent="0.2">
      <c r="A591"/>
      <c r="B591" s="2"/>
      <c r="C591" s="27"/>
      <c r="D591" s="27"/>
      <c r="E591" s="27"/>
      <c r="F591" s="27"/>
      <c r="G591" s="27"/>
      <c r="H591" s="27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</row>
    <row r="592" spans="1:43" ht="15.75" customHeight="1" x14ac:dyDescent="0.2">
      <c r="A592"/>
      <c r="B592" s="2"/>
      <c r="C592" s="27"/>
      <c r="D592" s="27"/>
      <c r="E592" s="27"/>
      <c r="F592" s="27"/>
      <c r="G592" s="27"/>
      <c r="H592" s="27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</row>
    <row r="593" spans="1:43" ht="15.75" customHeight="1" x14ac:dyDescent="0.2">
      <c r="A593"/>
      <c r="B593" s="2"/>
      <c r="C593" s="27"/>
      <c r="D593" s="27"/>
      <c r="E593" s="27"/>
      <c r="F593" s="27"/>
      <c r="G593" s="27"/>
      <c r="H593" s="27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</row>
    <row r="594" spans="1:43" ht="15.75" customHeight="1" x14ac:dyDescent="0.2">
      <c r="A594"/>
      <c r="B594" s="2"/>
      <c r="C594" s="27"/>
      <c r="D594" s="27"/>
      <c r="E594" s="27"/>
      <c r="F594" s="27"/>
      <c r="G594" s="27"/>
      <c r="H594" s="27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</row>
    <row r="595" spans="1:43" ht="15.75" customHeight="1" x14ac:dyDescent="0.2">
      <c r="A595"/>
      <c r="B595" s="2"/>
      <c r="C595" s="27"/>
      <c r="D595" s="27"/>
      <c r="E595" s="27"/>
      <c r="F595" s="27"/>
      <c r="G595" s="27"/>
      <c r="H595" s="27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</row>
    <row r="596" spans="1:43" ht="15.75" customHeight="1" x14ac:dyDescent="0.2">
      <c r="A596"/>
      <c r="B596" s="2"/>
      <c r="C596" s="27"/>
      <c r="D596" s="27"/>
      <c r="E596" s="27"/>
      <c r="F596" s="27"/>
      <c r="G596" s="27"/>
      <c r="H596" s="27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</row>
    <row r="597" spans="1:43" ht="15.75" customHeight="1" x14ac:dyDescent="0.2">
      <c r="A597"/>
      <c r="B597" s="2"/>
      <c r="C597" s="27"/>
      <c r="D597" s="27"/>
      <c r="E597" s="27"/>
      <c r="F597" s="27"/>
      <c r="G597" s="27"/>
      <c r="H597" s="27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</row>
    <row r="598" spans="1:43" ht="15.75" customHeight="1" x14ac:dyDescent="0.2">
      <c r="A598"/>
      <c r="B598" s="2"/>
      <c r="C598" s="27"/>
      <c r="D598" s="27"/>
      <c r="E598" s="27"/>
      <c r="F598" s="27"/>
      <c r="G598" s="27"/>
      <c r="H598" s="27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</row>
    <row r="599" spans="1:43" ht="15.75" customHeight="1" x14ac:dyDescent="0.2">
      <c r="A599"/>
      <c r="B599" s="2"/>
      <c r="C599" s="27"/>
      <c r="D599" s="27"/>
      <c r="E599" s="27"/>
      <c r="F599" s="27"/>
      <c r="G599" s="27"/>
      <c r="H599" s="27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</row>
    <row r="600" spans="1:43" ht="15.75" customHeight="1" x14ac:dyDescent="0.2">
      <c r="A600"/>
      <c r="B600" s="2"/>
      <c r="C600" s="27"/>
      <c r="D600" s="27"/>
      <c r="E600" s="27"/>
      <c r="F600" s="27"/>
      <c r="G600" s="27"/>
      <c r="H600" s="27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</row>
    <row r="601" spans="1:43" ht="15.75" customHeight="1" x14ac:dyDescent="0.2">
      <c r="A601"/>
      <c r="B601" s="2"/>
      <c r="C601" s="27"/>
      <c r="D601" s="27"/>
      <c r="E601" s="27"/>
      <c r="F601" s="27"/>
      <c r="G601" s="27"/>
      <c r="H601" s="27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</row>
    <row r="602" spans="1:43" ht="15.75" customHeight="1" x14ac:dyDescent="0.2">
      <c r="A602"/>
      <c r="B602" s="2"/>
      <c r="C602" s="27"/>
      <c r="D602" s="27"/>
      <c r="E602" s="27"/>
      <c r="F602" s="27"/>
      <c r="G602" s="27"/>
      <c r="H602" s="27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</row>
    <row r="603" spans="1:43" ht="15.75" customHeight="1" x14ac:dyDescent="0.2">
      <c r="A603"/>
      <c r="B603" s="2"/>
      <c r="C603" s="27"/>
      <c r="D603" s="27"/>
      <c r="E603" s="27"/>
      <c r="F603" s="27"/>
      <c r="G603" s="27"/>
      <c r="H603" s="27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</row>
    <row r="604" spans="1:43" ht="15.75" customHeight="1" x14ac:dyDescent="0.2">
      <c r="A604"/>
      <c r="B604" s="2"/>
      <c r="C604" s="27"/>
      <c r="D604" s="27"/>
      <c r="E604" s="27"/>
      <c r="F604" s="27"/>
      <c r="G604" s="27"/>
      <c r="H604" s="27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</row>
    <row r="605" spans="1:43" ht="15.75" customHeight="1" x14ac:dyDescent="0.2">
      <c r="A605"/>
      <c r="B605" s="2"/>
      <c r="C605" s="27"/>
      <c r="D605" s="27"/>
      <c r="E605" s="27"/>
      <c r="F605" s="27"/>
      <c r="G605" s="27"/>
      <c r="H605" s="27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</row>
    <row r="606" spans="1:43" ht="15.75" customHeight="1" x14ac:dyDescent="0.2">
      <c r="A606"/>
      <c r="B606" s="2"/>
      <c r="C606" s="27"/>
      <c r="D606" s="27"/>
      <c r="E606" s="27"/>
      <c r="F606" s="27"/>
      <c r="G606" s="27"/>
      <c r="H606" s="27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</row>
    <row r="607" spans="1:43" ht="15.75" customHeight="1" x14ac:dyDescent="0.2">
      <c r="A607"/>
      <c r="B607" s="2"/>
      <c r="C607" s="27"/>
      <c r="D607" s="27"/>
      <c r="E607" s="27"/>
      <c r="F607" s="27"/>
      <c r="G607" s="27"/>
      <c r="H607" s="27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</row>
    <row r="608" spans="1:43" ht="15.75" customHeight="1" x14ac:dyDescent="0.2">
      <c r="A608"/>
      <c r="B608" s="2"/>
      <c r="C608" s="27"/>
      <c r="D608" s="27"/>
      <c r="E608" s="27"/>
      <c r="F608" s="27"/>
      <c r="G608" s="27"/>
      <c r="H608" s="27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</row>
    <row r="609" spans="1:43" ht="15.75" customHeight="1" x14ac:dyDescent="0.2">
      <c r="A609"/>
      <c r="B609" s="2"/>
      <c r="C609" s="27"/>
      <c r="D609" s="27"/>
      <c r="E609" s="27"/>
      <c r="F609" s="27"/>
      <c r="G609" s="27"/>
      <c r="H609" s="27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</row>
    <row r="610" spans="1:43" ht="15.75" customHeight="1" x14ac:dyDescent="0.2">
      <c r="A610"/>
      <c r="B610" s="2"/>
      <c r="C610" s="27"/>
      <c r="D610" s="27"/>
      <c r="E610" s="27"/>
      <c r="F610" s="27"/>
      <c r="G610" s="27"/>
      <c r="H610" s="27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</row>
    <row r="611" spans="1:43" ht="15.75" customHeight="1" x14ac:dyDescent="0.2">
      <c r="A611"/>
      <c r="B611" s="2"/>
      <c r="C611" s="27"/>
      <c r="D611" s="27"/>
      <c r="E611" s="27"/>
      <c r="F611" s="27"/>
      <c r="G611" s="27"/>
      <c r="H611" s="27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</row>
    <row r="612" spans="1:43" ht="15.75" customHeight="1" x14ac:dyDescent="0.2">
      <c r="A612"/>
      <c r="B612" s="2"/>
      <c r="C612" s="27"/>
      <c r="D612" s="27"/>
      <c r="E612" s="27"/>
      <c r="F612" s="27"/>
      <c r="G612" s="27"/>
      <c r="H612" s="27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</row>
    <row r="613" spans="1:43" ht="15.75" customHeight="1" x14ac:dyDescent="0.2">
      <c r="A613"/>
      <c r="B613" s="2"/>
      <c r="C613" s="27"/>
      <c r="D613" s="27"/>
      <c r="E613" s="27"/>
      <c r="F613" s="27"/>
      <c r="G613" s="27"/>
      <c r="H613" s="27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</row>
    <row r="614" spans="1:43" ht="15.75" customHeight="1" x14ac:dyDescent="0.2">
      <c r="A614"/>
      <c r="B614" s="2"/>
      <c r="C614" s="27"/>
      <c r="D614" s="27"/>
      <c r="E614" s="27"/>
      <c r="F614" s="27"/>
      <c r="G614" s="27"/>
      <c r="H614" s="27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</row>
    <row r="615" spans="1:43" ht="15.75" customHeight="1" x14ac:dyDescent="0.2">
      <c r="A615"/>
      <c r="B615" s="2"/>
      <c r="C615" s="27"/>
      <c r="D615" s="27"/>
      <c r="E615" s="27"/>
      <c r="F615" s="27"/>
      <c r="G615" s="27"/>
      <c r="H615" s="27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</row>
    <row r="616" spans="1:43" ht="15.75" customHeight="1" x14ac:dyDescent="0.2">
      <c r="A616"/>
      <c r="B616" s="2"/>
      <c r="C616" s="27"/>
      <c r="D616" s="27"/>
      <c r="E616" s="27"/>
      <c r="F616" s="27"/>
      <c r="G616" s="27"/>
      <c r="H616" s="27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</row>
    <row r="617" spans="1:43" ht="15.75" customHeight="1" x14ac:dyDescent="0.2">
      <c r="A617"/>
      <c r="B617" s="2"/>
      <c r="C617" s="27"/>
      <c r="D617" s="27"/>
      <c r="E617" s="27"/>
      <c r="F617" s="27"/>
      <c r="G617" s="27"/>
      <c r="H617" s="27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</row>
    <row r="618" spans="1:43" ht="15.75" customHeight="1" x14ac:dyDescent="0.2">
      <c r="A618"/>
      <c r="B618" s="2"/>
      <c r="C618" s="27"/>
      <c r="D618" s="27"/>
      <c r="E618" s="27"/>
      <c r="F618" s="27"/>
      <c r="G618" s="27"/>
      <c r="H618" s="27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</row>
    <row r="619" spans="1:43" ht="15.75" customHeight="1" x14ac:dyDescent="0.2">
      <c r="A619"/>
      <c r="B619" s="2"/>
      <c r="C619" s="27"/>
      <c r="D619" s="27"/>
      <c r="E619" s="27"/>
      <c r="F619" s="27"/>
      <c r="G619" s="27"/>
      <c r="H619" s="27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</row>
    <row r="620" spans="1:43" ht="15.75" customHeight="1" x14ac:dyDescent="0.2">
      <c r="A620"/>
      <c r="B620" s="2"/>
      <c r="C620" s="27"/>
      <c r="D620" s="27"/>
      <c r="E620" s="27"/>
      <c r="F620" s="27"/>
      <c r="G620" s="27"/>
      <c r="H620" s="27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</row>
    <row r="621" spans="1:43" ht="15.75" customHeight="1" x14ac:dyDescent="0.2">
      <c r="A621"/>
      <c r="B621" s="2"/>
      <c r="C621" s="27"/>
      <c r="D621" s="27"/>
      <c r="E621" s="27"/>
      <c r="F621" s="27"/>
      <c r="G621" s="27"/>
      <c r="H621" s="27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</row>
    <row r="622" spans="1:43" ht="15.75" customHeight="1" x14ac:dyDescent="0.2">
      <c r="A622"/>
      <c r="B622" s="2"/>
      <c r="C622" s="27"/>
      <c r="D622" s="27"/>
      <c r="E622" s="27"/>
      <c r="F622" s="27"/>
      <c r="G622" s="27"/>
      <c r="H622" s="27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</row>
    <row r="623" spans="1:43" ht="15.75" customHeight="1" x14ac:dyDescent="0.2">
      <c r="A623"/>
      <c r="B623" s="2"/>
      <c r="C623" s="27"/>
      <c r="D623" s="27"/>
      <c r="E623" s="27"/>
      <c r="F623" s="27"/>
      <c r="G623" s="27"/>
      <c r="H623" s="27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</row>
    <row r="624" spans="1:43" ht="15.75" customHeight="1" x14ac:dyDescent="0.2">
      <c r="A624"/>
      <c r="B624" s="2"/>
      <c r="C624" s="27"/>
      <c r="D624" s="27"/>
      <c r="E624" s="27"/>
      <c r="F624" s="27"/>
      <c r="G624" s="27"/>
      <c r="H624" s="27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</row>
    <row r="625" spans="1:43" ht="15.75" customHeight="1" x14ac:dyDescent="0.2">
      <c r="A625"/>
      <c r="B625" s="2"/>
      <c r="C625" s="27"/>
      <c r="D625" s="27"/>
      <c r="E625" s="27"/>
      <c r="F625" s="27"/>
      <c r="G625" s="27"/>
      <c r="H625" s="27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</row>
    <row r="626" spans="1:43" ht="15.75" customHeight="1" x14ac:dyDescent="0.2">
      <c r="A626"/>
      <c r="B626" s="2"/>
      <c r="C626" s="27"/>
      <c r="D626" s="27"/>
      <c r="E626" s="27"/>
      <c r="F626" s="27"/>
      <c r="G626" s="27"/>
      <c r="H626" s="27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</row>
    <row r="627" spans="1:43" ht="15.75" customHeight="1" x14ac:dyDescent="0.2">
      <c r="A627"/>
      <c r="B627" s="2"/>
      <c r="C627" s="27"/>
      <c r="D627" s="27"/>
      <c r="E627" s="27"/>
      <c r="F627" s="27"/>
      <c r="G627" s="27"/>
      <c r="H627" s="27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</row>
    <row r="628" spans="1:43" ht="15.75" customHeight="1" x14ac:dyDescent="0.2">
      <c r="A628"/>
      <c r="B628" s="2"/>
      <c r="C628" s="27"/>
      <c r="D628" s="27"/>
      <c r="E628" s="27"/>
      <c r="F628" s="27"/>
      <c r="G628" s="27"/>
      <c r="H628" s="27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</row>
    <row r="629" spans="1:43" ht="15.75" customHeight="1" x14ac:dyDescent="0.2">
      <c r="A629"/>
      <c r="B629" s="2"/>
      <c r="C629" s="27"/>
      <c r="D629" s="27"/>
      <c r="E629" s="27"/>
      <c r="F629" s="27"/>
      <c r="G629" s="27"/>
      <c r="H629" s="27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</row>
    <row r="630" spans="1:43" ht="15.75" customHeight="1" x14ac:dyDescent="0.2">
      <c r="A630"/>
      <c r="B630" s="2"/>
      <c r="C630" s="27"/>
      <c r="D630" s="27"/>
      <c r="E630" s="27"/>
      <c r="F630" s="27"/>
      <c r="G630" s="27"/>
      <c r="H630" s="27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</row>
    <row r="631" spans="1:43" ht="15.75" customHeight="1" x14ac:dyDescent="0.2">
      <c r="A631"/>
      <c r="B631" s="2"/>
      <c r="C631" s="27"/>
      <c r="D631" s="27"/>
      <c r="E631" s="27"/>
      <c r="F631" s="27"/>
      <c r="G631" s="27"/>
      <c r="H631" s="27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</row>
    <row r="632" spans="1:43" ht="15.75" customHeight="1" x14ac:dyDescent="0.2">
      <c r="A632"/>
      <c r="B632" s="2"/>
      <c r="C632" s="27"/>
      <c r="D632" s="27"/>
      <c r="E632" s="27"/>
      <c r="F632" s="27"/>
      <c r="G632" s="27"/>
      <c r="H632" s="27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</row>
    <row r="633" spans="1:43" ht="15.75" customHeight="1" x14ac:dyDescent="0.2">
      <c r="A633"/>
      <c r="B633" s="2"/>
      <c r="C633" s="27"/>
      <c r="D633" s="27"/>
      <c r="E633" s="27"/>
      <c r="F633" s="27"/>
      <c r="G633" s="27"/>
      <c r="H633" s="27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</row>
    <row r="634" spans="1:43" ht="15.75" customHeight="1" x14ac:dyDescent="0.2">
      <c r="A634"/>
      <c r="B634" s="2"/>
      <c r="C634" s="27"/>
      <c r="D634" s="27"/>
      <c r="E634" s="27"/>
      <c r="F634" s="27"/>
      <c r="G634" s="27"/>
      <c r="H634" s="27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</row>
    <row r="635" spans="1:43" ht="15.75" customHeight="1" x14ac:dyDescent="0.2">
      <c r="A635"/>
    </row>
    <row r="636" spans="1:43" ht="15.75" customHeight="1" x14ac:dyDescent="0.2">
      <c r="A636"/>
    </row>
    <row r="637" spans="1:43" ht="15.75" customHeight="1" x14ac:dyDescent="0.2">
      <c r="A637"/>
    </row>
    <row r="638" spans="1:43" ht="15.75" customHeight="1" x14ac:dyDescent="0.2">
      <c r="A638"/>
    </row>
    <row r="639" spans="1:43" ht="15.75" customHeight="1" x14ac:dyDescent="0.2">
      <c r="A639"/>
      <c r="C639"/>
      <c r="D639"/>
      <c r="E639"/>
      <c r="F639"/>
      <c r="G639"/>
      <c r="H639"/>
    </row>
    <row r="640" spans="1:43" ht="15.75" customHeight="1" x14ac:dyDescent="0.2">
      <c r="A640"/>
      <c r="C640"/>
      <c r="D640"/>
      <c r="E640"/>
      <c r="F640"/>
      <c r="G640"/>
      <c r="H640"/>
    </row>
    <row r="641" customFormat="1" ht="15.75" customHeight="1" x14ac:dyDescent="0.2"/>
    <row r="642" customFormat="1" ht="15.75" customHeight="1" x14ac:dyDescent="0.2"/>
    <row r="643" customFormat="1" ht="15.75" customHeight="1" x14ac:dyDescent="0.2"/>
    <row r="644" customFormat="1" ht="15.75" customHeight="1" x14ac:dyDescent="0.2"/>
    <row r="645" customFormat="1" ht="15.75" customHeight="1" x14ac:dyDescent="0.2"/>
    <row r="646" customFormat="1" ht="15.75" customHeight="1" x14ac:dyDescent="0.2"/>
    <row r="647" customFormat="1" ht="15.75" customHeight="1" x14ac:dyDescent="0.2"/>
    <row r="648" customFormat="1" ht="15.75" customHeight="1" x14ac:dyDescent="0.2"/>
    <row r="649" customFormat="1" ht="15.75" customHeight="1" x14ac:dyDescent="0.2"/>
    <row r="650" customFormat="1" ht="15.75" customHeight="1" x14ac:dyDescent="0.2"/>
    <row r="651" customFormat="1" ht="15.75" customHeight="1" x14ac:dyDescent="0.2"/>
    <row r="652" customFormat="1" ht="15.75" customHeight="1" x14ac:dyDescent="0.2"/>
    <row r="653" customFormat="1" ht="15.75" customHeight="1" x14ac:dyDescent="0.2"/>
    <row r="654" customFormat="1" ht="15.75" customHeight="1" x14ac:dyDescent="0.2"/>
    <row r="655" customFormat="1" ht="15.75" customHeight="1" x14ac:dyDescent="0.2"/>
    <row r="656" customFormat="1" ht="15.75" customHeight="1" x14ac:dyDescent="0.2"/>
    <row r="657" customFormat="1" ht="15.75" customHeight="1" x14ac:dyDescent="0.2"/>
    <row r="658" customFormat="1" ht="15.75" customHeight="1" x14ac:dyDescent="0.2"/>
    <row r="659" customFormat="1" ht="15.75" customHeight="1" x14ac:dyDescent="0.2"/>
    <row r="660" customFormat="1" ht="15.75" customHeight="1" x14ac:dyDescent="0.2"/>
    <row r="661" customFormat="1" ht="15.75" customHeight="1" x14ac:dyDescent="0.2"/>
    <row r="662" customFormat="1" ht="15.75" customHeight="1" x14ac:dyDescent="0.2"/>
    <row r="663" customFormat="1" ht="15.75" customHeight="1" x14ac:dyDescent="0.2"/>
    <row r="664" customFormat="1" ht="15.75" customHeight="1" x14ac:dyDescent="0.2"/>
    <row r="665" customFormat="1" ht="15.75" customHeight="1" x14ac:dyDescent="0.2"/>
    <row r="666" customFormat="1" ht="15.75" customHeight="1" x14ac:dyDescent="0.2"/>
    <row r="667" customFormat="1" ht="15.75" customHeight="1" x14ac:dyDescent="0.2"/>
    <row r="668" customFormat="1" ht="15.75" customHeight="1" x14ac:dyDescent="0.2"/>
    <row r="669" customFormat="1" ht="15.75" customHeight="1" x14ac:dyDescent="0.2"/>
    <row r="670" customFormat="1" ht="15.75" customHeight="1" x14ac:dyDescent="0.2"/>
    <row r="671" customFormat="1" ht="15.75" customHeight="1" x14ac:dyDescent="0.2"/>
    <row r="672" customFormat="1" ht="15.75" customHeight="1" x14ac:dyDescent="0.2"/>
    <row r="673" customFormat="1" ht="15.75" customHeight="1" x14ac:dyDescent="0.2"/>
    <row r="674" customFormat="1" ht="15.75" customHeight="1" x14ac:dyDescent="0.2"/>
    <row r="675" customFormat="1" ht="15.75" customHeight="1" x14ac:dyDescent="0.2"/>
    <row r="676" customFormat="1" ht="15.75" customHeight="1" x14ac:dyDescent="0.2"/>
    <row r="677" customFormat="1" ht="15.75" customHeight="1" x14ac:dyDescent="0.2"/>
    <row r="678" customFormat="1" ht="15.75" customHeight="1" x14ac:dyDescent="0.2"/>
    <row r="679" customFormat="1" ht="15.75" customHeight="1" x14ac:dyDescent="0.2"/>
    <row r="680" customFormat="1" ht="15.75" customHeight="1" x14ac:dyDescent="0.2"/>
    <row r="681" customFormat="1" ht="15.75" customHeight="1" x14ac:dyDescent="0.2"/>
    <row r="682" customFormat="1" ht="15.75" customHeight="1" x14ac:dyDescent="0.2"/>
    <row r="683" customFormat="1" ht="15.75" customHeight="1" x14ac:dyDescent="0.2"/>
    <row r="684" customFormat="1" ht="15.75" customHeight="1" x14ac:dyDescent="0.2"/>
    <row r="685" customFormat="1" ht="15.75" customHeight="1" x14ac:dyDescent="0.2"/>
    <row r="686" customFormat="1" ht="15.75" customHeight="1" x14ac:dyDescent="0.2"/>
    <row r="687" customFormat="1" ht="15.75" customHeight="1" x14ac:dyDescent="0.2"/>
    <row r="688" customFormat="1" ht="15.75" customHeight="1" x14ac:dyDescent="0.2"/>
    <row r="689" customFormat="1" ht="15.75" customHeight="1" x14ac:dyDescent="0.2"/>
    <row r="690" customFormat="1" ht="15.75" customHeight="1" x14ac:dyDescent="0.2"/>
    <row r="691" customFormat="1" ht="15.75" customHeight="1" x14ac:dyDescent="0.2"/>
    <row r="692" customFormat="1" ht="15.75" customHeight="1" x14ac:dyDescent="0.2"/>
    <row r="693" customFormat="1" ht="15.75" customHeight="1" x14ac:dyDescent="0.2"/>
    <row r="694" customFormat="1" ht="15.75" customHeight="1" x14ac:dyDescent="0.2"/>
    <row r="695" customFormat="1" ht="15.75" customHeight="1" x14ac:dyDescent="0.2"/>
    <row r="696" customFormat="1" ht="15.75" customHeight="1" x14ac:dyDescent="0.2"/>
    <row r="697" customFormat="1" ht="15.75" customHeight="1" x14ac:dyDescent="0.2"/>
    <row r="698" customFormat="1" ht="15.75" customHeight="1" x14ac:dyDescent="0.2"/>
    <row r="699" customFormat="1" ht="15.75" customHeight="1" x14ac:dyDescent="0.2"/>
    <row r="700" customFormat="1" ht="15.75" customHeight="1" x14ac:dyDescent="0.2"/>
    <row r="701" customFormat="1" ht="15.75" customHeight="1" x14ac:dyDescent="0.2"/>
    <row r="702" customFormat="1" ht="15.75" customHeight="1" x14ac:dyDescent="0.2"/>
    <row r="703" customFormat="1" ht="15.75" customHeight="1" x14ac:dyDescent="0.2"/>
    <row r="704" customFormat="1" ht="15.75" customHeight="1" x14ac:dyDescent="0.2"/>
    <row r="705" customFormat="1" ht="15.75" customHeight="1" x14ac:dyDescent="0.2"/>
    <row r="706" customFormat="1" ht="15.75" customHeight="1" x14ac:dyDescent="0.2"/>
    <row r="707" customFormat="1" ht="15.75" customHeight="1" x14ac:dyDescent="0.2"/>
    <row r="708" customFormat="1" ht="15.75" customHeight="1" x14ac:dyDescent="0.2"/>
    <row r="709" customFormat="1" ht="15.75" customHeight="1" x14ac:dyDescent="0.2"/>
    <row r="710" customFormat="1" ht="15.75" customHeight="1" x14ac:dyDescent="0.2"/>
    <row r="711" customFormat="1" ht="15.75" customHeight="1" x14ac:dyDescent="0.2"/>
    <row r="712" customFormat="1" ht="15.75" customHeight="1" x14ac:dyDescent="0.2"/>
    <row r="713" customFormat="1" ht="15.75" customHeight="1" x14ac:dyDescent="0.2"/>
    <row r="714" customFormat="1" ht="15.75" customHeight="1" x14ac:dyDescent="0.2"/>
    <row r="715" customFormat="1" ht="15.75" customHeight="1" x14ac:dyDescent="0.2"/>
    <row r="716" customFormat="1" ht="15.75" customHeight="1" x14ac:dyDescent="0.2"/>
    <row r="717" customFormat="1" ht="15.75" customHeight="1" x14ac:dyDescent="0.2"/>
    <row r="718" customFormat="1" ht="15.75" customHeight="1" x14ac:dyDescent="0.2"/>
    <row r="719" customFormat="1" ht="15.75" customHeight="1" x14ac:dyDescent="0.2"/>
    <row r="720" customFormat="1" ht="15.75" customHeight="1" x14ac:dyDescent="0.2"/>
    <row r="721" customFormat="1" ht="15.75" customHeight="1" x14ac:dyDescent="0.2"/>
    <row r="722" customFormat="1" ht="15.75" customHeight="1" x14ac:dyDescent="0.2"/>
    <row r="723" customFormat="1" ht="15.75" customHeight="1" x14ac:dyDescent="0.2"/>
    <row r="724" customFormat="1" ht="15.75" customHeight="1" x14ac:dyDescent="0.2"/>
    <row r="725" customFormat="1" ht="15.75" customHeight="1" x14ac:dyDescent="0.2"/>
    <row r="726" customFormat="1" ht="15.75" customHeight="1" x14ac:dyDescent="0.2"/>
    <row r="727" customFormat="1" ht="15.75" customHeight="1" x14ac:dyDescent="0.2"/>
    <row r="728" customFormat="1" ht="15.75" customHeight="1" x14ac:dyDescent="0.2"/>
    <row r="729" customFormat="1" ht="15.75" customHeight="1" x14ac:dyDescent="0.2"/>
    <row r="730" customFormat="1" ht="15.75" customHeight="1" x14ac:dyDescent="0.2"/>
    <row r="731" customFormat="1" ht="15.75" customHeight="1" x14ac:dyDescent="0.2"/>
    <row r="732" customFormat="1" ht="15.75" customHeight="1" x14ac:dyDescent="0.2"/>
    <row r="733" customFormat="1" ht="15.75" customHeight="1" x14ac:dyDescent="0.2"/>
    <row r="734" customFormat="1" ht="15.75" customHeight="1" x14ac:dyDescent="0.2"/>
    <row r="735" customFormat="1" ht="15.75" customHeight="1" x14ac:dyDescent="0.2"/>
    <row r="736" customFormat="1" ht="15.75" customHeight="1" x14ac:dyDescent="0.2"/>
    <row r="737" customFormat="1" ht="15.75" customHeight="1" x14ac:dyDescent="0.2"/>
    <row r="738" customFormat="1" ht="15.75" customHeight="1" x14ac:dyDescent="0.2"/>
  </sheetData>
  <mergeCells count="3">
    <mergeCell ref="B72:B73"/>
    <mergeCell ref="A4:E4"/>
    <mergeCell ref="A5:E5"/>
  </mergeCells>
  <phoneticPr fontId="14" type="noConversion"/>
  <pageMargins left="0.51181102362204722" right="0.19685039370078741" top="0.35433070866141736" bottom="0.39370078740157483" header="0.31496062992125984" footer="0.51181102362204722"/>
  <pageSetup paperSize="9" scale="7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76"/>
  <sheetViews>
    <sheetView zoomScaleNormal="100" zoomScaleSheetLayoutView="90" workbookViewId="0">
      <selection activeCell="L12" sqref="L12"/>
    </sheetView>
  </sheetViews>
  <sheetFormatPr defaultColWidth="0" defaultRowHeight="12.75" x14ac:dyDescent="0.2"/>
  <cols>
    <col min="1" max="1" width="77" customWidth="1"/>
    <col min="2" max="2" width="15" customWidth="1"/>
    <col min="3" max="3" width="16.140625" customWidth="1"/>
    <col min="4" max="4" width="16.5703125" style="9" customWidth="1"/>
    <col min="5" max="6" width="14" hidden="1" customWidth="1"/>
    <col min="7" max="7" width="13.42578125" style="9" hidden="1" customWidth="1"/>
    <col min="8" max="8" width="12" hidden="1" customWidth="1"/>
    <col min="9" max="9" width="8.7109375" style="9" hidden="1" customWidth="1"/>
    <col min="10" max="10" width="9.140625" customWidth="1"/>
    <col min="11" max="11" width="7.85546875" customWidth="1"/>
    <col min="12" max="12" width="15.28515625" customWidth="1"/>
    <col min="13" max="20" width="7.85546875" customWidth="1"/>
    <col min="21" max="226" width="9.140625" customWidth="1"/>
  </cols>
  <sheetData>
    <row r="1" spans="1:22" ht="15.75" customHeight="1" x14ac:dyDescent="0.2">
      <c r="A1" s="408"/>
      <c r="D1" s="172" t="s">
        <v>560</v>
      </c>
    </row>
    <row r="2" spans="1:22" x14ac:dyDescent="0.2">
      <c r="A2" s="408"/>
      <c r="D2" s="176" t="str">
        <f>'1.Bev-kiad.'!E2</f>
        <v>a 13/2024.(IX.30.) önkormányzati rendelethez</v>
      </c>
    </row>
    <row r="3" spans="1:22" ht="15.75" customHeight="1" x14ac:dyDescent="0.2">
      <c r="A3" s="408"/>
      <c r="D3" s="176" t="s">
        <v>1059</v>
      </c>
    </row>
    <row r="4" spans="1:22" ht="19.5" x14ac:dyDescent="0.2">
      <c r="A4" s="663" t="s">
        <v>362</v>
      </c>
      <c r="B4" s="663"/>
      <c r="C4" s="663"/>
      <c r="D4" s="663"/>
      <c r="E4" s="302"/>
      <c r="F4" s="302"/>
    </row>
    <row r="5" spans="1:22" ht="19.5" customHeight="1" x14ac:dyDescent="0.35">
      <c r="A5" s="664" t="s">
        <v>877</v>
      </c>
      <c r="B5" s="664"/>
      <c r="C5" s="664"/>
      <c r="D5" s="664"/>
      <c r="E5" s="225"/>
      <c r="F5" s="225"/>
    </row>
    <row r="6" spans="1:22" ht="5.25" customHeight="1" x14ac:dyDescent="0.2">
      <c r="A6" s="51"/>
      <c r="B6" s="52"/>
      <c r="C6" s="52"/>
      <c r="D6" s="406"/>
      <c r="E6" s="52"/>
      <c r="F6" s="52"/>
    </row>
    <row r="7" spans="1:22" ht="13.5" thickBot="1" x14ac:dyDescent="0.25">
      <c r="A7" s="51"/>
      <c r="D7" s="172" t="s">
        <v>0</v>
      </c>
    </row>
    <row r="8" spans="1:22" s="4" customFormat="1" ht="48" thickBot="1" x14ac:dyDescent="0.3">
      <c r="A8" s="42" t="s">
        <v>13</v>
      </c>
      <c r="B8" s="43" t="str">
        <f>'1.Bev-kiad.'!C7</f>
        <v>2024. évi eredeti előirányzat</v>
      </c>
      <c r="C8" s="43" t="str">
        <f>'1.Bev-kiad.'!D7</f>
        <v>Módosított előirányzat 2024.06.havi</v>
      </c>
      <c r="D8" s="43" t="str">
        <f>'1.Bev-kiad.'!E7</f>
        <v>Módosított előirányzat 2024.09.havi</v>
      </c>
      <c r="E8" s="43" t="str">
        <f>'1.Bev-kiad.'!F7</f>
        <v>Módosított előirányzat 2024..havi</v>
      </c>
      <c r="F8" s="44" t="str">
        <f>'1.Bev-kiad.'!G7</f>
        <v>Teljesítés 2023.12.31.</v>
      </c>
      <c r="G8" s="299"/>
      <c r="I8" s="9"/>
      <c r="R8"/>
      <c r="S8"/>
      <c r="T8"/>
      <c r="U8"/>
      <c r="V8"/>
    </row>
    <row r="9" spans="1:22" s="4" customFormat="1" ht="18" customHeight="1" x14ac:dyDescent="0.25">
      <c r="A9" s="243" t="s">
        <v>1037</v>
      </c>
      <c r="B9" s="244">
        <f>SUM(B10+B32)</f>
        <v>350702</v>
      </c>
      <c r="C9" s="244">
        <f>SUM(C10+C32)</f>
        <v>350776</v>
      </c>
      <c r="D9" s="244">
        <f>SUM(D10+D32)</f>
        <v>350686</v>
      </c>
      <c r="E9" s="244">
        <f>SUM(E10+E32+E34)</f>
        <v>369504</v>
      </c>
      <c r="F9" s="244">
        <f>SUM(F10+F32+F34)</f>
        <v>369504</v>
      </c>
      <c r="G9" s="300"/>
      <c r="H9" s="35"/>
      <c r="I9" s="35"/>
      <c r="J9" s="35"/>
      <c r="K9" s="35"/>
      <c r="L9" s="35"/>
      <c r="M9" s="35"/>
      <c r="N9" s="35"/>
      <c r="O9" s="35"/>
      <c r="P9" s="35"/>
      <c r="Q9" s="35"/>
      <c r="R9"/>
      <c r="S9"/>
      <c r="T9"/>
      <c r="U9"/>
      <c r="V9"/>
    </row>
    <row r="10" spans="1:22" s="4" customFormat="1" ht="14.25" customHeight="1" x14ac:dyDescent="0.25">
      <c r="A10" s="17" t="s">
        <v>3</v>
      </c>
      <c r="B10" s="5">
        <f>SUM(B11+B17)</f>
        <v>350502</v>
      </c>
      <c r="C10" s="5">
        <f>SUM(C11+C17)</f>
        <v>350576</v>
      </c>
      <c r="D10" s="5">
        <f>SUM(D11+D17)</f>
        <v>350486</v>
      </c>
      <c r="E10" s="5">
        <f>SUM(E11+E17)</f>
        <v>333902</v>
      </c>
      <c r="F10" s="5">
        <f>SUM(F11+F17)</f>
        <v>333902</v>
      </c>
      <c r="G10" s="300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/>
      <c r="S10"/>
      <c r="T10"/>
      <c r="U10"/>
      <c r="V10"/>
    </row>
    <row r="11" spans="1:22" s="4" customFormat="1" ht="14.25" customHeight="1" x14ac:dyDescent="0.25">
      <c r="A11" s="17" t="s">
        <v>368</v>
      </c>
      <c r="B11" s="5">
        <f>SUM(B12:B16)</f>
        <v>331909</v>
      </c>
      <c r="C11" s="5">
        <f>SUM(C12:C16)</f>
        <v>331909</v>
      </c>
      <c r="D11" s="5">
        <f>SUM(D12:D16)</f>
        <v>331909</v>
      </c>
      <c r="E11" s="5">
        <f>SUM(E12:E16)</f>
        <v>313102</v>
      </c>
      <c r="F11" s="5">
        <f>SUM(F12:F16)</f>
        <v>313102</v>
      </c>
      <c r="G11" s="300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/>
      <c r="S11"/>
      <c r="T11"/>
      <c r="U11"/>
      <c r="V11"/>
    </row>
    <row r="12" spans="1:22" s="4" customFormat="1" ht="14.25" customHeight="1" x14ac:dyDescent="0.25">
      <c r="A12" s="15" t="s">
        <v>299</v>
      </c>
      <c r="B12" s="13">
        <f>SUM('2.működés'!C25)</f>
        <v>130767</v>
      </c>
      <c r="C12" s="13">
        <f>SUM('2.működés'!D25)</f>
        <v>130767</v>
      </c>
      <c r="D12" s="13">
        <f>SUM('2.működés'!E25)</f>
        <v>130767</v>
      </c>
      <c r="E12" s="13">
        <f>SUM('2.működés'!F25)</f>
        <v>130767</v>
      </c>
      <c r="F12" s="13">
        <f>SUM('2.működés'!G25)</f>
        <v>130767</v>
      </c>
      <c r="G12" s="300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/>
      <c r="S12"/>
      <c r="T12"/>
      <c r="U12"/>
      <c r="V12"/>
    </row>
    <row r="13" spans="1:22" s="4" customFormat="1" ht="14.25" customHeight="1" x14ac:dyDescent="0.25">
      <c r="A13" s="15" t="s">
        <v>416</v>
      </c>
      <c r="B13" s="13">
        <f>SUM('2.működés'!C36)</f>
        <v>64423</v>
      </c>
      <c r="C13" s="13">
        <f>SUM('2.működés'!D36)</f>
        <v>64423</v>
      </c>
      <c r="D13" s="13">
        <f>SUM('2.működés'!E36)</f>
        <v>64423</v>
      </c>
      <c r="E13" s="13">
        <f>SUM('2.működés'!F36)</f>
        <v>64423</v>
      </c>
      <c r="F13" s="13">
        <f>SUM('2.működés'!G36)</f>
        <v>64423</v>
      </c>
      <c r="G13" s="300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/>
      <c r="S13"/>
      <c r="T13"/>
      <c r="U13"/>
      <c r="V13"/>
    </row>
    <row r="14" spans="1:22" s="4" customFormat="1" ht="15" customHeight="1" x14ac:dyDescent="0.25">
      <c r="A14" s="15" t="s">
        <v>417</v>
      </c>
      <c r="B14" s="13">
        <f>SUM('2.működés'!C29+'2.működés'!C33)</f>
        <v>117912</v>
      </c>
      <c r="C14" s="13">
        <f>SUM('2.működés'!D29+'2.működés'!D33)</f>
        <v>117912</v>
      </c>
      <c r="D14" s="13">
        <f>SUM('2.működés'!E29+'2.működés'!E33)</f>
        <v>117912</v>
      </c>
      <c r="E14" s="13">
        <f>SUM('2.működés'!F29+'2.működés'!F33)</f>
        <v>117912</v>
      </c>
      <c r="F14" s="13">
        <f>SUM('2.működés'!G29+'2.működés'!G33)</f>
        <v>117912</v>
      </c>
      <c r="G14" s="300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/>
      <c r="S14"/>
      <c r="T14"/>
      <c r="U14"/>
      <c r="V14"/>
    </row>
    <row r="15" spans="1:22" s="4" customFormat="1" ht="15" customHeight="1" x14ac:dyDescent="0.25">
      <c r="A15" s="15" t="s">
        <v>829</v>
      </c>
      <c r="B15" s="13">
        <f>'2.működés'!C54</f>
        <v>17410</v>
      </c>
      <c r="C15" s="13">
        <f>'2.működés'!D35</f>
        <v>17410</v>
      </c>
      <c r="D15" s="13">
        <f>'2.működés'!E35</f>
        <v>17410</v>
      </c>
      <c r="E15" s="13">
        <f>'2.működés'!F54</f>
        <v>0</v>
      </c>
      <c r="F15" s="13">
        <f>'2.működés'!G54</f>
        <v>0</v>
      </c>
      <c r="G15" s="300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/>
      <c r="S15"/>
      <c r="T15"/>
      <c r="U15"/>
      <c r="V15"/>
    </row>
    <row r="16" spans="1:22" s="4" customFormat="1" ht="15" customHeight="1" x14ac:dyDescent="0.25">
      <c r="A16" s="15" t="s">
        <v>993</v>
      </c>
      <c r="B16" s="13">
        <f>1204+192+1</f>
        <v>1397</v>
      </c>
      <c r="C16" s="13">
        <f>1204+192+1</f>
        <v>1397</v>
      </c>
      <c r="D16" s="13">
        <f>1204+192+1</f>
        <v>1397</v>
      </c>
      <c r="E16" s="374">
        <v>0</v>
      </c>
      <c r="F16" s="374">
        <v>0</v>
      </c>
      <c r="G16" s="599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/>
      <c r="S16"/>
      <c r="T16"/>
      <c r="U16"/>
      <c r="V16"/>
    </row>
    <row r="17" spans="1:22" s="4" customFormat="1" ht="28.5" customHeight="1" x14ac:dyDescent="0.25">
      <c r="A17" s="218" t="s">
        <v>379</v>
      </c>
      <c r="B17" s="5">
        <f>SUM(B18+B29+B30+B31)</f>
        <v>18593</v>
      </c>
      <c r="C17" s="5">
        <f t="shared" ref="C17:F17" si="0">SUM(C18+C29+C30+C31)</f>
        <v>18667</v>
      </c>
      <c r="D17" s="5">
        <f t="shared" ref="D17" si="1">SUM(D18+D29+D30+D31)</f>
        <v>18577</v>
      </c>
      <c r="E17" s="5">
        <f t="shared" si="0"/>
        <v>20800</v>
      </c>
      <c r="F17" s="5">
        <f t="shared" si="0"/>
        <v>20800</v>
      </c>
      <c r="G17" s="300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/>
      <c r="S17"/>
      <c r="T17"/>
      <c r="U17"/>
      <c r="V17"/>
    </row>
    <row r="18" spans="1:22" s="4" customFormat="1" ht="14.25" customHeight="1" x14ac:dyDescent="0.25">
      <c r="A18" s="15" t="s">
        <v>14</v>
      </c>
      <c r="B18" s="666">
        <v>17769</v>
      </c>
      <c r="C18" s="666">
        <f>17769+74</f>
        <v>17843</v>
      </c>
      <c r="D18" s="666">
        <f>17769+74</f>
        <v>17843</v>
      </c>
      <c r="E18" s="669">
        <v>20000</v>
      </c>
      <c r="F18" s="669">
        <v>20000</v>
      </c>
      <c r="G18" s="300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/>
      <c r="S18"/>
      <c r="T18"/>
      <c r="U18"/>
      <c r="V18"/>
    </row>
    <row r="19" spans="1:22" s="4" customFormat="1" ht="14.25" customHeight="1" x14ac:dyDescent="0.25">
      <c r="A19" s="15" t="s">
        <v>15</v>
      </c>
      <c r="B19" s="667"/>
      <c r="C19" s="667"/>
      <c r="D19" s="667"/>
      <c r="E19" s="670"/>
      <c r="F19" s="670"/>
      <c r="G19" s="300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/>
      <c r="S19"/>
      <c r="T19"/>
      <c r="U19"/>
      <c r="V19"/>
    </row>
    <row r="20" spans="1:22" s="4" customFormat="1" ht="14.25" hidden="1" customHeight="1" x14ac:dyDescent="0.25">
      <c r="A20" s="20" t="s">
        <v>16</v>
      </c>
      <c r="B20" s="667"/>
      <c r="C20" s="667"/>
      <c r="D20" s="667"/>
      <c r="E20" s="670"/>
      <c r="F20" s="670"/>
      <c r="G20" s="300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/>
      <c r="S20"/>
      <c r="T20"/>
      <c r="U20"/>
      <c r="V20"/>
    </row>
    <row r="21" spans="1:22" s="4" customFormat="1" ht="14.25" hidden="1" customHeight="1" x14ac:dyDescent="0.25">
      <c r="A21" s="522" t="s">
        <v>17</v>
      </c>
      <c r="B21" s="667"/>
      <c r="C21" s="667"/>
      <c r="D21" s="667"/>
      <c r="E21" s="670"/>
      <c r="F21" s="670"/>
      <c r="G21" s="300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/>
      <c r="S21"/>
      <c r="T21"/>
      <c r="U21"/>
      <c r="V21"/>
    </row>
    <row r="22" spans="1:22" s="4" customFormat="1" ht="14.25" customHeight="1" x14ac:dyDescent="0.25">
      <c r="A22" s="15" t="s">
        <v>423</v>
      </c>
      <c r="B22" s="667"/>
      <c r="C22" s="667"/>
      <c r="D22" s="667"/>
      <c r="E22" s="670"/>
      <c r="F22" s="670"/>
      <c r="G22" s="300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/>
      <c r="S22"/>
      <c r="T22"/>
      <c r="U22"/>
      <c r="V22"/>
    </row>
    <row r="23" spans="1:22" s="4" customFormat="1" ht="14.25" customHeight="1" x14ac:dyDescent="0.25">
      <c r="A23" s="15" t="s">
        <v>18</v>
      </c>
      <c r="B23" s="667"/>
      <c r="C23" s="667"/>
      <c r="D23" s="667"/>
      <c r="E23" s="670"/>
      <c r="F23" s="670"/>
      <c r="G23" s="300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/>
      <c r="S23"/>
      <c r="T23"/>
      <c r="U23"/>
      <c r="V23"/>
    </row>
    <row r="24" spans="1:22" s="4" customFormat="1" ht="18" hidden="1" customHeight="1" x14ac:dyDescent="0.25">
      <c r="A24" s="15" t="s">
        <v>19</v>
      </c>
      <c r="B24" s="667"/>
      <c r="C24" s="667"/>
      <c r="D24" s="667"/>
      <c r="E24" s="670"/>
      <c r="F24" s="670"/>
      <c r="G24" s="300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/>
      <c r="S24"/>
      <c r="T24"/>
      <c r="U24"/>
      <c r="V24"/>
    </row>
    <row r="25" spans="1:22" s="4" customFormat="1" ht="14.25" customHeight="1" x14ac:dyDescent="0.25">
      <c r="A25" s="11" t="s">
        <v>20</v>
      </c>
      <c r="B25" s="667"/>
      <c r="C25" s="667"/>
      <c r="D25" s="667"/>
      <c r="E25" s="670"/>
      <c r="F25" s="670"/>
      <c r="G25" s="300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/>
      <c r="S25"/>
      <c r="T25"/>
      <c r="U25"/>
      <c r="V25"/>
    </row>
    <row r="26" spans="1:22" s="4" customFormat="1" ht="14.25" customHeight="1" x14ac:dyDescent="0.25">
      <c r="A26" s="15" t="s">
        <v>21</v>
      </c>
      <c r="B26" s="667"/>
      <c r="C26" s="667"/>
      <c r="D26" s="667"/>
      <c r="E26" s="670"/>
      <c r="F26" s="670"/>
      <c r="G26" s="300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/>
      <c r="S26"/>
      <c r="T26"/>
      <c r="U26"/>
      <c r="V26"/>
    </row>
    <row r="27" spans="1:22" s="4" customFormat="1" ht="14.25" customHeight="1" x14ac:dyDescent="0.25">
      <c r="A27" s="15" t="s">
        <v>22</v>
      </c>
      <c r="B27" s="668"/>
      <c r="C27" s="668"/>
      <c r="D27" s="668"/>
      <c r="E27" s="671"/>
      <c r="F27" s="671"/>
      <c r="G27" s="300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/>
      <c r="S27"/>
      <c r="T27"/>
      <c r="U27"/>
      <c r="V27"/>
    </row>
    <row r="28" spans="1:22" s="4" customFormat="1" ht="14.25" hidden="1" customHeight="1" x14ac:dyDescent="0.25">
      <c r="A28" s="15" t="s">
        <v>809</v>
      </c>
      <c r="B28" s="467">
        <v>0</v>
      </c>
      <c r="C28" s="605">
        <v>0</v>
      </c>
      <c r="D28" s="605">
        <v>0</v>
      </c>
      <c r="E28" s="605"/>
      <c r="F28" s="605"/>
      <c r="G28" s="300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/>
      <c r="S28"/>
      <c r="T28"/>
      <c r="U28"/>
      <c r="V28"/>
    </row>
    <row r="29" spans="1:22" s="4" customFormat="1" ht="18" hidden="1" customHeight="1" x14ac:dyDescent="0.25">
      <c r="A29" s="15" t="s">
        <v>378</v>
      </c>
      <c r="B29" s="13">
        <v>0</v>
      </c>
      <c r="C29" s="606">
        <v>0</v>
      </c>
      <c r="D29" s="606">
        <v>0</v>
      </c>
      <c r="E29" s="606">
        <v>200</v>
      </c>
      <c r="F29" s="606">
        <v>200</v>
      </c>
      <c r="G29">
        <v>141080</v>
      </c>
      <c r="H29" s="35" t="s">
        <v>919</v>
      </c>
      <c r="J29" s="35"/>
      <c r="K29" s="35"/>
      <c r="L29" s="35"/>
      <c r="M29" s="35"/>
      <c r="N29" s="35"/>
      <c r="O29" s="35"/>
      <c r="P29" s="35"/>
      <c r="Q29" s="35"/>
      <c r="R29"/>
      <c r="S29"/>
      <c r="T29"/>
      <c r="U29"/>
      <c r="V29"/>
    </row>
    <row r="30" spans="1:22" s="4" customFormat="1" ht="25.5" x14ac:dyDescent="0.25">
      <c r="A30" s="617" t="s">
        <v>1155</v>
      </c>
      <c r="B30" s="13">
        <f>734+90</f>
        <v>824</v>
      </c>
      <c r="C30" s="13">
        <f>734+90</f>
        <v>824</v>
      </c>
      <c r="D30" s="13">
        <f>734+90-90</f>
        <v>734</v>
      </c>
      <c r="E30" s="374">
        <v>600</v>
      </c>
      <c r="F30" s="374">
        <v>600</v>
      </c>
      <c r="G30">
        <v>486013</v>
      </c>
      <c r="H30" s="35" t="s">
        <v>919</v>
      </c>
      <c r="J30" s="35"/>
      <c r="K30" s="35"/>
      <c r="L30" s="35"/>
      <c r="M30" s="35"/>
      <c r="N30" s="35"/>
      <c r="O30" s="35"/>
      <c r="P30" s="35"/>
      <c r="Q30" s="35"/>
      <c r="R30"/>
      <c r="S30"/>
      <c r="T30"/>
      <c r="U30"/>
      <c r="V30"/>
    </row>
    <row r="31" spans="1:22" s="4" customFormat="1" ht="14.25" hidden="1" customHeight="1" x14ac:dyDescent="0.25">
      <c r="A31" s="8"/>
      <c r="B31" s="13"/>
      <c r="C31" s="13"/>
      <c r="D31" s="13"/>
      <c r="E31" s="13"/>
      <c r="F31" s="13"/>
      <c r="G31" s="300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/>
      <c r="S31"/>
      <c r="T31"/>
      <c r="U31"/>
      <c r="V31"/>
    </row>
    <row r="32" spans="1:22" s="4" customFormat="1" ht="14.25" customHeight="1" x14ac:dyDescent="0.25">
      <c r="A32" s="17" t="s">
        <v>574</v>
      </c>
      <c r="B32" s="163">
        <f>B33</f>
        <v>200</v>
      </c>
      <c r="C32" s="163">
        <f t="shared" ref="C32:F32" si="2">C33</f>
        <v>200</v>
      </c>
      <c r="D32" s="163">
        <f t="shared" si="2"/>
        <v>200</v>
      </c>
      <c r="E32" s="163">
        <f t="shared" si="2"/>
        <v>200</v>
      </c>
      <c r="F32" s="163">
        <f t="shared" si="2"/>
        <v>200</v>
      </c>
      <c r="G32" s="300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/>
      <c r="S32"/>
      <c r="T32"/>
      <c r="U32"/>
      <c r="V32"/>
    </row>
    <row r="33" spans="1:22" s="4" customFormat="1" ht="14.25" customHeight="1" thickBot="1" x14ac:dyDescent="0.3">
      <c r="A33" s="8" t="s">
        <v>777</v>
      </c>
      <c r="B33" s="13">
        <v>200</v>
      </c>
      <c r="C33" s="13">
        <v>200</v>
      </c>
      <c r="D33" s="13">
        <v>200</v>
      </c>
      <c r="E33" s="13">
        <v>200</v>
      </c>
      <c r="F33" s="13">
        <v>200</v>
      </c>
      <c r="G33" s="300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/>
      <c r="S33"/>
      <c r="T33"/>
      <c r="U33"/>
      <c r="V33"/>
    </row>
    <row r="34" spans="1:22" s="4" customFormat="1" ht="18" customHeight="1" thickBot="1" x14ac:dyDescent="0.3">
      <c r="A34" s="635" t="s">
        <v>1036</v>
      </c>
      <c r="B34" s="636">
        <v>35402</v>
      </c>
      <c r="C34" s="636">
        <v>35402</v>
      </c>
      <c r="D34" s="636">
        <v>35402</v>
      </c>
      <c r="E34" s="163">
        <v>35402</v>
      </c>
      <c r="F34" s="163">
        <v>35402</v>
      </c>
      <c r="G34" s="300"/>
      <c r="H34" s="35">
        <v>835838</v>
      </c>
      <c r="I34" s="665">
        <v>35401835</v>
      </c>
      <c r="J34" s="35"/>
      <c r="K34" s="35"/>
      <c r="L34" s="35"/>
      <c r="M34" s="35"/>
      <c r="N34" s="35"/>
      <c r="O34" s="35"/>
      <c r="P34" s="35"/>
      <c r="Q34" s="35"/>
      <c r="R34"/>
      <c r="S34"/>
      <c r="T34"/>
      <c r="U34"/>
      <c r="V34"/>
    </row>
    <row r="35" spans="1:22" s="4" customFormat="1" ht="18.75" customHeight="1" thickBot="1" x14ac:dyDescent="0.3">
      <c r="A35" s="635" t="s">
        <v>1038</v>
      </c>
      <c r="B35" s="636">
        <f>SUM(B36+B51+B53)</f>
        <v>202824</v>
      </c>
      <c r="C35" s="636">
        <f>SUM(C36+C51+C53)</f>
        <v>213221</v>
      </c>
      <c r="D35" s="636">
        <f>SUM(D36+D51+D53)</f>
        <v>249724</v>
      </c>
      <c r="E35" s="246">
        <f>SUM(E36+E51+E53)</f>
        <v>142824</v>
      </c>
      <c r="F35" s="247">
        <f>SUM(F36+F51+F53)</f>
        <v>142824</v>
      </c>
      <c r="G35" s="300"/>
      <c r="H35" s="35">
        <v>430285</v>
      </c>
      <c r="I35" s="665"/>
      <c r="J35" s="35"/>
      <c r="K35" s="35"/>
      <c r="L35" s="35"/>
      <c r="M35" s="35"/>
      <c r="N35" s="35"/>
      <c r="O35" s="35"/>
      <c r="P35" s="35"/>
      <c r="Q35" s="35"/>
      <c r="R35"/>
      <c r="S35"/>
      <c r="T35"/>
      <c r="U35"/>
      <c r="V35"/>
    </row>
    <row r="36" spans="1:22" s="4" customFormat="1" ht="14.25" customHeight="1" x14ac:dyDescent="0.25">
      <c r="A36" s="16" t="s">
        <v>4</v>
      </c>
      <c r="B36" s="39">
        <f>SUM(B38+B37+B46+B48+B49)+B50</f>
        <v>163811</v>
      </c>
      <c r="C36" s="39">
        <f>SUM(C38+C37+C46+C48+C49)+C50</f>
        <v>173208</v>
      </c>
      <c r="D36" s="39">
        <f>SUM(D38+D37+D46+D48+D49)+D50+D47</f>
        <v>209541</v>
      </c>
      <c r="E36" s="39">
        <f t="shared" ref="E36:F36" si="3">SUM(E38+E37+E46+E48+E49)</f>
        <v>103811</v>
      </c>
      <c r="F36" s="39">
        <f t="shared" si="3"/>
        <v>103811</v>
      </c>
      <c r="G36" s="300"/>
      <c r="H36" s="35">
        <v>436830</v>
      </c>
      <c r="I36" s="665"/>
      <c r="J36" s="35"/>
      <c r="K36" s="35"/>
      <c r="L36" s="35"/>
      <c r="M36" s="35"/>
      <c r="N36" s="35"/>
      <c r="O36" s="35"/>
      <c r="P36" s="35"/>
      <c r="Q36" s="35"/>
      <c r="R36"/>
      <c r="S36"/>
      <c r="T36"/>
      <c r="U36"/>
      <c r="V36"/>
    </row>
    <row r="37" spans="1:22" s="4" customFormat="1" ht="14.25" customHeight="1" x14ac:dyDescent="0.25">
      <c r="A37" s="20" t="s">
        <v>622</v>
      </c>
      <c r="B37" s="13">
        <f>90000-8500</f>
        <v>81500</v>
      </c>
      <c r="C37" s="13">
        <f>90000-8500</f>
        <v>81500</v>
      </c>
      <c r="D37" s="13">
        <f>90000-8500</f>
        <v>81500</v>
      </c>
      <c r="E37" s="13">
        <f t="shared" ref="E37:F37" si="4">90000-8500</f>
        <v>81500</v>
      </c>
      <c r="F37" s="13">
        <f t="shared" si="4"/>
        <v>81500</v>
      </c>
      <c r="G37" s="300"/>
      <c r="H37" s="35">
        <v>7248882</v>
      </c>
      <c r="I37" s="665"/>
      <c r="J37" s="35"/>
      <c r="K37" s="35"/>
      <c r="L37" s="35"/>
      <c r="M37" s="35"/>
      <c r="N37" s="35"/>
      <c r="O37" s="35"/>
      <c r="P37" s="35"/>
      <c r="Q37" s="35"/>
      <c r="R37"/>
      <c r="S37"/>
      <c r="T37"/>
      <c r="U37"/>
      <c r="V37"/>
    </row>
    <row r="38" spans="1:22" s="4" customFormat="1" ht="14.25" customHeight="1" x14ac:dyDescent="0.25">
      <c r="A38" s="20" t="s">
        <v>621</v>
      </c>
      <c r="B38" s="13">
        <f>SUM(B39+B40+B42+B45)</f>
        <v>22311</v>
      </c>
      <c r="C38" s="13">
        <f>SUM(C39+C40+C42+C45)</f>
        <v>22311</v>
      </c>
      <c r="D38" s="13">
        <f>SUM(D39+D40+D42+D45)</f>
        <v>22311</v>
      </c>
      <c r="E38" s="13">
        <f t="shared" ref="E38:F38" si="5">SUM(E39+E40+E42+E45)</f>
        <v>22311</v>
      </c>
      <c r="F38" s="13">
        <f t="shared" si="5"/>
        <v>22311</v>
      </c>
      <c r="G38" s="300"/>
      <c r="H38" s="35">
        <v>26450000</v>
      </c>
      <c r="I38" s="665"/>
      <c r="J38" s="35"/>
      <c r="K38" s="35"/>
      <c r="L38" s="35"/>
      <c r="M38" s="35"/>
      <c r="N38" s="35"/>
      <c r="O38" s="35"/>
      <c r="P38" s="35"/>
      <c r="Q38" s="35"/>
      <c r="R38"/>
      <c r="S38"/>
      <c r="T38"/>
      <c r="U38"/>
      <c r="V38"/>
    </row>
    <row r="39" spans="1:22" s="4" customFormat="1" ht="14.25" hidden="1" customHeight="1" x14ac:dyDescent="0.25">
      <c r="A39" s="20" t="s">
        <v>424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300"/>
      <c r="I39" s="35"/>
      <c r="J39" s="35"/>
      <c r="K39" s="35"/>
      <c r="L39" s="35"/>
      <c r="M39" s="35"/>
      <c r="N39" s="35"/>
      <c r="O39" s="35"/>
      <c r="P39" s="35"/>
      <c r="Q39" s="35"/>
      <c r="R39"/>
      <c r="S39"/>
      <c r="T39"/>
      <c r="U39"/>
      <c r="V39"/>
    </row>
    <row r="40" spans="1:22" s="4" customFormat="1" ht="14.25" customHeight="1" x14ac:dyDescent="0.25">
      <c r="A40" s="598" t="s">
        <v>869</v>
      </c>
      <c r="B40" s="260">
        <f>'2.működés'!C43</f>
        <v>5165</v>
      </c>
      <c r="C40" s="260">
        <f>'2.működés'!D43</f>
        <v>5165</v>
      </c>
      <c r="D40" s="260">
        <f>'2.működés'!E43</f>
        <v>5165</v>
      </c>
      <c r="E40" s="260">
        <f>'2.működés'!F43</f>
        <v>5165</v>
      </c>
      <c r="F40" s="260">
        <f>'2.működés'!G43</f>
        <v>5165</v>
      </c>
      <c r="G40" s="300"/>
      <c r="H40" s="9"/>
      <c r="I40" s="35"/>
      <c r="J40" s="35"/>
      <c r="K40" s="35"/>
      <c r="L40" s="35"/>
      <c r="M40" s="35"/>
      <c r="N40" s="35"/>
      <c r="O40" s="35"/>
      <c r="P40" s="35"/>
      <c r="Q40" s="35"/>
      <c r="R40"/>
      <c r="S40"/>
      <c r="T40"/>
      <c r="U40"/>
      <c r="V40"/>
    </row>
    <row r="41" spans="1:22" s="4" customFormat="1" ht="14.25" hidden="1" customHeight="1" x14ac:dyDescent="0.25">
      <c r="A41" s="598" t="s">
        <v>425</v>
      </c>
      <c r="B41" s="260"/>
      <c r="C41" s="260"/>
      <c r="D41" s="260"/>
      <c r="E41" s="260"/>
      <c r="F41" s="260"/>
      <c r="G41" s="300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/>
      <c r="S41"/>
      <c r="T41"/>
      <c r="U41"/>
      <c r="V41"/>
    </row>
    <row r="42" spans="1:22" s="4" customFormat="1" ht="13.5" customHeight="1" x14ac:dyDescent="0.25">
      <c r="A42" s="598" t="s">
        <v>870</v>
      </c>
      <c r="B42" s="260">
        <f>'2.működés'!C14+'2.működés'!C17+'2.működés'!C18</f>
        <v>17146</v>
      </c>
      <c r="C42" s="260">
        <f>'2.működés'!D14+'2.működés'!D17+'2.működés'!D18</f>
        <v>17146</v>
      </c>
      <c r="D42" s="260">
        <f>'2.működés'!E14+'2.működés'!E17+'2.működés'!E18</f>
        <v>17146</v>
      </c>
      <c r="E42" s="260">
        <f>'2.működés'!F14+'2.működés'!F17+'2.működés'!F18</f>
        <v>17146</v>
      </c>
      <c r="F42" s="260">
        <f>'2.működés'!G14+'2.működés'!G17+'2.működés'!G18</f>
        <v>17146</v>
      </c>
      <c r="G42" s="300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/>
      <c r="S42"/>
      <c r="T42"/>
      <c r="U42"/>
      <c r="V42"/>
    </row>
    <row r="43" spans="1:22" s="4" customFormat="1" ht="12.75" hidden="1" customHeight="1" x14ac:dyDescent="0.25">
      <c r="A43" s="20"/>
      <c r="B43" s="171"/>
      <c r="C43" s="171"/>
      <c r="D43" s="171"/>
      <c r="E43" s="171"/>
      <c r="F43" s="171"/>
      <c r="G43" s="300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/>
      <c r="S43"/>
      <c r="T43"/>
      <c r="U43"/>
      <c r="V43"/>
    </row>
    <row r="44" spans="1:22" s="4" customFormat="1" ht="13.5" hidden="1" customHeight="1" x14ac:dyDescent="0.25">
      <c r="A44" s="224" t="s">
        <v>426</v>
      </c>
      <c r="B44" s="260"/>
      <c r="C44" s="260"/>
      <c r="D44" s="260"/>
      <c r="E44" s="260"/>
      <c r="F44" s="260"/>
      <c r="G44" s="300"/>
      <c r="H44" s="373"/>
      <c r="I44" s="35"/>
      <c r="J44" s="35"/>
      <c r="K44" s="35"/>
      <c r="L44" s="35"/>
      <c r="M44" s="35"/>
      <c r="N44" s="35"/>
      <c r="O44" s="35"/>
      <c r="P44" s="35"/>
      <c r="Q44" s="35"/>
      <c r="R44"/>
      <c r="S44"/>
      <c r="T44"/>
      <c r="U44"/>
      <c r="V44"/>
    </row>
    <row r="45" spans="1:22" s="4" customFormat="1" ht="18" hidden="1" customHeight="1" x14ac:dyDescent="0.25">
      <c r="A45" s="224"/>
      <c r="B45" s="189"/>
      <c r="C45" s="189"/>
      <c r="D45" s="189"/>
      <c r="E45" s="189"/>
      <c r="F45" s="189"/>
      <c r="G45" s="300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/>
      <c r="S45"/>
      <c r="T45"/>
      <c r="U45"/>
      <c r="V45"/>
    </row>
    <row r="46" spans="1:22" s="4" customFormat="1" ht="15" customHeight="1" x14ac:dyDescent="0.25">
      <c r="A46" s="8" t="s">
        <v>1130</v>
      </c>
      <c r="B46" s="13">
        <v>0</v>
      </c>
      <c r="C46" s="13">
        <v>0</v>
      </c>
      <c r="D46" s="13">
        <v>20000</v>
      </c>
      <c r="E46" s="13"/>
      <c r="F46" s="13"/>
      <c r="G46" s="300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/>
      <c r="S46"/>
      <c r="T46"/>
      <c r="U46"/>
      <c r="V46"/>
    </row>
    <row r="47" spans="1:22" s="4" customFormat="1" ht="15" customHeight="1" x14ac:dyDescent="0.25">
      <c r="A47" s="15" t="s">
        <v>1133</v>
      </c>
      <c r="B47" s="13">
        <v>0</v>
      </c>
      <c r="C47" s="13">
        <v>0</v>
      </c>
      <c r="D47" s="13">
        <v>16333</v>
      </c>
      <c r="E47" s="13"/>
      <c r="F47" s="13"/>
      <c r="G47" s="300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/>
      <c r="S47"/>
      <c r="T47"/>
      <c r="U47"/>
      <c r="V47"/>
    </row>
    <row r="48" spans="1:22" s="4" customFormat="1" ht="15" customHeight="1" x14ac:dyDescent="0.25">
      <c r="A48" s="8" t="s">
        <v>1009</v>
      </c>
      <c r="B48" s="162">
        <v>15000</v>
      </c>
      <c r="C48" s="162">
        <v>15000</v>
      </c>
      <c r="D48" s="162">
        <v>15000</v>
      </c>
      <c r="E48" s="13"/>
      <c r="F48" s="13"/>
      <c r="G48" s="300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/>
      <c r="S48"/>
      <c r="T48"/>
      <c r="U48"/>
      <c r="V48"/>
    </row>
    <row r="49" spans="1:22" s="4" customFormat="1" ht="13.5" customHeight="1" x14ac:dyDescent="0.25">
      <c r="A49" s="8" t="s">
        <v>1099</v>
      </c>
      <c r="B49" s="13">
        <v>45000</v>
      </c>
      <c r="C49" s="13">
        <f>45000+4037</f>
        <v>49037</v>
      </c>
      <c r="D49" s="13">
        <f>45000+4037</f>
        <v>49037</v>
      </c>
      <c r="E49" s="162"/>
      <c r="F49" s="162"/>
      <c r="G49" s="473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/>
      <c r="S49"/>
      <c r="T49"/>
      <c r="U49"/>
      <c r="V49"/>
    </row>
    <row r="50" spans="1:22" s="4" customFormat="1" ht="14.25" customHeight="1" x14ac:dyDescent="0.25">
      <c r="A50" s="8" t="s">
        <v>1097</v>
      </c>
      <c r="B50" s="13">
        <v>0</v>
      </c>
      <c r="C50" s="13">
        <v>5360</v>
      </c>
      <c r="D50" s="13">
        <v>5360</v>
      </c>
      <c r="E50" s="13"/>
      <c r="F50" s="13"/>
      <c r="G50" s="473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/>
      <c r="S50"/>
      <c r="T50"/>
      <c r="U50"/>
      <c r="V50"/>
    </row>
    <row r="51" spans="1:22" s="4" customFormat="1" ht="14.25" customHeight="1" x14ac:dyDescent="0.25">
      <c r="A51" s="17" t="s">
        <v>356</v>
      </c>
      <c r="B51" s="5">
        <f>B52</f>
        <v>0</v>
      </c>
      <c r="C51" s="5">
        <f t="shared" ref="C51:F51" si="6">C52</f>
        <v>1000</v>
      </c>
      <c r="D51" s="5">
        <f t="shared" si="6"/>
        <v>1000</v>
      </c>
      <c r="E51" s="5">
        <f t="shared" si="6"/>
        <v>0</v>
      </c>
      <c r="F51" s="5">
        <f t="shared" si="6"/>
        <v>0</v>
      </c>
      <c r="G51" s="473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/>
      <c r="S51"/>
      <c r="T51"/>
      <c r="U51"/>
      <c r="V51"/>
    </row>
    <row r="52" spans="1:22" s="4" customFormat="1" ht="14.25" customHeight="1" x14ac:dyDescent="0.25">
      <c r="A52" s="20" t="s">
        <v>1103</v>
      </c>
      <c r="B52" s="13">
        <v>0</v>
      </c>
      <c r="C52" s="13">
        <v>1000</v>
      </c>
      <c r="D52" s="13">
        <v>1000</v>
      </c>
      <c r="E52" s="5"/>
      <c r="F52" s="5"/>
      <c r="G52" s="648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/>
      <c r="S52"/>
      <c r="T52"/>
      <c r="U52"/>
      <c r="V52"/>
    </row>
    <row r="53" spans="1:22" s="4" customFormat="1" ht="14.25" customHeight="1" x14ac:dyDescent="0.25">
      <c r="A53" s="17" t="s">
        <v>23</v>
      </c>
      <c r="B53" s="5">
        <f>SUM(B54:B62)</f>
        <v>39013</v>
      </c>
      <c r="C53" s="5">
        <f>SUM(C54:C62)</f>
        <v>39013</v>
      </c>
      <c r="D53" s="5">
        <f>SUM(D54:D62)</f>
        <v>39183</v>
      </c>
      <c r="E53" s="5">
        <f>SUM(E54:E62)</f>
        <v>39013</v>
      </c>
      <c r="F53" s="5">
        <f>SUM(F54:F62)</f>
        <v>39013</v>
      </c>
      <c r="G53" s="300"/>
      <c r="H53" s="35"/>
      <c r="I53" s="35"/>
      <c r="J53" s="35"/>
      <c r="K53" s="35"/>
      <c r="L53" s="35"/>
      <c r="M53" s="35"/>
      <c r="N53" s="481"/>
      <c r="O53" s="35"/>
      <c r="P53" s="35"/>
      <c r="Q53" s="35"/>
      <c r="R53"/>
      <c r="S53"/>
      <c r="T53"/>
      <c r="U53"/>
      <c r="V53"/>
    </row>
    <row r="54" spans="1:22" s="4" customFormat="1" ht="13.5" customHeight="1" x14ac:dyDescent="0.25">
      <c r="A54" s="8" t="s">
        <v>523</v>
      </c>
      <c r="B54" s="13">
        <v>5000</v>
      </c>
      <c r="C54" s="13">
        <v>5000</v>
      </c>
      <c r="D54" s="13">
        <v>5000</v>
      </c>
      <c r="E54" s="13">
        <v>5000</v>
      </c>
      <c r="F54" s="13">
        <v>5000</v>
      </c>
      <c r="G54" s="476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/>
      <c r="S54"/>
      <c r="T54"/>
      <c r="U54"/>
      <c r="V54"/>
    </row>
    <row r="55" spans="1:22" s="4" customFormat="1" ht="13.5" hidden="1" customHeight="1" x14ac:dyDescent="0.25">
      <c r="A55" s="12" t="s">
        <v>544</v>
      </c>
      <c r="B55" s="30"/>
      <c r="C55" s="30"/>
      <c r="D55" s="30"/>
      <c r="E55" s="30"/>
      <c r="F55" s="30"/>
      <c r="G55" s="300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/>
      <c r="S55"/>
      <c r="T55"/>
      <c r="U55"/>
      <c r="V55"/>
    </row>
    <row r="56" spans="1:22" s="4" customFormat="1" ht="13.5" hidden="1" customHeight="1" x14ac:dyDescent="0.25">
      <c r="A56" s="12" t="s">
        <v>543</v>
      </c>
      <c r="B56" s="30"/>
      <c r="C56" s="30"/>
      <c r="D56" s="30"/>
      <c r="E56" s="30"/>
      <c r="F56" s="30"/>
      <c r="G56" s="300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/>
      <c r="S56"/>
      <c r="T56"/>
      <c r="U56"/>
      <c r="V56"/>
    </row>
    <row r="57" spans="1:22" ht="13.5" customHeight="1" x14ac:dyDescent="0.2">
      <c r="A57" s="161" t="s">
        <v>443</v>
      </c>
      <c r="B57" s="13">
        <f>'2.működés'!C44</f>
        <v>26763</v>
      </c>
      <c r="C57" s="13">
        <f>'2.működés'!D44</f>
        <v>26763</v>
      </c>
      <c r="D57" s="13">
        <f>'2.működés'!E44</f>
        <v>26763</v>
      </c>
      <c r="E57" s="374">
        <f>'2.működés'!F44</f>
        <v>26763</v>
      </c>
      <c r="F57" s="374">
        <f>'2.működés'!G44</f>
        <v>26763</v>
      </c>
      <c r="G57" s="300"/>
      <c r="H57" s="35"/>
      <c r="I57" s="35"/>
      <c r="J57" s="35"/>
      <c r="K57" s="35"/>
      <c r="L57" s="35"/>
      <c r="M57" s="35"/>
      <c r="N57" s="35"/>
      <c r="O57" s="35"/>
      <c r="P57" s="35"/>
      <c r="Q57" s="35"/>
    </row>
    <row r="58" spans="1:22" x14ac:dyDescent="0.2">
      <c r="A58" s="15" t="s">
        <v>845</v>
      </c>
      <c r="B58" s="448">
        <v>7000</v>
      </c>
      <c r="C58" s="448">
        <v>7000</v>
      </c>
      <c r="D58" s="448">
        <f>7000+170</f>
        <v>7170</v>
      </c>
      <c r="E58" s="448">
        <v>7000</v>
      </c>
      <c r="F58" s="448">
        <v>7000</v>
      </c>
      <c r="G58" s="300"/>
      <c r="H58" s="35"/>
      <c r="I58" s="35"/>
      <c r="J58" s="35"/>
      <c r="K58" s="35"/>
      <c r="L58" s="481"/>
      <c r="M58" s="35"/>
      <c r="N58" s="35"/>
      <c r="O58" s="35"/>
      <c r="P58" s="35"/>
      <c r="Q58" s="35"/>
    </row>
    <row r="59" spans="1:22" ht="12.75" customHeight="1" thickBot="1" x14ac:dyDescent="0.25">
      <c r="A59" s="8" t="s">
        <v>844</v>
      </c>
      <c r="B59" s="448">
        <v>250</v>
      </c>
      <c r="C59" s="448">
        <v>250</v>
      </c>
      <c r="D59" s="448">
        <v>250</v>
      </c>
      <c r="E59" s="448">
        <v>250</v>
      </c>
      <c r="F59" s="448">
        <v>250</v>
      </c>
      <c r="G59" s="300"/>
      <c r="H59" s="35"/>
      <c r="I59" s="35"/>
      <c r="J59" s="35"/>
      <c r="K59" s="35"/>
      <c r="L59" s="35"/>
      <c r="M59" s="35"/>
      <c r="N59" s="35"/>
      <c r="O59" s="35"/>
      <c r="P59" s="35"/>
      <c r="Q59" s="35"/>
    </row>
    <row r="60" spans="1:22" ht="12.75" hidden="1" customHeight="1" x14ac:dyDescent="0.2">
      <c r="A60" s="8"/>
      <c r="B60" s="13"/>
      <c r="C60" s="13"/>
      <c r="D60" s="13"/>
      <c r="E60" s="13"/>
      <c r="F60" s="13"/>
      <c r="G60" s="300"/>
      <c r="H60" s="35"/>
      <c r="I60" s="35"/>
      <c r="J60" s="35"/>
      <c r="K60" s="35"/>
      <c r="L60" s="35"/>
      <c r="M60" s="35"/>
      <c r="N60" s="35"/>
      <c r="O60" s="35"/>
      <c r="P60" s="35"/>
      <c r="Q60" s="35"/>
    </row>
    <row r="61" spans="1:22" ht="12.75" hidden="1" customHeight="1" x14ac:dyDescent="0.2">
      <c r="A61" s="8"/>
      <c r="B61" s="13"/>
      <c r="C61" s="13"/>
      <c r="D61" s="13"/>
      <c r="E61" s="13"/>
      <c r="F61" s="13"/>
      <c r="G61" s="300"/>
      <c r="H61" s="35"/>
      <c r="I61" s="35"/>
      <c r="J61" s="35"/>
      <c r="K61" s="35"/>
      <c r="L61" s="35"/>
      <c r="M61" s="35"/>
      <c r="N61" s="35"/>
      <c r="O61" s="35"/>
      <c r="P61" s="35"/>
      <c r="Q61" s="35"/>
    </row>
    <row r="62" spans="1:22" ht="12.75" hidden="1" customHeight="1" x14ac:dyDescent="0.2">
      <c r="A62" s="12"/>
      <c r="B62" s="30"/>
      <c r="C62" s="30"/>
      <c r="D62" s="30"/>
      <c r="E62" s="30"/>
      <c r="F62" s="30"/>
      <c r="G62" s="300"/>
      <c r="H62" s="35"/>
      <c r="I62" s="35"/>
      <c r="J62" s="35"/>
      <c r="K62" s="35"/>
      <c r="L62" s="35"/>
      <c r="M62" s="35"/>
      <c r="N62" s="35"/>
      <c r="O62" s="35"/>
      <c r="P62" s="35"/>
      <c r="Q62" s="35"/>
    </row>
    <row r="63" spans="1:22" ht="13.5" hidden="1" customHeight="1" thickBot="1" x14ac:dyDescent="0.25">
      <c r="A63" s="8"/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300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  <row r="64" spans="1:22" ht="20.25" customHeight="1" thickBot="1" x14ac:dyDescent="0.3">
      <c r="A64" s="248" t="s">
        <v>1049</v>
      </c>
      <c r="B64" s="246">
        <f>SUM(B9+B34+B35)</f>
        <v>588928</v>
      </c>
      <c r="C64" s="246">
        <f>SUM(C9+C34+C35)</f>
        <v>599399</v>
      </c>
      <c r="D64" s="246">
        <f>SUM(D9+D34+D35)</f>
        <v>635812</v>
      </c>
      <c r="E64" s="246" t="e">
        <f>SUM(E9+E35+#REF!)</f>
        <v>#REF!</v>
      </c>
      <c r="F64" s="247" t="e">
        <f>SUM(F9+F35+#REF!)</f>
        <v>#REF!</v>
      </c>
      <c r="G64" s="300">
        <f>C64-B64</f>
        <v>10471</v>
      </c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</row>
    <row r="65" spans="1:22" x14ac:dyDescent="0.2">
      <c r="A65" s="1"/>
      <c r="B65" s="35"/>
      <c r="C65" s="35"/>
      <c r="D65" s="35"/>
      <c r="E65" s="35"/>
      <c r="F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</row>
    <row r="66" spans="1:22" ht="15.75" x14ac:dyDescent="0.25">
      <c r="A66" s="158" t="s">
        <v>1035</v>
      </c>
      <c r="B66" s="115">
        <v>0</v>
      </c>
      <c r="C66" s="115">
        <v>0</v>
      </c>
      <c r="D66" s="115">
        <v>0</v>
      </c>
      <c r="E66" s="115">
        <v>0</v>
      </c>
      <c r="F66" s="115">
        <v>0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</row>
    <row r="67" spans="1:22" x14ac:dyDescent="0.2">
      <c r="A67" s="61" t="s">
        <v>90</v>
      </c>
      <c r="B67" s="60"/>
      <c r="C67" s="60"/>
      <c r="D67" s="60"/>
      <c r="E67" s="60"/>
      <c r="F67" s="60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</row>
    <row r="68" spans="1:22" x14ac:dyDescent="0.2">
      <c r="A68" s="61" t="s">
        <v>91</v>
      </c>
      <c r="B68" s="60"/>
      <c r="C68" s="60"/>
      <c r="D68" s="60"/>
      <c r="E68" s="60"/>
      <c r="F68" s="60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</row>
    <row r="69" spans="1:22" x14ac:dyDescent="0.2">
      <c r="A69" s="61" t="s">
        <v>1028</v>
      </c>
      <c r="B69" s="57">
        <f>B70+B71+B72+B73+B74</f>
        <v>0</v>
      </c>
      <c r="C69" s="57">
        <v>0</v>
      </c>
      <c r="D69" s="57">
        <v>0</v>
      </c>
      <c r="E69" s="57"/>
      <c r="F69" s="57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</row>
    <row r="70" spans="1:22" x14ac:dyDescent="0.2">
      <c r="A70" s="61" t="s">
        <v>1029</v>
      </c>
      <c r="B70" s="57"/>
      <c r="C70" s="60"/>
      <c r="D70" s="60"/>
      <c r="E70" s="60"/>
      <c r="F70" s="60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</row>
    <row r="71" spans="1:22" x14ac:dyDescent="0.2">
      <c r="A71" s="61" t="s">
        <v>1030</v>
      </c>
      <c r="B71" s="60"/>
      <c r="C71" s="57"/>
      <c r="D71" s="57"/>
      <c r="E71" s="57"/>
      <c r="F71" s="57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</row>
    <row r="72" spans="1:22" x14ac:dyDescent="0.2">
      <c r="A72" s="61" t="s">
        <v>1031</v>
      </c>
      <c r="B72" s="57"/>
      <c r="C72" s="60"/>
      <c r="D72" s="60"/>
      <c r="E72" s="60"/>
      <c r="F72" s="60"/>
    </row>
    <row r="73" spans="1:22" x14ac:dyDescent="0.2">
      <c r="A73" s="60" t="s">
        <v>1032</v>
      </c>
      <c r="B73" s="60"/>
      <c r="C73" s="60"/>
      <c r="D73" s="60"/>
      <c r="E73" s="60"/>
      <c r="F73" s="60"/>
    </row>
    <row r="74" spans="1:22" x14ac:dyDescent="0.2">
      <c r="A74" s="60" t="s">
        <v>1033</v>
      </c>
      <c r="B74" s="60"/>
      <c r="C74" s="60"/>
      <c r="D74" s="60"/>
      <c r="E74" s="74"/>
      <c r="F74" s="74"/>
    </row>
    <row r="75" spans="1:22" ht="25.5" x14ac:dyDescent="0.2">
      <c r="A75" s="634" t="s">
        <v>1034</v>
      </c>
      <c r="B75" s="60"/>
      <c r="C75" s="60"/>
      <c r="D75" s="60"/>
    </row>
    <row r="76" spans="1:22" x14ac:dyDescent="0.2">
      <c r="A76" s="60" t="s">
        <v>92</v>
      </c>
      <c r="B76" s="60"/>
      <c r="C76" s="60"/>
      <c r="D76" s="60"/>
    </row>
  </sheetData>
  <mergeCells count="8">
    <mergeCell ref="A4:D4"/>
    <mergeCell ref="A5:D5"/>
    <mergeCell ref="I34:I38"/>
    <mergeCell ref="B18:B27"/>
    <mergeCell ref="F18:F27"/>
    <mergeCell ref="C18:C27"/>
    <mergeCell ref="D18:D27"/>
    <mergeCell ref="E18:E27"/>
  </mergeCells>
  <phoneticPr fontId="14" type="noConversion"/>
  <pageMargins left="0.47244094488188981" right="0.19685039370078741" top="0.35433070866141736" bottom="0.39370078740157483" header="0.31496062992125984" footer="0.51181102362204722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51"/>
  <sheetViews>
    <sheetView zoomScale="80" zoomScaleNormal="80" workbookViewId="0">
      <selection activeCell="H24" sqref="H24"/>
    </sheetView>
  </sheetViews>
  <sheetFormatPr defaultRowHeight="12.75" x14ac:dyDescent="0.2"/>
  <cols>
    <col min="1" max="1" width="51" style="67" customWidth="1"/>
    <col min="2" max="2" width="13" style="465" customWidth="1"/>
    <col min="3" max="3" width="12" style="465" customWidth="1"/>
    <col min="4" max="4" width="10.7109375" style="465" customWidth="1"/>
    <col min="5" max="6" width="10.42578125" style="465" customWidth="1"/>
    <col min="7" max="7" width="11.42578125" style="466" customWidth="1"/>
    <col min="8" max="8" width="9.85546875" style="465" customWidth="1"/>
    <col min="9" max="9" width="12" style="465" customWidth="1"/>
    <col min="10" max="10" width="11.42578125" style="465" customWidth="1"/>
    <col min="11" max="11" width="11.140625" style="465" customWidth="1"/>
    <col min="12" max="13" width="12.28515625" style="465" customWidth="1"/>
    <col min="14" max="16384" width="9.140625" style="67"/>
  </cols>
  <sheetData>
    <row r="1" spans="1:25" x14ac:dyDescent="0.2">
      <c r="A1" s="673" t="s">
        <v>244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</row>
    <row r="2" spans="1:25" x14ac:dyDescent="0.2">
      <c r="A2" s="520"/>
      <c r="B2" s="520"/>
      <c r="C2" s="520"/>
      <c r="D2" s="520"/>
      <c r="E2" s="520"/>
      <c r="F2" s="520"/>
      <c r="G2" s="520"/>
      <c r="H2" s="520"/>
      <c r="I2" s="520"/>
      <c r="J2" s="520"/>
      <c r="K2" s="520"/>
      <c r="L2" s="520"/>
      <c r="M2" s="521" t="str">
        <f>'1.Bev-kiad.'!E2</f>
        <v>a 13/2024.(IX.30.) önkormányzati rendelethez</v>
      </c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</row>
    <row r="3" spans="1:25" x14ac:dyDescent="0.2">
      <c r="A3" s="464"/>
      <c r="B3" s="464"/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521" t="s">
        <v>1069</v>
      </c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</row>
    <row r="4" spans="1:25" x14ac:dyDescent="0.2">
      <c r="A4" s="464"/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176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</row>
    <row r="5" spans="1:25" ht="15" customHeight="1" x14ac:dyDescent="0.2">
      <c r="A5" s="674" t="s">
        <v>878</v>
      </c>
      <c r="B5" s="674"/>
      <c r="C5" s="674"/>
      <c r="D5" s="674"/>
      <c r="E5" s="674"/>
      <c r="F5" s="674"/>
      <c r="G5" s="674"/>
      <c r="H5" s="674"/>
      <c r="I5" s="674"/>
      <c r="J5" s="674"/>
      <c r="K5" s="674"/>
      <c r="L5" s="674"/>
      <c r="M5" s="674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</row>
    <row r="6" spans="1:25" ht="12.95" customHeight="1" thickBot="1" x14ac:dyDescent="0.25">
      <c r="M6" s="460" t="s">
        <v>0</v>
      </c>
    </row>
    <row r="7" spans="1:25" ht="16.5" customHeight="1" x14ac:dyDescent="0.2">
      <c r="A7" s="675"/>
      <c r="B7" s="677" t="s">
        <v>59</v>
      </c>
      <c r="C7" s="677"/>
      <c r="D7" s="677"/>
      <c r="E7" s="677"/>
      <c r="F7" s="677"/>
      <c r="G7" s="677"/>
      <c r="H7" s="677" t="s">
        <v>341</v>
      </c>
      <c r="I7" s="677"/>
      <c r="J7" s="677"/>
      <c r="K7" s="677"/>
      <c r="L7" s="677"/>
      <c r="M7" s="678" t="s">
        <v>60</v>
      </c>
    </row>
    <row r="8" spans="1:25" ht="27.75" customHeight="1" x14ac:dyDescent="0.2">
      <c r="A8" s="676"/>
      <c r="B8" s="672" t="s">
        <v>336</v>
      </c>
      <c r="C8" s="672" t="s">
        <v>381</v>
      </c>
      <c r="D8" s="672"/>
      <c r="E8" s="680" t="s">
        <v>429</v>
      </c>
      <c r="F8" s="672" t="s">
        <v>390</v>
      </c>
      <c r="G8" s="672" t="s">
        <v>6</v>
      </c>
      <c r="H8" s="672" t="s">
        <v>355</v>
      </c>
      <c r="I8" s="672" t="s">
        <v>337</v>
      </c>
      <c r="J8" s="672" t="s">
        <v>393</v>
      </c>
      <c r="K8" s="682" t="s">
        <v>433</v>
      </c>
      <c r="L8" s="672" t="s">
        <v>10</v>
      </c>
      <c r="M8" s="679"/>
    </row>
    <row r="9" spans="1:25" ht="79.5" customHeight="1" thickBot="1" x14ac:dyDescent="0.25">
      <c r="A9" s="676"/>
      <c r="B9" s="672"/>
      <c r="C9" s="65" t="s">
        <v>427</v>
      </c>
      <c r="D9" s="65" t="s">
        <v>428</v>
      </c>
      <c r="E9" s="681"/>
      <c r="F9" s="672"/>
      <c r="G9" s="672"/>
      <c r="H9" s="672"/>
      <c r="I9" s="672"/>
      <c r="J9" s="672"/>
      <c r="K9" s="683"/>
      <c r="L9" s="672"/>
      <c r="M9" s="679"/>
    </row>
    <row r="10" spans="1:25" ht="18" customHeight="1" thickBot="1" x14ac:dyDescent="0.25">
      <c r="A10" s="120" t="s">
        <v>879</v>
      </c>
      <c r="B10" s="128">
        <f t="shared" ref="B10:L10" si="0">B16+B23</f>
        <v>1263934</v>
      </c>
      <c r="C10" s="128">
        <f t="shared" si="0"/>
        <v>0</v>
      </c>
      <c r="D10" s="128">
        <f t="shared" si="0"/>
        <v>38000</v>
      </c>
      <c r="E10" s="128">
        <f t="shared" si="0"/>
        <v>0</v>
      </c>
      <c r="F10" s="128">
        <f t="shared" si="0"/>
        <v>692803</v>
      </c>
      <c r="G10" s="128">
        <f t="shared" si="0"/>
        <v>1994737</v>
      </c>
      <c r="H10" s="128">
        <f t="shared" si="0"/>
        <v>67335</v>
      </c>
      <c r="I10" s="128">
        <f t="shared" si="0"/>
        <v>83000</v>
      </c>
      <c r="J10" s="128">
        <f t="shared" si="0"/>
        <v>921073</v>
      </c>
      <c r="K10" s="128">
        <f t="shared" si="0"/>
        <v>350000</v>
      </c>
      <c r="L10" s="128">
        <f t="shared" si="0"/>
        <v>1421408</v>
      </c>
      <c r="M10" s="122">
        <f>SUM(L10,G10)</f>
        <v>3416145</v>
      </c>
    </row>
    <row r="11" spans="1:25" ht="17.25" customHeight="1" thickBot="1" x14ac:dyDescent="0.25">
      <c r="A11" s="120" t="s">
        <v>1067</v>
      </c>
      <c r="B11" s="128">
        <f t="shared" ref="B11:L11" si="1">B17+B24</f>
        <v>1270263</v>
      </c>
      <c r="C11" s="128">
        <f t="shared" si="1"/>
        <v>0</v>
      </c>
      <c r="D11" s="128">
        <f t="shared" si="1"/>
        <v>35893</v>
      </c>
      <c r="E11" s="128">
        <f t="shared" si="1"/>
        <v>0</v>
      </c>
      <c r="F11" s="128">
        <f t="shared" si="1"/>
        <v>691496</v>
      </c>
      <c r="G11" s="128">
        <f t="shared" si="1"/>
        <v>1997652</v>
      </c>
      <c r="H11" s="128">
        <f t="shared" si="1"/>
        <v>67486</v>
      </c>
      <c r="I11" s="128">
        <f t="shared" si="1"/>
        <v>119000</v>
      </c>
      <c r="J11" s="128">
        <f t="shared" si="1"/>
        <v>921073</v>
      </c>
      <c r="K11" s="128">
        <f t="shared" si="1"/>
        <v>350000</v>
      </c>
      <c r="L11" s="128">
        <f t="shared" si="1"/>
        <v>1457559</v>
      </c>
      <c r="M11" s="122">
        <f t="shared" ref="M11:M15" si="2">SUM(L11,G11)</f>
        <v>3455211</v>
      </c>
    </row>
    <row r="12" spans="1:25" ht="16.5" customHeight="1" thickBot="1" x14ac:dyDescent="0.25">
      <c r="A12" s="120" t="s">
        <v>1196</v>
      </c>
      <c r="B12" s="128">
        <f t="shared" ref="B12:L12" si="3">B18+B25</f>
        <v>1284998</v>
      </c>
      <c r="C12" s="128">
        <f t="shared" si="3"/>
        <v>0</v>
      </c>
      <c r="D12" s="128">
        <f t="shared" si="3"/>
        <v>35893</v>
      </c>
      <c r="E12" s="128">
        <f t="shared" si="3"/>
        <v>0</v>
      </c>
      <c r="F12" s="128">
        <f t="shared" si="3"/>
        <v>691496</v>
      </c>
      <c r="G12" s="128">
        <f t="shared" si="3"/>
        <v>2012387</v>
      </c>
      <c r="H12" s="128">
        <f t="shared" si="3"/>
        <v>67486</v>
      </c>
      <c r="I12" s="128">
        <f t="shared" si="3"/>
        <v>119000</v>
      </c>
      <c r="J12" s="128">
        <f t="shared" si="3"/>
        <v>921073</v>
      </c>
      <c r="K12" s="128">
        <f t="shared" si="3"/>
        <v>350000</v>
      </c>
      <c r="L12" s="128">
        <f t="shared" si="3"/>
        <v>1457559</v>
      </c>
      <c r="M12" s="122">
        <f t="shared" si="2"/>
        <v>3469946</v>
      </c>
    </row>
    <row r="13" spans="1:25" ht="13.5" hidden="1" thickBot="1" x14ac:dyDescent="0.25">
      <c r="A13" s="120" t="s">
        <v>578</v>
      </c>
      <c r="B13" s="128">
        <f t="shared" ref="B13:L13" si="4">B19+B26</f>
        <v>1172189</v>
      </c>
      <c r="C13" s="128">
        <f t="shared" si="4"/>
        <v>0</v>
      </c>
      <c r="D13" s="128">
        <f t="shared" si="4"/>
        <v>35000</v>
      </c>
      <c r="E13" s="128">
        <f t="shared" si="4"/>
        <v>0</v>
      </c>
      <c r="F13" s="128">
        <f t="shared" si="4"/>
        <v>651500</v>
      </c>
      <c r="G13" s="128">
        <f t="shared" si="4"/>
        <v>1858689</v>
      </c>
      <c r="H13" s="128">
        <f t="shared" si="4"/>
        <v>67335</v>
      </c>
      <c r="I13" s="128">
        <f t="shared" si="4"/>
        <v>83000</v>
      </c>
      <c r="J13" s="128">
        <f t="shared" si="4"/>
        <v>921073</v>
      </c>
      <c r="K13" s="128">
        <f t="shared" si="4"/>
        <v>350000</v>
      </c>
      <c r="L13" s="128">
        <f t="shared" si="4"/>
        <v>1421408</v>
      </c>
      <c r="M13" s="122">
        <f t="shared" si="2"/>
        <v>3280097</v>
      </c>
    </row>
    <row r="14" spans="1:25" ht="13.5" hidden="1" thickBot="1" x14ac:dyDescent="0.25">
      <c r="A14" s="120"/>
      <c r="B14" s="128">
        <f t="shared" ref="B14:L14" si="5">B20+B27</f>
        <v>0</v>
      </c>
      <c r="C14" s="128">
        <f t="shared" si="5"/>
        <v>0</v>
      </c>
      <c r="D14" s="128">
        <f t="shared" si="5"/>
        <v>0</v>
      </c>
      <c r="E14" s="128">
        <f t="shared" si="5"/>
        <v>0</v>
      </c>
      <c r="F14" s="128">
        <f t="shared" si="5"/>
        <v>0</v>
      </c>
      <c r="G14" s="128">
        <f t="shared" si="5"/>
        <v>0</v>
      </c>
      <c r="H14" s="128">
        <f t="shared" si="5"/>
        <v>0</v>
      </c>
      <c r="I14" s="128">
        <f t="shared" si="5"/>
        <v>0</v>
      </c>
      <c r="J14" s="128">
        <f t="shared" si="5"/>
        <v>0</v>
      </c>
      <c r="K14" s="128">
        <f t="shared" si="5"/>
        <v>0</v>
      </c>
      <c r="L14" s="128">
        <f t="shared" si="5"/>
        <v>0</v>
      </c>
      <c r="M14" s="122">
        <f t="shared" si="2"/>
        <v>0</v>
      </c>
    </row>
    <row r="15" spans="1:25" ht="13.5" hidden="1" thickBot="1" x14ac:dyDescent="0.25">
      <c r="A15" s="120" t="s">
        <v>584</v>
      </c>
      <c r="B15" s="128">
        <f t="shared" ref="B15:L15" si="6">B21+B28</f>
        <v>1172189</v>
      </c>
      <c r="C15" s="128">
        <f t="shared" si="6"/>
        <v>0</v>
      </c>
      <c r="D15" s="128">
        <f t="shared" si="6"/>
        <v>35000</v>
      </c>
      <c r="E15" s="128">
        <f t="shared" si="6"/>
        <v>0</v>
      </c>
      <c r="F15" s="128">
        <f t="shared" si="6"/>
        <v>651500</v>
      </c>
      <c r="G15" s="128">
        <f t="shared" si="6"/>
        <v>1858689</v>
      </c>
      <c r="H15" s="128">
        <f t="shared" si="6"/>
        <v>67335</v>
      </c>
      <c r="I15" s="128">
        <f t="shared" si="6"/>
        <v>83000</v>
      </c>
      <c r="J15" s="128">
        <f t="shared" si="6"/>
        <v>921073</v>
      </c>
      <c r="K15" s="128">
        <f t="shared" si="6"/>
        <v>350000</v>
      </c>
      <c r="L15" s="128">
        <f t="shared" si="6"/>
        <v>1421408</v>
      </c>
      <c r="M15" s="122">
        <f t="shared" si="2"/>
        <v>3280097</v>
      </c>
    </row>
    <row r="16" spans="1:25" ht="16.5" customHeight="1" x14ac:dyDescent="0.2">
      <c r="A16" s="286" t="s">
        <v>880</v>
      </c>
      <c r="B16" s="252">
        <f>SUM('7.finanszírozás.'!C10)-'2.működés'!C96</f>
        <v>1263934</v>
      </c>
      <c r="C16" s="467"/>
      <c r="D16" s="252">
        <f>'2.működés'!C96</f>
        <v>38000</v>
      </c>
      <c r="E16" s="252"/>
      <c r="F16" s="252">
        <f>SUM('2.működés'!C105)-F36</f>
        <v>692803</v>
      </c>
      <c r="G16" s="252">
        <f>SUM(B16:F16)</f>
        <v>1994737</v>
      </c>
      <c r="H16" s="252">
        <f>'3.felh'!C13</f>
        <v>67335</v>
      </c>
      <c r="I16" s="252">
        <f>'3.felh'!C31</f>
        <v>10300</v>
      </c>
      <c r="J16" s="252">
        <f>SUM('3.felh'!C37)</f>
        <v>921073</v>
      </c>
      <c r="K16" s="252"/>
      <c r="L16" s="252">
        <f>SUM(H16:K16)</f>
        <v>998708</v>
      </c>
      <c r="M16" s="468">
        <f>SUM(L16,G16)</f>
        <v>2993445</v>
      </c>
    </row>
    <row r="17" spans="1:13" ht="16.5" customHeight="1" x14ac:dyDescent="0.2">
      <c r="A17" s="286" t="s">
        <v>1063</v>
      </c>
      <c r="B17" s="252">
        <f>SUM('7.finanszírozás.'!C11-'2.működés'!D96)</f>
        <v>1270263</v>
      </c>
      <c r="C17" s="467"/>
      <c r="D17" s="252">
        <f>SUM('2.működés'!D96)</f>
        <v>35893</v>
      </c>
      <c r="E17" s="252">
        <f>'2.működés'!D110</f>
        <v>0</v>
      </c>
      <c r="F17" s="252">
        <f>SUM('2.működés'!D105-'7.finanszírozás.'!D35)</f>
        <v>691496</v>
      </c>
      <c r="G17" s="252">
        <f t="shared" ref="G17:G29" si="7">SUM(B17:F17)</f>
        <v>1997652</v>
      </c>
      <c r="H17" s="252"/>
      <c r="I17" s="252"/>
      <c r="J17" s="252">
        <f>'1.Bev-kiad.'!D58</f>
        <v>921073</v>
      </c>
      <c r="K17" s="252"/>
      <c r="L17" s="252">
        <f t="shared" ref="L17:L29" si="8">SUM(H17:K17)</f>
        <v>921073</v>
      </c>
      <c r="M17" s="468">
        <f t="shared" ref="M17:M29" si="9">SUM(L17,G17)</f>
        <v>2918725</v>
      </c>
    </row>
    <row r="18" spans="1:13" ht="16.5" customHeight="1" x14ac:dyDescent="0.2">
      <c r="A18" s="286" t="s">
        <v>1194</v>
      </c>
      <c r="B18" s="252">
        <f>SUM('7.finanszírozás.'!C12-'2.működés'!E96)</f>
        <v>1284998</v>
      </c>
      <c r="C18" s="467"/>
      <c r="D18" s="252">
        <f>SUM('2.működés'!E96)</f>
        <v>35893</v>
      </c>
      <c r="E18" s="252">
        <f>'2.működés'!D111</f>
        <v>0</v>
      </c>
      <c r="F18" s="252">
        <f>SUM('2.működés'!E105-'7.finanszírozás.'!D36)</f>
        <v>691496</v>
      </c>
      <c r="G18" s="252">
        <f t="shared" ref="G18" si="10">SUM(B18:F18)</f>
        <v>2012387</v>
      </c>
      <c r="H18" s="252"/>
      <c r="I18" s="252"/>
      <c r="J18" s="252">
        <f>'1.Bev-kiad.'!E58</f>
        <v>921073</v>
      </c>
      <c r="K18" s="252"/>
      <c r="L18" s="252">
        <f t="shared" ref="L18" si="11">SUM(H18:K18)</f>
        <v>921073</v>
      </c>
      <c r="M18" s="468">
        <f t="shared" ref="M18" si="12">SUM(L18,G18)</f>
        <v>2933460</v>
      </c>
    </row>
    <row r="19" spans="1:13" ht="16.5" hidden="1" customHeight="1" x14ac:dyDescent="0.2">
      <c r="A19" s="286" t="s">
        <v>579</v>
      </c>
      <c r="B19" s="252">
        <f>SUM('7.finanszírozás.'!C13-'2.működés'!F100)</f>
        <v>1172189</v>
      </c>
      <c r="C19" s="467"/>
      <c r="D19" s="252">
        <f>SUM('2.működés'!F100)</f>
        <v>35000</v>
      </c>
      <c r="E19" s="252">
        <f>'2.működés'!F110</f>
        <v>0</v>
      </c>
      <c r="F19" s="252">
        <f>SUM('2.működés'!F105-'7.finanszírozás.'!D37)</f>
        <v>651500</v>
      </c>
      <c r="G19" s="252">
        <f t="shared" si="7"/>
        <v>1858689</v>
      </c>
      <c r="H19" s="252"/>
      <c r="I19" s="252"/>
      <c r="J19" s="252">
        <f>'1.Bev-kiad.'!F58</f>
        <v>921073</v>
      </c>
      <c r="K19" s="252"/>
      <c r="L19" s="252">
        <f t="shared" si="8"/>
        <v>921073</v>
      </c>
      <c r="M19" s="468">
        <f t="shared" si="9"/>
        <v>2779762</v>
      </c>
    </row>
    <row r="20" spans="1:13" ht="16.5" hidden="1" customHeight="1" x14ac:dyDescent="0.2">
      <c r="A20" s="286"/>
      <c r="B20" s="252"/>
      <c r="C20" s="467"/>
      <c r="D20" s="252"/>
      <c r="E20" s="252"/>
      <c r="F20" s="252"/>
      <c r="G20" s="252">
        <f t="shared" si="7"/>
        <v>0</v>
      </c>
      <c r="H20" s="252"/>
      <c r="I20" s="252"/>
      <c r="J20" s="252"/>
      <c r="K20" s="252"/>
      <c r="L20" s="252">
        <f t="shared" si="8"/>
        <v>0</v>
      </c>
      <c r="M20" s="468">
        <f>SUM(L20,G20)</f>
        <v>0</v>
      </c>
    </row>
    <row r="21" spans="1:13" ht="16.5" hidden="1" customHeight="1" x14ac:dyDescent="0.2">
      <c r="A21" s="286" t="s">
        <v>583</v>
      </c>
      <c r="B21" s="252">
        <f>SUM('7.finanszírozás.'!C15-'2.működés'!G100)</f>
        <v>1172189</v>
      </c>
      <c r="C21" s="467"/>
      <c r="D21" s="252">
        <f>SUM('2.működés'!G100)</f>
        <v>35000</v>
      </c>
      <c r="E21" s="252">
        <f>'2.működés'!G110</f>
        <v>0</v>
      </c>
      <c r="F21" s="252">
        <f>SUM('2.működés'!G105-'7.finanszírozás.'!D39)</f>
        <v>651500</v>
      </c>
      <c r="G21" s="252">
        <f>SUM(B21:F21)</f>
        <v>1858689</v>
      </c>
      <c r="H21" s="252"/>
      <c r="I21" s="252"/>
      <c r="J21" s="252">
        <f>'1.Bev-kiad.'!G58</f>
        <v>921073</v>
      </c>
      <c r="K21" s="252"/>
      <c r="L21" s="252">
        <f>SUM(H21:K21)</f>
        <v>921073</v>
      </c>
      <c r="M21" s="468">
        <f>SUM(L21,G21)</f>
        <v>2779762</v>
      </c>
    </row>
    <row r="22" spans="1:13" ht="16.5" hidden="1" customHeight="1" x14ac:dyDescent="0.2">
      <c r="B22" s="252"/>
      <c r="C22" s="467"/>
      <c r="D22" s="252"/>
      <c r="E22" s="252"/>
      <c r="F22" s="252"/>
      <c r="G22" s="252">
        <f t="shared" si="7"/>
        <v>0</v>
      </c>
      <c r="H22" s="252"/>
      <c r="I22" s="252"/>
      <c r="J22" s="252"/>
      <c r="K22" s="252"/>
      <c r="L22" s="252">
        <f t="shared" si="8"/>
        <v>0</v>
      </c>
      <c r="M22" s="468">
        <f>SUM(L22,G22)</f>
        <v>0</v>
      </c>
    </row>
    <row r="23" spans="1:13" ht="16.5" customHeight="1" x14ac:dyDescent="0.2">
      <c r="A23" s="286" t="s">
        <v>1027</v>
      </c>
      <c r="B23" s="127"/>
      <c r="C23" s="127"/>
      <c r="D23" s="127"/>
      <c r="E23" s="127"/>
      <c r="F23" s="127"/>
      <c r="G23" s="81">
        <f>SUM(B23:F23)</f>
        <v>0</v>
      </c>
      <c r="H23" s="162">
        <v>0</v>
      </c>
      <c r="I23" s="162">
        <f>SUM('3.felh'!C25)</f>
        <v>72700</v>
      </c>
      <c r="J23" s="82"/>
      <c r="K23" s="81">
        <f>SUM('3.felh'!C40)</f>
        <v>350000</v>
      </c>
      <c r="L23" s="81">
        <f>SUM(H23:K23)</f>
        <v>422700</v>
      </c>
      <c r="M23" s="287">
        <f>SUM(L23,G23)</f>
        <v>422700</v>
      </c>
    </row>
    <row r="24" spans="1:13" ht="16.5" customHeight="1" x14ac:dyDescent="0.2">
      <c r="A24" s="286" t="s">
        <v>1065</v>
      </c>
      <c r="B24" s="127"/>
      <c r="C24" s="127"/>
      <c r="D24" s="127"/>
      <c r="E24" s="127"/>
      <c r="F24" s="127"/>
      <c r="G24" s="81">
        <f>SUM(B24:F24)</f>
        <v>0</v>
      </c>
      <c r="H24" s="162">
        <f>'3.felh'!D13</f>
        <v>67486</v>
      </c>
      <c r="I24" s="162">
        <f>'3.felh'!D25+'3.felh'!D31</f>
        <v>119000</v>
      </c>
      <c r="J24" s="82"/>
      <c r="K24" s="81">
        <f>SUM('3.felh'!D40)</f>
        <v>350000</v>
      </c>
      <c r="L24" s="81">
        <f t="shared" si="8"/>
        <v>536486</v>
      </c>
      <c r="M24" s="287">
        <f t="shared" si="9"/>
        <v>536486</v>
      </c>
    </row>
    <row r="25" spans="1:13" ht="16.5" customHeight="1" x14ac:dyDescent="0.2">
      <c r="A25" s="286" t="s">
        <v>1195</v>
      </c>
      <c r="B25" s="127"/>
      <c r="C25" s="127"/>
      <c r="D25" s="127"/>
      <c r="E25" s="127"/>
      <c r="F25" s="127"/>
      <c r="G25" s="81">
        <f>SUM(B25:F25)</f>
        <v>0</v>
      </c>
      <c r="H25" s="162">
        <f>'3.felh'!E13</f>
        <v>67486</v>
      </c>
      <c r="I25" s="162">
        <f>'3.felh'!E25+'3.felh'!E31</f>
        <v>119000</v>
      </c>
      <c r="J25" s="82"/>
      <c r="K25" s="81">
        <f>SUM('3.felh'!E40)</f>
        <v>350000</v>
      </c>
      <c r="L25" s="81">
        <f t="shared" ref="L25" si="13">SUM(H25:K25)</f>
        <v>536486</v>
      </c>
      <c r="M25" s="287">
        <f t="shared" ref="M25" si="14">SUM(L25,G25)</f>
        <v>536486</v>
      </c>
    </row>
    <row r="26" spans="1:13" ht="16.5" hidden="1" customHeight="1" x14ac:dyDescent="0.2">
      <c r="A26" s="286" t="s">
        <v>1064</v>
      </c>
      <c r="B26" s="127"/>
      <c r="C26" s="127"/>
      <c r="D26" s="127"/>
      <c r="E26" s="127"/>
      <c r="F26" s="127"/>
      <c r="G26" s="81">
        <f t="shared" si="7"/>
        <v>0</v>
      </c>
      <c r="H26" s="162">
        <f>'3.felh'!F13</f>
        <v>67335</v>
      </c>
      <c r="I26" s="162">
        <f>'3.felh'!F25+'3.felh'!F31</f>
        <v>83000</v>
      </c>
      <c r="J26" s="82"/>
      <c r="K26" s="81">
        <f>SUM('3.felh'!F40)</f>
        <v>350000</v>
      </c>
      <c r="L26" s="81">
        <f t="shared" si="8"/>
        <v>500335</v>
      </c>
      <c r="M26" s="287">
        <f t="shared" si="9"/>
        <v>500335</v>
      </c>
    </row>
    <row r="27" spans="1:13" ht="16.5" hidden="1" customHeight="1" x14ac:dyDescent="0.2">
      <c r="A27" s="286"/>
      <c r="B27" s="127"/>
      <c r="C27" s="127"/>
      <c r="D27" s="127"/>
      <c r="E27" s="127"/>
      <c r="F27" s="127"/>
      <c r="G27" s="81">
        <f t="shared" si="7"/>
        <v>0</v>
      </c>
      <c r="H27" s="162"/>
      <c r="I27" s="162"/>
      <c r="J27" s="82"/>
      <c r="K27" s="81"/>
      <c r="L27" s="81">
        <f t="shared" si="8"/>
        <v>0</v>
      </c>
      <c r="M27" s="287">
        <f>SUM(L27,G27)</f>
        <v>0</v>
      </c>
    </row>
    <row r="28" spans="1:13" ht="16.5" hidden="1" customHeight="1" x14ac:dyDescent="0.2">
      <c r="A28" s="286" t="str">
        <f>A21</f>
        <v xml:space="preserve">       Teljesítés 2021.12.31.</v>
      </c>
      <c r="B28" s="127"/>
      <c r="C28" s="127"/>
      <c r="D28" s="127"/>
      <c r="E28" s="127"/>
      <c r="F28" s="127"/>
      <c r="G28" s="81">
        <f t="shared" si="7"/>
        <v>0</v>
      </c>
      <c r="H28" s="162">
        <f>'3.felh'!G13</f>
        <v>67335</v>
      </c>
      <c r="I28" s="162">
        <f>'3.felh'!G25+'3.felh'!G31</f>
        <v>83000</v>
      </c>
      <c r="J28" s="82"/>
      <c r="K28" s="81">
        <f>SUM('3.felh'!G40)</f>
        <v>350000</v>
      </c>
      <c r="L28" s="81">
        <f t="shared" si="8"/>
        <v>500335</v>
      </c>
      <c r="M28" s="287">
        <f>SUM(L28,G27)</f>
        <v>500335</v>
      </c>
    </row>
    <row r="29" spans="1:13" ht="19.5" customHeight="1" thickBot="1" x14ac:dyDescent="0.25">
      <c r="A29" s="469" t="str">
        <f>A43</f>
        <v xml:space="preserve">       Államigazgatási feladatok (eredeti előirányzat 2024. év)</v>
      </c>
      <c r="B29" s="470"/>
      <c r="C29" s="470"/>
      <c r="D29" s="470"/>
      <c r="E29" s="470"/>
      <c r="F29" s="470"/>
      <c r="G29" s="81">
        <f t="shared" si="7"/>
        <v>0</v>
      </c>
      <c r="H29" s="470"/>
      <c r="I29" s="470"/>
      <c r="J29" s="470"/>
      <c r="K29" s="470"/>
      <c r="L29" s="81">
        <f t="shared" si="8"/>
        <v>0</v>
      </c>
      <c r="M29" s="287">
        <f t="shared" si="9"/>
        <v>0</v>
      </c>
    </row>
    <row r="30" spans="1:13" ht="15.75" customHeight="1" thickBot="1" x14ac:dyDescent="0.25">
      <c r="A30" s="120" t="s">
        <v>883</v>
      </c>
      <c r="B30" s="128">
        <f>SUM(B36)</f>
        <v>67535</v>
      </c>
      <c r="C30" s="128">
        <f>SUM(C36)</f>
        <v>152912</v>
      </c>
      <c r="D30" s="128">
        <f>SUM(D38)</f>
        <v>0</v>
      </c>
      <c r="E30" s="128">
        <f>SUM(E36)</f>
        <v>46990</v>
      </c>
      <c r="F30" s="128">
        <f>SUM(F36)</f>
        <v>15349</v>
      </c>
      <c r="G30" s="128">
        <f>SUM(G36)</f>
        <v>282786</v>
      </c>
      <c r="H30" s="128"/>
      <c r="I30" s="128"/>
      <c r="J30" s="128"/>
      <c r="K30" s="128"/>
      <c r="L30" s="128">
        <v>0</v>
      </c>
      <c r="M30" s="122">
        <f>SUM(G30)</f>
        <v>282786</v>
      </c>
    </row>
    <row r="31" spans="1:13" ht="15.75" customHeight="1" thickBot="1" x14ac:dyDescent="0.25">
      <c r="A31" s="120" t="s">
        <v>1068</v>
      </c>
      <c r="B31" s="128">
        <f t="shared" ref="B31:C31" si="15">SUM(B37)</f>
        <v>68983</v>
      </c>
      <c r="C31" s="128">
        <f t="shared" si="15"/>
        <v>152912</v>
      </c>
      <c r="D31" s="128">
        <f t="shared" ref="D31:D35" si="16">SUM(D39)</f>
        <v>0</v>
      </c>
      <c r="E31" s="128">
        <f t="shared" ref="E31:G31" si="17">SUM(E37)</f>
        <v>48990</v>
      </c>
      <c r="F31" s="128">
        <f t="shared" si="17"/>
        <v>15349</v>
      </c>
      <c r="G31" s="128">
        <f t="shared" si="17"/>
        <v>286234</v>
      </c>
      <c r="H31" s="128"/>
      <c r="I31" s="128"/>
      <c r="J31" s="128"/>
      <c r="K31" s="128"/>
      <c r="L31" s="128">
        <v>0</v>
      </c>
      <c r="M31" s="122">
        <f t="shared" ref="M31:M35" si="18">SUM(G31)</f>
        <v>286234</v>
      </c>
    </row>
    <row r="32" spans="1:13" ht="15.75" customHeight="1" thickBot="1" x14ac:dyDescent="0.25">
      <c r="A32" s="120" t="s">
        <v>1197</v>
      </c>
      <c r="B32" s="128">
        <f t="shared" ref="B32:C32" si="19">SUM(B38)</f>
        <v>70816</v>
      </c>
      <c r="C32" s="128">
        <f t="shared" si="19"/>
        <v>152912</v>
      </c>
      <c r="D32" s="128">
        <f t="shared" si="16"/>
        <v>0</v>
      </c>
      <c r="E32" s="128">
        <f t="shared" ref="E32:G32" si="20">SUM(E38)</f>
        <v>48990</v>
      </c>
      <c r="F32" s="128">
        <f t="shared" si="20"/>
        <v>15349</v>
      </c>
      <c r="G32" s="128">
        <f t="shared" si="20"/>
        <v>288067</v>
      </c>
      <c r="H32" s="128"/>
      <c r="I32" s="128"/>
      <c r="J32" s="128"/>
      <c r="K32" s="128"/>
      <c r="L32" s="128"/>
      <c r="M32" s="122">
        <f t="shared" si="18"/>
        <v>288067</v>
      </c>
    </row>
    <row r="33" spans="1:13" ht="15.75" hidden="1" customHeight="1" thickBot="1" x14ac:dyDescent="0.25">
      <c r="A33" s="120" t="s">
        <v>580</v>
      </c>
      <c r="B33" s="128">
        <f t="shared" ref="B33:C33" si="21">SUM(B39)</f>
        <v>167950</v>
      </c>
      <c r="C33" s="128">
        <f t="shared" si="21"/>
        <v>0</v>
      </c>
      <c r="D33" s="128">
        <f t="shared" si="16"/>
        <v>0</v>
      </c>
      <c r="E33" s="128">
        <f t="shared" ref="E33:G33" si="22">SUM(E39)</f>
        <v>0</v>
      </c>
      <c r="F33" s="128">
        <f t="shared" si="22"/>
        <v>55345</v>
      </c>
      <c r="G33" s="128">
        <f t="shared" si="22"/>
        <v>223295</v>
      </c>
      <c r="H33" s="128"/>
      <c r="I33" s="128"/>
      <c r="J33" s="128"/>
      <c r="K33" s="128"/>
      <c r="L33" s="128"/>
      <c r="M33" s="122">
        <f t="shared" si="18"/>
        <v>223295</v>
      </c>
    </row>
    <row r="34" spans="1:13" ht="15.75" hidden="1" customHeight="1" thickBot="1" x14ac:dyDescent="0.25">
      <c r="A34" s="120"/>
      <c r="B34" s="128">
        <f t="shared" ref="B34:C34" si="23">SUM(B40)</f>
        <v>0</v>
      </c>
      <c r="C34" s="128">
        <f t="shared" si="23"/>
        <v>0</v>
      </c>
      <c r="D34" s="128">
        <f t="shared" si="16"/>
        <v>0</v>
      </c>
      <c r="E34" s="128">
        <f t="shared" ref="E34:G34" si="24">SUM(E40)</f>
        <v>0</v>
      </c>
      <c r="F34" s="128">
        <f t="shared" si="24"/>
        <v>0</v>
      </c>
      <c r="G34" s="128">
        <f t="shared" si="24"/>
        <v>0</v>
      </c>
      <c r="H34" s="128"/>
      <c r="I34" s="128"/>
      <c r="J34" s="128"/>
      <c r="K34" s="128"/>
      <c r="L34" s="128"/>
      <c r="M34" s="122">
        <f t="shared" si="18"/>
        <v>0</v>
      </c>
    </row>
    <row r="35" spans="1:13" ht="15.75" hidden="1" customHeight="1" thickBot="1" x14ac:dyDescent="0.25">
      <c r="A35" s="120" t="s">
        <v>585</v>
      </c>
      <c r="B35" s="128">
        <f t="shared" ref="B35:C35" si="25">SUM(B41)</f>
        <v>167950</v>
      </c>
      <c r="C35" s="128">
        <f t="shared" si="25"/>
        <v>0</v>
      </c>
      <c r="D35" s="128">
        <f t="shared" si="16"/>
        <v>0</v>
      </c>
      <c r="E35" s="128">
        <f t="shared" ref="E35:G35" si="26">SUM(E41)</f>
        <v>0</v>
      </c>
      <c r="F35" s="128">
        <f t="shared" si="26"/>
        <v>55345</v>
      </c>
      <c r="G35" s="128">
        <f t="shared" si="26"/>
        <v>223295</v>
      </c>
      <c r="H35" s="128"/>
      <c r="I35" s="128"/>
      <c r="J35" s="128"/>
      <c r="K35" s="128"/>
      <c r="L35" s="128"/>
      <c r="M35" s="122">
        <f t="shared" si="18"/>
        <v>223295</v>
      </c>
    </row>
    <row r="36" spans="1:13" ht="18.75" customHeight="1" x14ac:dyDescent="0.2">
      <c r="A36" s="471" t="str">
        <f>A16</f>
        <v xml:space="preserve">       Kötelező (eredeti előirányzat 2024. év)</v>
      </c>
      <c r="B36" s="81">
        <f>SUM('7.finanszírozás.'!D10)</f>
        <v>67535</v>
      </c>
      <c r="C36" s="81">
        <f>SUM('7.finanszírozás.'!D42)</f>
        <v>152912</v>
      </c>
      <c r="D36" s="81"/>
      <c r="E36" s="81">
        <f>SUM('7.finanszírozás.'!D50)</f>
        <v>46990</v>
      </c>
      <c r="F36" s="81">
        <f>SUM('7.finanszírozás.'!D34)</f>
        <v>15349</v>
      </c>
      <c r="G36" s="81">
        <f t="shared" ref="G36:G43" si="27">SUM(B36:F36)</f>
        <v>282786</v>
      </c>
      <c r="H36" s="126"/>
      <c r="I36" s="126"/>
      <c r="J36" s="126"/>
      <c r="K36" s="126"/>
      <c r="L36" s="126">
        <v>0</v>
      </c>
      <c r="M36" s="287">
        <f t="shared" ref="M36:M43" si="28">SUM(G36)</f>
        <v>282786</v>
      </c>
    </row>
    <row r="37" spans="1:13" ht="15.75" customHeight="1" x14ac:dyDescent="0.2">
      <c r="A37" s="471" t="str">
        <f>A17</f>
        <v xml:space="preserve">       Kötelező (módosított előirányzat 2024.06. havi)</v>
      </c>
      <c r="B37" s="81">
        <f>SUM('7.finanszírozás.'!D11)</f>
        <v>68983</v>
      </c>
      <c r="C37" s="81">
        <f>SUM('7.finanszírozás.'!D43)</f>
        <v>152912</v>
      </c>
      <c r="D37" s="81"/>
      <c r="E37" s="81">
        <f>SUM('7.finanszírozás.'!D51)</f>
        <v>48990</v>
      </c>
      <c r="F37" s="81">
        <f>SUM('7.finanszírozás.'!D35)</f>
        <v>15349</v>
      </c>
      <c r="G37" s="81">
        <f t="shared" si="27"/>
        <v>286234</v>
      </c>
      <c r="H37" s="126"/>
      <c r="I37" s="126"/>
      <c r="J37" s="126"/>
      <c r="K37" s="126"/>
      <c r="L37" s="126">
        <v>0</v>
      </c>
      <c r="M37" s="287">
        <f t="shared" si="28"/>
        <v>286234</v>
      </c>
    </row>
    <row r="38" spans="1:13" ht="15.75" customHeight="1" x14ac:dyDescent="0.2">
      <c r="A38" s="471" t="str">
        <f>A18</f>
        <v xml:space="preserve">       Kötelező (módosított előirányzat 2024.09.havi)</v>
      </c>
      <c r="B38" s="81">
        <f>SUM('7.finanszírozás.'!D12)</f>
        <v>70816</v>
      </c>
      <c r="C38" s="81">
        <f>SUM('7.finanszírozás.'!D44)</f>
        <v>152912</v>
      </c>
      <c r="D38" s="81"/>
      <c r="E38" s="81">
        <f>SUM('7.finanszírozás.'!D52)</f>
        <v>48990</v>
      </c>
      <c r="F38" s="81">
        <f>SUM('7.finanszírozás.'!D36)</f>
        <v>15349</v>
      </c>
      <c r="G38" s="81">
        <f t="shared" si="27"/>
        <v>288067</v>
      </c>
      <c r="H38" s="126"/>
      <c r="I38" s="126"/>
      <c r="J38" s="126"/>
      <c r="K38" s="126"/>
      <c r="L38" s="126"/>
      <c r="M38" s="287">
        <f t="shared" si="28"/>
        <v>288067</v>
      </c>
    </row>
    <row r="39" spans="1:13" ht="15.75" hidden="1" customHeight="1" x14ac:dyDescent="0.2">
      <c r="A39" s="471" t="str">
        <f>A19</f>
        <v xml:space="preserve">       Kötelező (módosított előirányzat 2021. .havi)</v>
      </c>
      <c r="B39" s="81">
        <f>SUM('7.finanszírozás.'!D13)</f>
        <v>167950</v>
      </c>
      <c r="C39" s="81">
        <f>SUM('7.finanszírozás.'!D45)</f>
        <v>0</v>
      </c>
      <c r="D39" s="81"/>
      <c r="E39" s="81">
        <f>SUM('7.finanszírozás.'!D53)</f>
        <v>0</v>
      </c>
      <c r="F39" s="81">
        <f>SUM('7.finanszírozás.'!D37)</f>
        <v>55345</v>
      </c>
      <c r="G39" s="81">
        <f t="shared" si="27"/>
        <v>223295</v>
      </c>
      <c r="H39" s="126"/>
      <c r="I39" s="126"/>
      <c r="J39" s="126"/>
      <c r="K39" s="126"/>
      <c r="L39" s="126"/>
      <c r="M39" s="287">
        <f t="shared" si="28"/>
        <v>223295</v>
      </c>
    </row>
    <row r="40" spans="1:13" ht="15.75" hidden="1" customHeight="1" x14ac:dyDescent="0.2">
      <c r="A40" s="471"/>
      <c r="B40" s="81">
        <f>SUM('7.finanszírozás.'!D14)</f>
        <v>0</v>
      </c>
      <c r="C40" s="81">
        <f>SUM('7.finanszírozás.'!D46)</f>
        <v>0</v>
      </c>
      <c r="D40" s="81"/>
      <c r="E40" s="81">
        <f>SUM('7.finanszírozás.'!D54)</f>
        <v>0</v>
      </c>
      <c r="F40" s="81">
        <f>SUM('7.finanszírozás.'!D38)</f>
        <v>0</v>
      </c>
      <c r="G40" s="81">
        <f t="shared" si="27"/>
        <v>0</v>
      </c>
      <c r="H40" s="126"/>
      <c r="I40" s="126"/>
      <c r="J40" s="126"/>
      <c r="K40" s="126"/>
      <c r="L40" s="126"/>
      <c r="M40" s="287">
        <f t="shared" si="28"/>
        <v>0</v>
      </c>
    </row>
    <row r="41" spans="1:13" ht="15.75" hidden="1" customHeight="1" x14ac:dyDescent="0.2">
      <c r="A41" s="471" t="str">
        <f>A21</f>
        <v xml:space="preserve">       Teljesítés 2021.12.31.</v>
      </c>
      <c r="B41" s="81">
        <f>SUM('7.finanszírozás.'!D15)</f>
        <v>167950</v>
      </c>
      <c r="C41" s="81">
        <f>SUM('7.finanszírozás.'!D47)</f>
        <v>0</v>
      </c>
      <c r="D41" s="81"/>
      <c r="E41" s="81">
        <f>SUM('7.finanszírozás.'!D55)</f>
        <v>0</v>
      </c>
      <c r="F41" s="81">
        <f>SUM('7.finanszírozás.'!D39)</f>
        <v>55345</v>
      </c>
      <c r="G41" s="81">
        <f t="shared" si="27"/>
        <v>223295</v>
      </c>
      <c r="H41" s="126"/>
      <c r="I41" s="126"/>
      <c r="J41" s="126"/>
      <c r="K41" s="126"/>
      <c r="L41" s="126"/>
      <c r="M41" s="287">
        <f t="shared" si="28"/>
        <v>223295</v>
      </c>
    </row>
    <row r="42" spans="1:13" ht="16.5" customHeight="1" x14ac:dyDescent="0.2">
      <c r="A42" s="286" t="str">
        <f>A23</f>
        <v xml:space="preserve">       Önként vállalt (eredeti előirányzat 2024. év)</v>
      </c>
      <c r="B42" s="81"/>
      <c r="C42" s="81"/>
      <c r="D42" s="81"/>
      <c r="E42" s="81"/>
      <c r="F42" s="81"/>
      <c r="G42" s="81">
        <f t="shared" si="27"/>
        <v>0</v>
      </c>
      <c r="H42" s="81"/>
      <c r="I42" s="81"/>
      <c r="J42" s="81"/>
      <c r="K42" s="81"/>
      <c r="L42" s="81">
        <v>0</v>
      </c>
      <c r="M42" s="287">
        <f t="shared" si="28"/>
        <v>0</v>
      </c>
    </row>
    <row r="43" spans="1:13" ht="19.5" customHeight="1" thickBot="1" x14ac:dyDescent="0.25">
      <c r="A43" s="469" t="s">
        <v>881</v>
      </c>
      <c r="B43" s="81"/>
      <c r="C43" s="81"/>
      <c r="D43" s="81"/>
      <c r="E43" s="81"/>
      <c r="F43" s="81"/>
      <c r="G43" s="81">
        <f t="shared" si="27"/>
        <v>0</v>
      </c>
      <c r="H43" s="81"/>
      <c r="I43" s="81"/>
      <c r="J43" s="81"/>
      <c r="K43" s="81"/>
      <c r="L43" s="81">
        <v>0</v>
      </c>
      <c r="M43" s="287">
        <f t="shared" si="28"/>
        <v>0</v>
      </c>
    </row>
    <row r="44" spans="1:13" ht="16.5" thickBot="1" x14ac:dyDescent="0.25">
      <c r="A44" s="472" t="s">
        <v>882</v>
      </c>
      <c r="B44" s="130">
        <f t="shared" ref="B44:L44" si="29">SUM(B10+B30)</f>
        <v>1331469</v>
      </c>
      <c r="C44" s="130">
        <f t="shared" si="29"/>
        <v>152912</v>
      </c>
      <c r="D44" s="130">
        <f t="shared" si="29"/>
        <v>38000</v>
      </c>
      <c r="E44" s="130">
        <f t="shared" si="29"/>
        <v>46990</v>
      </c>
      <c r="F44" s="130">
        <f t="shared" si="29"/>
        <v>708152</v>
      </c>
      <c r="G44" s="130">
        <f t="shared" si="29"/>
        <v>2277523</v>
      </c>
      <c r="H44" s="130">
        <f t="shared" si="29"/>
        <v>67335</v>
      </c>
      <c r="I44" s="130">
        <f t="shared" si="29"/>
        <v>83000</v>
      </c>
      <c r="J44" s="130">
        <f t="shared" si="29"/>
        <v>921073</v>
      </c>
      <c r="K44" s="130">
        <f t="shared" si="29"/>
        <v>350000</v>
      </c>
      <c r="L44" s="130">
        <f t="shared" si="29"/>
        <v>1421408</v>
      </c>
      <c r="M44" s="131">
        <f>SUM(L44,G44)</f>
        <v>3698931</v>
      </c>
    </row>
    <row r="45" spans="1:13" ht="16.5" thickBot="1" x14ac:dyDescent="0.25">
      <c r="A45" s="472" t="s">
        <v>1066</v>
      </c>
      <c r="B45" s="130">
        <f t="shared" ref="B45:L45" si="30">SUM(B11+B31)</f>
        <v>1339246</v>
      </c>
      <c r="C45" s="130">
        <f t="shared" si="30"/>
        <v>152912</v>
      </c>
      <c r="D45" s="130">
        <f t="shared" si="30"/>
        <v>35893</v>
      </c>
      <c r="E45" s="130">
        <f t="shared" si="30"/>
        <v>48990</v>
      </c>
      <c r="F45" s="130">
        <f t="shared" si="30"/>
        <v>706845</v>
      </c>
      <c r="G45" s="130">
        <f t="shared" si="30"/>
        <v>2283886</v>
      </c>
      <c r="H45" s="130">
        <f t="shared" si="30"/>
        <v>67486</v>
      </c>
      <c r="I45" s="130">
        <f t="shared" si="30"/>
        <v>119000</v>
      </c>
      <c r="J45" s="130">
        <f t="shared" si="30"/>
        <v>921073</v>
      </c>
      <c r="K45" s="130">
        <f t="shared" si="30"/>
        <v>350000</v>
      </c>
      <c r="L45" s="130">
        <f t="shared" si="30"/>
        <v>1457559</v>
      </c>
      <c r="M45" s="131">
        <f t="shared" ref="M45:M49" si="31">SUM(L45,G45)</f>
        <v>3741445</v>
      </c>
    </row>
    <row r="46" spans="1:13" ht="16.5" thickBot="1" x14ac:dyDescent="0.25">
      <c r="A46" s="472" t="s">
        <v>1198</v>
      </c>
      <c r="B46" s="130">
        <f t="shared" ref="B46:L46" si="32">SUM(B12+B32)</f>
        <v>1355814</v>
      </c>
      <c r="C46" s="130">
        <f t="shared" si="32"/>
        <v>152912</v>
      </c>
      <c r="D46" s="130">
        <f t="shared" si="32"/>
        <v>35893</v>
      </c>
      <c r="E46" s="130">
        <f t="shared" si="32"/>
        <v>48990</v>
      </c>
      <c r="F46" s="130">
        <f t="shared" si="32"/>
        <v>706845</v>
      </c>
      <c r="G46" s="130">
        <f t="shared" si="32"/>
        <v>2300454</v>
      </c>
      <c r="H46" s="130">
        <f t="shared" si="32"/>
        <v>67486</v>
      </c>
      <c r="I46" s="130">
        <f t="shared" si="32"/>
        <v>119000</v>
      </c>
      <c r="J46" s="130">
        <f t="shared" si="32"/>
        <v>921073</v>
      </c>
      <c r="K46" s="130">
        <f t="shared" si="32"/>
        <v>350000</v>
      </c>
      <c r="L46" s="130">
        <f t="shared" si="32"/>
        <v>1457559</v>
      </c>
      <c r="M46" s="131">
        <f t="shared" si="31"/>
        <v>3758013</v>
      </c>
    </row>
    <row r="47" spans="1:13" ht="16.5" hidden="1" thickBot="1" x14ac:dyDescent="0.25">
      <c r="A47" s="472" t="s">
        <v>581</v>
      </c>
      <c r="B47" s="130">
        <f t="shared" ref="B47:L47" si="33">SUM(B13+B33)</f>
        <v>1340139</v>
      </c>
      <c r="C47" s="130">
        <f t="shared" si="33"/>
        <v>0</v>
      </c>
      <c r="D47" s="130">
        <f t="shared" si="33"/>
        <v>35000</v>
      </c>
      <c r="E47" s="130">
        <f t="shared" si="33"/>
        <v>0</v>
      </c>
      <c r="F47" s="130">
        <f t="shared" si="33"/>
        <v>706845</v>
      </c>
      <c r="G47" s="130">
        <f t="shared" si="33"/>
        <v>2081984</v>
      </c>
      <c r="H47" s="130">
        <f t="shared" si="33"/>
        <v>67335</v>
      </c>
      <c r="I47" s="130">
        <f t="shared" si="33"/>
        <v>83000</v>
      </c>
      <c r="J47" s="130">
        <f t="shared" si="33"/>
        <v>921073</v>
      </c>
      <c r="K47" s="130">
        <f t="shared" si="33"/>
        <v>350000</v>
      </c>
      <c r="L47" s="130">
        <f t="shared" si="33"/>
        <v>1421408</v>
      </c>
      <c r="M47" s="131">
        <f t="shared" si="31"/>
        <v>3503392</v>
      </c>
    </row>
    <row r="48" spans="1:13" ht="16.5" hidden="1" thickBot="1" x14ac:dyDescent="0.25">
      <c r="A48" s="472"/>
      <c r="B48" s="130">
        <f t="shared" ref="B48:L48" si="34">SUM(B14+B34)</f>
        <v>0</v>
      </c>
      <c r="C48" s="130">
        <f t="shared" si="34"/>
        <v>0</v>
      </c>
      <c r="D48" s="130">
        <f t="shared" si="34"/>
        <v>0</v>
      </c>
      <c r="E48" s="130">
        <f t="shared" si="34"/>
        <v>0</v>
      </c>
      <c r="F48" s="130">
        <f t="shared" si="34"/>
        <v>0</v>
      </c>
      <c r="G48" s="130">
        <f t="shared" si="34"/>
        <v>0</v>
      </c>
      <c r="H48" s="130">
        <f t="shared" si="34"/>
        <v>0</v>
      </c>
      <c r="I48" s="130">
        <f t="shared" si="34"/>
        <v>0</v>
      </c>
      <c r="J48" s="130">
        <f t="shared" si="34"/>
        <v>0</v>
      </c>
      <c r="K48" s="130">
        <f t="shared" si="34"/>
        <v>0</v>
      </c>
      <c r="L48" s="130">
        <f t="shared" si="34"/>
        <v>0</v>
      </c>
      <c r="M48" s="131">
        <f t="shared" si="31"/>
        <v>0</v>
      </c>
    </row>
    <row r="49" spans="1:13" ht="16.5" hidden="1" thickBot="1" x14ac:dyDescent="0.25">
      <c r="A49" s="472" t="s">
        <v>582</v>
      </c>
      <c r="B49" s="130">
        <f t="shared" ref="B49:L49" si="35">SUM(B15+B35)</f>
        <v>1340139</v>
      </c>
      <c r="C49" s="130">
        <f t="shared" si="35"/>
        <v>0</v>
      </c>
      <c r="D49" s="130">
        <f t="shared" si="35"/>
        <v>35000</v>
      </c>
      <c r="E49" s="130">
        <f t="shared" si="35"/>
        <v>0</v>
      </c>
      <c r="F49" s="130">
        <f t="shared" si="35"/>
        <v>706845</v>
      </c>
      <c r="G49" s="130">
        <f t="shared" si="35"/>
        <v>2081984</v>
      </c>
      <c r="H49" s="130">
        <f t="shared" si="35"/>
        <v>67335</v>
      </c>
      <c r="I49" s="130">
        <f t="shared" si="35"/>
        <v>83000</v>
      </c>
      <c r="J49" s="130">
        <f t="shared" si="35"/>
        <v>921073</v>
      </c>
      <c r="K49" s="130">
        <f t="shared" si="35"/>
        <v>350000</v>
      </c>
      <c r="L49" s="130">
        <f t="shared" si="35"/>
        <v>1421408</v>
      </c>
      <c r="M49" s="131">
        <f t="shared" si="31"/>
        <v>3503392</v>
      </c>
    </row>
    <row r="50" spans="1:13" ht="12.95" customHeight="1" x14ac:dyDescent="0.2">
      <c r="A50" s="67" t="s">
        <v>380</v>
      </c>
      <c r="M50" s="465">
        <f>SUM('7.finanszírozás.'!F74)</f>
        <v>-201902</v>
      </c>
    </row>
    <row r="51" spans="1:13" ht="12.95" customHeight="1" x14ac:dyDescent="0.2">
      <c r="A51" s="67" t="s">
        <v>384</v>
      </c>
      <c r="M51" s="466">
        <f>SUM(M46+M50)</f>
        <v>3556111</v>
      </c>
    </row>
  </sheetData>
  <mergeCells count="16">
    <mergeCell ref="L8:L9"/>
    <mergeCell ref="A1:M1"/>
    <mergeCell ref="A5:M5"/>
    <mergeCell ref="A7:A9"/>
    <mergeCell ref="B7:G7"/>
    <mergeCell ref="H7:L7"/>
    <mergeCell ref="M7:M9"/>
    <mergeCell ref="B8:B9"/>
    <mergeCell ref="C8:D8"/>
    <mergeCell ref="E8:E9"/>
    <mergeCell ref="F8:F9"/>
    <mergeCell ref="G8:G9"/>
    <mergeCell ref="H8:H9"/>
    <mergeCell ref="I8:I9"/>
    <mergeCell ref="J8:J9"/>
    <mergeCell ref="K8:K9"/>
  </mergeCells>
  <pageMargins left="0.31496062992125984" right="0.31496062992125984" top="0.74803149606299213" bottom="0.74803149606299213" header="0.31496062992125984" footer="0.31496062992125984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0"/>
  <sheetViews>
    <sheetView topLeftCell="A5" zoomScale="80" zoomScaleNormal="80" workbookViewId="0">
      <selection activeCell="K17" sqref="K17"/>
    </sheetView>
  </sheetViews>
  <sheetFormatPr defaultRowHeight="12.75" x14ac:dyDescent="0.2"/>
  <cols>
    <col min="1" max="1" width="47.140625" style="69" customWidth="1"/>
    <col min="2" max="2" width="10" style="64" bestFit="1" customWidth="1"/>
    <col min="3" max="3" width="9.42578125" style="64" bestFit="1" customWidth="1"/>
    <col min="4" max="4" width="10" style="64" bestFit="1" customWidth="1"/>
    <col min="5" max="6" width="9.42578125" style="64" bestFit="1" customWidth="1"/>
    <col min="7" max="7" width="11.28515625" style="64" customWidth="1"/>
    <col min="8" max="8" width="12" style="64" customWidth="1"/>
    <col min="9" max="9" width="10.28515625" style="64" customWidth="1"/>
    <col min="10" max="10" width="11.42578125" style="64" customWidth="1"/>
    <col min="11" max="11" width="10" style="64" customWidth="1"/>
    <col min="12" max="12" width="11.42578125" style="64" customWidth="1"/>
    <col min="13" max="13" width="9.42578125" style="64" bestFit="1" customWidth="1"/>
    <col min="14" max="14" width="11.5703125" style="64" customWidth="1"/>
    <col min="15" max="15" width="12.140625" style="64" customWidth="1"/>
    <col min="16" max="16" width="7" style="63" bestFit="1" customWidth="1"/>
    <col min="17" max="16384" width="9.140625" style="63"/>
  </cols>
  <sheetData>
    <row r="1" spans="1:19" ht="15" customHeight="1" x14ac:dyDescent="0.2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8" t="s">
        <v>245</v>
      </c>
      <c r="P1" s="62"/>
      <c r="Q1" s="62"/>
      <c r="R1" s="62"/>
      <c r="S1" s="62"/>
    </row>
    <row r="2" spans="1:19" x14ac:dyDescent="0.2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461" t="str">
        <f>'1.Bev-kiad.'!E2</f>
        <v>a 13/2024.(IX.30.) önkormányzati rendelethez</v>
      </c>
      <c r="P2" s="62"/>
      <c r="Q2" s="62"/>
      <c r="R2" s="62"/>
      <c r="S2" s="62"/>
    </row>
    <row r="3" spans="1:19" ht="15" customHeight="1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461" t="s">
        <v>1070</v>
      </c>
      <c r="P3" s="62"/>
      <c r="Q3" s="62"/>
      <c r="R3" s="62"/>
      <c r="S3" s="62"/>
    </row>
    <row r="4" spans="1:19" ht="38.25" customHeight="1" x14ac:dyDescent="0.2">
      <c r="A4" s="690" t="s">
        <v>884</v>
      </c>
      <c r="B4" s="691"/>
      <c r="C4" s="691"/>
      <c r="D4" s="691"/>
      <c r="E4" s="691"/>
      <c r="F4" s="691"/>
      <c r="G4" s="691"/>
      <c r="H4" s="691"/>
      <c r="I4" s="691"/>
      <c r="J4" s="691"/>
      <c r="K4" s="691"/>
      <c r="L4" s="691"/>
      <c r="M4" s="691"/>
      <c r="N4" s="691"/>
      <c r="O4" s="691"/>
      <c r="P4" s="62"/>
      <c r="Q4" s="62"/>
      <c r="R4" s="62"/>
      <c r="S4" s="62"/>
    </row>
    <row r="5" spans="1:19" ht="13.5" thickBot="1" x14ac:dyDescent="0.25">
      <c r="A5" s="209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90" t="s">
        <v>436</v>
      </c>
    </row>
    <row r="6" spans="1:19" s="67" customFormat="1" ht="14.25" customHeight="1" x14ac:dyDescent="0.2">
      <c r="A6" s="675"/>
      <c r="B6" s="693" t="s">
        <v>32</v>
      </c>
      <c r="C6" s="694"/>
      <c r="D6" s="694"/>
      <c r="E6" s="694"/>
      <c r="F6" s="694"/>
      <c r="G6" s="694"/>
      <c r="H6" s="694"/>
      <c r="I6" s="695"/>
      <c r="J6" s="677" t="s">
        <v>33</v>
      </c>
      <c r="K6" s="677" t="s">
        <v>34</v>
      </c>
      <c r="L6" s="677"/>
      <c r="M6" s="677"/>
      <c r="N6" s="677"/>
      <c r="O6" s="678" t="s">
        <v>7</v>
      </c>
      <c r="P6" s="684"/>
    </row>
    <row r="7" spans="1:19" s="67" customFormat="1" ht="63.75" customHeight="1" x14ac:dyDescent="0.2">
      <c r="A7" s="676"/>
      <c r="B7" s="682" t="s">
        <v>35</v>
      </c>
      <c r="C7" s="682" t="s">
        <v>94</v>
      </c>
      <c r="D7" s="682" t="s">
        <v>36</v>
      </c>
      <c r="E7" s="682" t="s">
        <v>405</v>
      </c>
      <c r="F7" s="682" t="s">
        <v>37</v>
      </c>
      <c r="G7" s="688" t="s">
        <v>54</v>
      </c>
      <c r="H7" s="689"/>
      <c r="I7" s="682" t="s">
        <v>338</v>
      </c>
      <c r="J7" s="672"/>
      <c r="K7" s="682" t="s">
        <v>38</v>
      </c>
      <c r="L7" s="682" t="s">
        <v>39</v>
      </c>
      <c r="M7" s="682" t="s">
        <v>40</v>
      </c>
      <c r="N7" s="672" t="s">
        <v>11</v>
      </c>
      <c r="O7" s="679"/>
      <c r="P7" s="684"/>
    </row>
    <row r="8" spans="1:19" ht="35.25" customHeight="1" thickBot="1" x14ac:dyDescent="0.25">
      <c r="A8" s="692"/>
      <c r="B8" s="687"/>
      <c r="C8" s="687"/>
      <c r="D8" s="687"/>
      <c r="E8" s="687"/>
      <c r="F8" s="687"/>
      <c r="G8" s="215" t="s">
        <v>391</v>
      </c>
      <c r="H8" s="215" t="s">
        <v>392</v>
      </c>
      <c r="I8" s="687"/>
      <c r="J8" s="686"/>
      <c r="K8" s="687"/>
      <c r="L8" s="687"/>
      <c r="M8" s="687"/>
      <c r="N8" s="686"/>
      <c r="O8" s="685"/>
      <c r="P8" s="684"/>
    </row>
    <row r="9" spans="1:19" ht="21.75" customHeight="1" thickBot="1" x14ac:dyDescent="0.25">
      <c r="A9" s="285" t="str">
        <f>'5.Bev.össz'!A10</f>
        <v>Önkormányzat (eredeti előirányzat 2024. év)</v>
      </c>
      <c r="B9" s="123">
        <f t="shared" ref="B9:I9" si="0">B15+B21</f>
        <v>54275</v>
      </c>
      <c r="C9" s="123">
        <f t="shared" si="0"/>
        <v>7046</v>
      </c>
      <c r="D9" s="123">
        <f t="shared" si="0"/>
        <v>657299</v>
      </c>
      <c r="E9" s="123">
        <f t="shared" si="0"/>
        <v>11500</v>
      </c>
      <c r="F9" s="123">
        <f t="shared" si="0"/>
        <v>606271</v>
      </c>
      <c r="G9" s="123">
        <f t="shared" si="0"/>
        <v>199902</v>
      </c>
      <c r="H9" s="123">
        <f t="shared" si="0"/>
        <v>105385</v>
      </c>
      <c r="I9" s="123">
        <f t="shared" si="0"/>
        <v>120000</v>
      </c>
      <c r="J9" s="123">
        <f>B9+C9+D9+E9+F9+G9+H9+I9</f>
        <v>1761678</v>
      </c>
      <c r="K9" s="123">
        <f t="shared" ref="K9:M11" si="1">K15+K21</f>
        <v>222850</v>
      </c>
      <c r="L9" s="123">
        <f t="shared" si="1"/>
        <v>821982</v>
      </c>
      <c r="M9" s="123">
        <f t="shared" si="1"/>
        <v>609635</v>
      </c>
      <c r="N9" s="123">
        <f>K9+L9+M9</f>
        <v>1654467</v>
      </c>
      <c r="O9" s="124">
        <f>J9+N9</f>
        <v>3416145</v>
      </c>
      <c r="P9" s="289">
        <f>P15</f>
        <v>7</v>
      </c>
    </row>
    <row r="10" spans="1:19" ht="30" customHeight="1" thickBot="1" x14ac:dyDescent="0.25">
      <c r="A10" s="285" t="str">
        <f>'5.Bev.össz'!A11</f>
        <v>Önkormányzat (módosított előirányzat 2024.06.havi)</v>
      </c>
      <c r="B10" s="123">
        <f t="shared" ref="B10:I11" si="2">B16+B22</f>
        <v>54532</v>
      </c>
      <c r="C10" s="123">
        <f t="shared" si="2"/>
        <v>7046</v>
      </c>
      <c r="D10" s="123">
        <f t="shared" si="2"/>
        <v>646768</v>
      </c>
      <c r="E10" s="123">
        <f t="shared" si="2"/>
        <v>11500</v>
      </c>
      <c r="F10" s="123">
        <f t="shared" si="2"/>
        <v>614635</v>
      </c>
      <c r="G10" s="123">
        <f t="shared" si="2"/>
        <v>201902</v>
      </c>
      <c r="H10" s="123">
        <f t="shared" si="2"/>
        <v>105385</v>
      </c>
      <c r="I10" s="123">
        <f t="shared" si="2"/>
        <v>120865</v>
      </c>
      <c r="J10" s="123">
        <f t="shared" ref="J10:J14" si="3">B10+C10+D10+E10+F10+G10+H10+I10</f>
        <v>1762633</v>
      </c>
      <c r="K10" s="123">
        <f t="shared" si="1"/>
        <v>245634</v>
      </c>
      <c r="L10" s="123">
        <f t="shared" si="1"/>
        <v>836629</v>
      </c>
      <c r="M10" s="123">
        <f t="shared" si="1"/>
        <v>610315</v>
      </c>
      <c r="N10" s="123">
        <f>K10+L10+M10</f>
        <v>1692578</v>
      </c>
      <c r="O10" s="124">
        <f>J10+N10</f>
        <v>3455211</v>
      </c>
      <c r="P10" s="289">
        <f t="shared" ref="P10:P14" si="4">P16</f>
        <v>7</v>
      </c>
    </row>
    <row r="11" spans="1:19" ht="27.75" customHeight="1" thickBot="1" x14ac:dyDescent="0.25">
      <c r="A11" s="285" t="str">
        <f>'5.Bev.össz'!A12</f>
        <v>Önkormányzat (módosított előirányzat 2024.09.havi)</v>
      </c>
      <c r="B11" s="123">
        <f t="shared" si="2"/>
        <v>63855</v>
      </c>
      <c r="C11" s="123">
        <f t="shared" si="2"/>
        <v>8180</v>
      </c>
      <c r="D11" s="123">
        <f t="shared" si="2"/>
        <v>638782</v>
      </c>
      <c r="E11" s="123">
        <f t="shared" si="2"/>
        <v>11500</v>
      </c>
      <c r="F11" s="123">
        <f t="shared" si="2"/>
        <v>651048</v>
      </c>
      <c r="G11" s="123">
        <f t="shared" si="2"/>
        <v>201902</v>
      </c>
      <c r="H11" s="123">
        <f t="shared" si="2"/>
        <v>105385</v>
      </c>
      <c r="I11" s="123">
        <f t="shared" si="2"/>
        <v>41597</v>
      </c>
      <c r="J11" s="123">
        <f t="shared" ref="J11" si="5">B11+C11+D11+E11+F11+G11+H11+I11</f>
        <v>1722249</v>
      </c>
      <c r="K11" s="123">
        <f t="shared" si="1"/>
        <v>269184</v>
      </c>
      <c r="L11" s="123">
        <f t="shared" si="1"/>
        <v>628048</v>
      </c>
      <c r="M11" s="123">
        <f t="shared" si="1"/>
        <v>850465</v>
      </c>
      <c r="N11" s="123">
        <f>K11+L11+M11</f>
        <v>1747697</v>
      </c>
      <c r="O11" s="124">
        <f>J11+N11</f>
        <v>3469946</v>
      </c>
      <c r="P11" s="289">
        <f t="shared" si="4"/>
        <v>7</v>
      </c>
    </row>
    <row r="12" spans="1:19" ht="21.75" hidden="1" customHeight="1" thickBot="1" x14ac:dyDescent="0.25">
      <c r="A12" s="285" t="str">
        <f>'5.Bev.össz'!A13</f>
        <v>Önkormányzat (módosított előirányzat 2021. .havi)</v>
      </c>
      <c r="B12" s="123">
        <f t="shared" ref="B12:I12" si="6">B18+B24</f>
        <v>54275</v>
      </c>
      <c r="C12" s="123">
        <f t="shared" si="6"/>
        <v>7046</v>
      </c>
      <c r="D12" s="123">
        <f t="shared" si="6"/>
        <v>558480</v>
      </c>
      <c r="E12" s="123">
        <f t="shared" si="6"/>
        <v>11500</v>
      </c>
      <c r="F12" s="123" t="e">
        <f t="shared" si="6"/>
        <v>#REF!</v>
      </c>
      <c r="G12" s="123">
        <f t="shared" si="6"/>
        <v>0</v>
      </c>
      <c r="H12" s="123">
        <f t="shared" si="6"/>
        <v>105385</v>
      </c>
      <c r="I12" s="123">
        <f t="shared" si="6"/>
        <v>0</v>
      </c>
      <c r="J12" s="123" t="e">
        <f t="shared" si="3"/>
        <v>#REF!</v>
      </c>
      <c r="K12" s="123">
        <f t="shared" ref="K12:M14" si="7">K18+K24</f>
        <v>226400</v>
      </c>
      <c r="L12" s="123">
        <f t="shared" si="7"/>
        <v>873545</v>
      </c>
      <c r="M12" s="123">
        <f t="shared" si="7"/>
        <v>607608</v>
      </c>
      <c r="N12" s="123">
        <f t="shared" ref="N12:N14" si="8">K12+L12+M12</f>
        <v>1707553</v>
      </c>
      <c r="O12" s="124" t="e">
        <f t="shared" ref="O12:O14" si="9">J12+N12</f>
        <v>#REF!</v>
      </c>
      <c r="P12" s="289">
        <f t="shared" si="4"/>
        <v>16</v>
      </c>
    </row>
    <row r="13" spans="1:19" ht="21.75" hidden="1" customHeight="1" thickBot="1" x14ac:dyDescent="0.25">
      <c r="A13" s="285">
        <f>'5.Bev.össz'!A14</f>
        <v>0</v>
      </c>
      <c r="B13" s="123">
        <f t="shared" ref="B13:I13" si="10">B19+B25</f>
        <v>0</v>
      </c>
      <c r="C13" s="123">
        <f t="shared" si="10"/>
        <v>0</v>
      </c>
      <c r="D13" s="123">
        <f t="shared" si="10"/>
        <v>0</v>
      </c>
      <c r="E13" s="123">
        <f t="shared" si="10"/>
        <v>0</v>
      </c>
      <c r="F13" s="123">
        <f t="shared" si="10"/>
        <v>0</v>
      </c>
      <c r="G13" s="123">
        <f t="shared" si="10"/>
        <v>0</v>
      </c>
      <c r="H13" s="123">
        <f t="shared" si="10"/>
        <v>0</v>
      </c>
      <c r="I13" s="123">
        <f t="shared" si="10"/>
        <v>0</v>
      </c>
      <c r="J13" s="123">
        <f t="shared" si="3"/>
        <v>0</v>
      </c>
      <c r="K13" s="123">
        <f t="shared" si="7"/>
        <v>0</v>
      </c>
      <c r="L13" s="123">
        <f t="shared" si="7"/>
        <v>0</v>
      </c>
      <c r="M13" s="123">
        <f t="shared" si="7"/>
        <v>0</v>
      </c>
      <c r="N13" s="123">
        <f t="shared" si="8"/>
        <v>0</v>
      </c>
      <c r="O13" s="124">
        <f t="shared" si="9"/>
        <v>0</v>
      </c>
      <c r="P13" s="289">
        <f t="shared" si="4"/>
        <v>0</v>
      </c>
    </row>
    <row r="14" spans="1:19" ht="13.5" hidden="1" thickBot="1" x14ac:dyDescent="0.25">
      <c r="A14" s="285" t="str">
        <f>'5.Bev.össz'!A15</f>
        <v>Önkormányzat: Teljesítés 2021.12.31.</v>
      </c>
      <c r="B14" s="123">
        <f t="shared" ref="B14:I14" si="11">B20+B26</f>
        <v>54275</v>
      </c>
      <c r="C14" s="123">
        <f t="shared" si="11"/>
        <v>7046</v>
      </c>
      <c r="D14" s="123">
        <f t="shared" si="11"/>
        <v>558480</v>
      </c>
      <c r="E14" s="123">
        <f t="shared" si="11"/>
        <v>11500</v>
      </c>
      <c r="F14" s="123" t="e">
        <f t="shared" si="11"/>
        <v>#REF!</v>
      </c>
      <c r="G14" s="123">
        <f t="shared" si="11"/>
        <v>0</v>
      </c>
      <c r="H14" s="123">
        <f t="shared" si="11"/>
        <v>105385</v>
      </c>
      <c r="I14" s="123">
        <f t="shared" si="11"/>
        <v>0</v>
      </c>
      <c r="J14" s="123" t="e">
        <f t="shared" si="3"/>
        <v>#REF!</v>
      </c>
      <c r="K14" s="123">
        <f t="shared" si="7"/>
        <v>226400</v>
      </c>
      <c r="L14" s="123">
        <f t="shared" si="7"/>
        <v>873545</v>
      </c>
      <c r="M14" s="123">
        <f t="shared" si="7"/>
        <v>607608</v>
      </c>
      <c r="N14" s="123">
        <f t="shared" si="8"/>
        <v>1707553</v>
      </c>
      <c r="O14" s="124" t="e">
        <f t="shared" si="9"/>
        <v>#REF!</v>
      </c>
      <c r="P14" s="289">
        <f t="shared" si="4"/>
        <v>16</v>
      </c>
    </row>
    <row r="15" spans="1:19" ht="23.25" customHeight="1" x14ac:dyDescent="0.2">
      <c r="A15" s="294" t="str">
        <f>'5.Bev.össz'!A16</f>
        <v xml:space="preserve">       Kötelező (eredeti előirányzat 2024. év)</v>
      </c>
      <c r="B15" s="125">
        <f>SUM('7.finanszírozás.'!C94)</f>
        <v>54275</v>
      </c>
      <c r="C15" s="125">
        <f>SUM('7.finanszírozás.'!C101)</f>
        <v>7046</v>
      </c>
      <c r="D15" s="125">
        <f>SUM('7.finanszírozás.'!C108)</f>
        <v>657299</v>
      </c>
      <c r="E15" s="125">
        <f>SUM('7.finanszírozás.'!C124)</f>
        <v>11500</v>
      </c>
      <c r="F15" s="125">
        <f>SUM('4. Átadott p.eszk.'!B64-'4. Átadott p.eszk.'!B58-'4. Átadott p.eszk.'!B59)+'2.működés'!C128+'2.működés'!C129</f>
        <v>599021</v>
      </c>
      <c r="G15" s="125">
        <f>SUM('7.finanszírozás.'!F50+'7.finanszírozás.'!F42)</f>
        <v>199902</v>
      </c>
      <c r="H15" s="125">
        <f>SUM('1.Bev-kiad.'!C82)</f>
        <v>105385</v>
      </c>
      <c r="I15" s="125">
        <f>SUM('2.működés'!C127)</f>
        <v>120000</v>
      </c>
      <c r="J15" s="133">
        <f>SUM(B15:I15)</f>
        <v>1754428</v>
      </c>
      <c r="K15" s="125">
        <f>SUM('3.felh'!C45)</f>
        <v>222850</v>
      </c>
      <c r="L15" s="125">
        <f>SUM('3.felh'!C66)</f>
        <v>821982</v>
      </c>
      <c r="M15" s="125">
        <f>SUM('3.felh'!C87)</f>
        <v>609635</v>
      </c>
      <c r="N15" s="133">
        <f>SUM(K15:M15)</f>
        <v>1654467</v>
      </c>
      <c r="O15" s="295">
        <f>SUM(J15+N15)</f>
        <v>3408895</v>
      </c>
      <c r="P15" s="288">
        <v>7</v>
      </c>
    </row>
    <row r="16" spans="1:19" x14ac:dyDescent="0.2">
      <c r="A16" s="294" t="str">
        <f>'5.Bev.össz'!A17</f>
        <v xml:space="preserve">       Kötelező (módosított előirányzat 2024.06. havi)</v>
      </c>
      <c r="B16" s="125">
        <f>SUM('7.finanszírozás.'!C95)</f>
        <v>54532</v>
      </c>
      <c r="C16" s="125">
        <f>SUM('7.finanszírozás.'!C102)</f>
        <v>7046</v>
      </c>
      <c r="D16" s="125">
        <f>SUM('7.finanszírozás.'!C109)</f>
        <v>646768</v>
      </c>
      <c r="E16" s="125">
        <f>SUM('7.finanszírozás.'!C123)</f>
        <v>11500</v>
      </c>
      <c r="F16" s="125">
        <f>SUM('4. Átadott p.eszk.'!C64-'4. Átadott p.eszk.'!C58-'4. Átadott p.eszk.'!C59)+'2.működés'!D128+'2.működés'!D129</f>
        <v>607385</v>
      </c>
      <c r="G16" s="125">
        <f>SUM('7.finanszírozás.'!E43+'7.finanszírozás.'!E51)</f>
        <v>201902</v>
      </c>
      <c r="H16" s="125">
        <f>SUM('1.Bev-kiad.'!D82)</f>
        <v>105385</v>
      </c>
      <c r="I16" s="125">
        <f>SUM('2.működés'!D127)</f>
        <v>120865</v>
      </c>
      <c r="J16" s="133">
        <f>SUM(B16:I16)</f>
        <v>1755383</v>
      </c>
      <c r="K16" s="125">
        <f>SUM('3.felh'!D45)</f>
        <v>245634</v>
      </c>
      <c r="L16" s="125">
        <f>SUM('3.felh'!D66)</f>
        <v>836629</v>
      </c>
      <c r="M16" s="125">
        <f>'3.felh'!D87</f>
        <v>610315</v>
      </c>
      <c r="N16" s="133">
        <f>SUM(K16:M16)</f>
        <v>1692578</v>
      </c>
      <c r="O16" s="295">
        <f t="shared" ref="O16:O21" si="12">SUM(J16+N16)</f>
        <v>3447961</v>
      </c>
      <c r="P16" s="288">
        <v>7</v>
      </c>
    </row>
    <row r="17" spans="1:16" ht="15.75" customHeight="1" x14ac:dyDescent="0.2">
      <c r="A17" s="294" t="str">
        <f>'5.Bev.össz'!A18</f>
        <v xml:space="preserve">       Kötelező (módosított előirányzat 2024.09.havi)</v>
      </c>
      <c r="B17" s="125">
        <f>SUM('7.finanszírozás.'!C96)</f>
        <v>63855</v>
      </c>
      <c r="C17" s="125">
        <f>SUM('7.finanszírozás.'!C103)</f>
        <v>8180</v>
      </c>
      <c r="D17" s="125">
        <f>SUM('7.finanszírozás.'!C110)</f>
        <v>638782</v>
      </c>
      <c r="E17" s="125">
        <f>SUM('7.finanszírozás.'!C124)</f>
        <v>11500</v>
      </c>
      <c r="F17" s="125">
        <f>SUM('4. Átadott p.eszk.'!D64-'4. Átadott p.eszk.'!D58-'4. Átadott p.eszk.'!D59)+'2.működés'!E128+'2.működés'!E129</f>
        <v>643628</v>
      </c>
      <c r="G17" s="125">
        <f>SUM('7.finanszírozás.'!E44+'7.finanszírozás.'!E52)</f>
        <v>201902</v>
      </c>
      <c r="H17" s="125">
        <f>SUM('1.Bev-kiad.'!E82)</f>
        <v>105385</v>
      </c>
      <c r="I17" s="125">
        <f>SUM('2.működés'!E127)</f>
        <v>41597</v>
      </c>
      <c r="J17" s="133">
        <f>SUM(B17:I17)</f>
        <v>1714829</v>
      </c>
      <c r="K17" s="125">
        <f>SUM('3.felh'!E45)</f>
        <v>269184</v>
      </c>
      <c r="L17" s="125">
        <f>SUM('3.felh'!E66)</f>
        <v>628048</v>
      </c>
      <c r="M17" s="125">
        <f>'3.felh'!E87</f>
        <v>850465</v>
      </c>
      <c r="N17" s="133">
        <f>SUM(K17:M17)</f>
        <v>1747697</v>
      </c>
      <c r="O17" s="295">
        <f t="shared" si="12"/>
        <v>3462526</v>
      </c>
      <c r="P17" s="288">
        <v>7</v>
      </c>
    </row>
    <row r="18" spans="1:16" hidden="1" x14ac:dyDescent="0.2">
      <c r="A18" s="294" t="str">
        <f>'5.Bev.össz'!A19</f>
        <v xml:space="preserve">       Kötelező (módosított előirányzat 2021. .havi)</v>
      </c>
      <c r="B18" s="125">
        <f>SUM('7.finanszírozás.'!C97)</f>
        <v>54275</v>
      </c>
      <c r="C18" s="125">
        <f>SUM('7.finanszírozás.'!C104)</f>
        <v>7046</v>
      </c>
      <c r="D18" s="125">
        <f>SUM('7.finanszírozás.'!C111)</f>
        <v>558480</v>
      </c>
      <c r="E18" s="125">
        <f>SUM('7.finanszírozás.'!C125)</f>
        <v>11500</v>
      </c>
      <c r="F18" s="125">
        <f>SUM('4. Átadott p.eszk.'!E9)</f>
        <v>369504</v>
      </c>
      <c r="G18" s="125">
        <f>SUM('7.finanszírozás.'!E45+'7.finanszírozás.'!E53)</f>
        <v>0</v>
      </c>
      <c r="H18" s="125">
        <f>SUM('1.Bev-kiad.'!F82)</f>
        <v>105385</v>
      </c>
      <c r="I18" s="125">
        <f>SUM('2.működés'!F127)</f>
        <v>0</v>
      </c>
      <c r="J18" s="133">
        <f>SUM(B18:I18)</f>
        <v>1106190</v>
      </c>
      <c r="K18" s="125"/>
      <c r="L18" s="125"/>
      <c r="M18" s="125"/>
      <c r="N18" s="133">
        <f t="shared" ref="N18:N26" si="13">SUM(K18:M18)</f>
        <v>0</v>
      </c>
      <c r="O18" s="295">
        <f t="shared" si="12"/>
        <v>1106190</v>
      </c>
      <c r="P18" s="288">
        <v>16</v>
      </c>
    </row>
    <row r="19" spans="1:16" hidden="1" x14ac:dyDescent="0.2">
      <c r="A19" s="294">
        <f>'5.Bev.össz'!A20</f>
        <v>0</v>
      </c>
      <c r="B19" s="125"/>
      <c r="C19" s="125"/>
      <c r="D19" s="125"/>
      <c r="E19" s="125"/>
      <c r="F19" s="125">
        <v>0</v>
      </c>
      <c r="G19" s="125"/>
      <c r="H19" s="125"/>
      <c r="I19" s="125"/>
      <c r="J19" s="133">
        <f>SUM(B19:I19)</f>
        <v>0</v>
      </c>
      <c r="K19" s="125"/>
      <c r="L19" s="125"/>
      <c r="M19" s="125"/>
      <c r="N19" s="133">
        <f t="shared" si="13"/>
        <v>0</v>
      </c>
      <c r="O19" s="295">
        <f t="shared" si="12"/>
        <v>0</v>
      </c>
      <c r="P19" s="288"/>
    </row>
    <row r="20" spans="1:16" hidden="1" x14ac:dyDescent="0.2">
      <c r="A20" s="294" t="str">
        <f>'5.Bev.össz'!A21</f>
        <v xml:space="preserve">       Teljesítés 2021.12.31.</v>
      </c>
      <c r="B20" s="125">
        <f>SUM('7.finanszírozás.'!C99)</f>
        <v>54275</v>
      </c>
      <c r="C20" s="125">
        <f>SUM('7.finanszírozás.'!C106)</f>
        <v>7046</v>
      </c>
      <c r="D20" s="125">
        <f>SUM('7.finanszírozás.'!C113)</f>
        <v>558480</v>
      </c>
      <c r="E20" s="125">
        <f>SUM('7.finanszírozás.'!C127)</f>
        <v>11500</v>
      </c>
      <c r="F20" s="125">
        <f>SUM('4. Átadott p.eszk.'!F9)</f>
        <v>369504</v>
      </c>
      <c r="G20" s="125">
        <f>SUM('7.finanszírozás.'!E47+'7.finanszírozás.'!E55)</f>
        <v>0</v>
      </c>
      <c r="H20" s="125">
        <f>SUM('1.Bev-kiad.'!G82)</f>
        <v>105385</v>
      </c>
      <c r="I20" s="125">
        <f>SUM('2.működés'!G127)</f>
        <v>0</v>
      </c>
      <c r="J20" s="133">
        <f t="shared" ref="J20:J26" si="14">SUM(B20:I20)</f>
        <v>1106190</v>
      </c>
      <c r="K20" s="125"/>
      <c r="L20" s="125"/>
      <c r="M20" s="125"/>
      <c r="N20" s="133">
        <f t="shared" si="13"/>
        <v>0</v>
      </c>
      <c r="O20" s="295">
        <f t="shared" si="12"/>
        <v>1106190</v>
      </c>
      <c r="P20" s="288">
        <v>16</v>
      </c>
    </row>
    <row r="21" spans="1:16" ht="20.25" customHeight="1" x14ac:dyDescent="0.2">
      <c r="A21" s="294" t="str">
        <f>'5.Bev.össz'!A23</f>
        <v xml:space="preserve">       Önként vállalt (eredeti előirányzat 2024. év)</v>
      </c>
      <c r="B21" s="68"/>
      <c r="C21" s="68"/>
      <c r="D21" s="68"/>
      <c r="E21" s="68"/>
      <c r="F21" s="66">
        <f>SUM('4. Átadott p.eszk.'!B58+'4. Átadott p.eszk.'!B59)</f>
        <v>7250</v>
      </c>
      <c r="G21" s="66"/>
      <c r="H21" s="66"/>
      <c r="I21" s="66"/>
      <c r="J21" s="133">
        <f>SUM(B21:I21)</f>
        <v>7250</v>
      </c>
      <c r="K21" s="125"/>
      <c r="L21" s="125"/>
      <c r="M21" s="125"/>
      <c r="N21" s="133">
        <f>SUM(K21:M21)</f>
        <v>0</v>
      </c>
      <c r="O21" s="295">
        <f t="shared" si="12"/>
        <v>7250</v>
      </c>
      <c r="P21" s="292"/>
    </row>
    <row r="22" spans="1:16" x14ac:dyDescent="0.2">
      <c r="A22" s="294" t="str">
        <f>'5.Bev.össz'!A24</f>
        <v xml:space="preserve">       Önként vállalt (módosított előirányzat 2024.06. havi)</v>
      </c>
      <c r="B22" s="66"/>
      <c r="C22" s="66"/>
      <c r="D22" s="66"/>
      <c r="E22" s="66"/>
      <c r="F22" s="66">
        <f>'4. Átadott p.eszk.'!C58+'4. Átadott p.eszk.'!C59</f>
        <v>7250</v>
      </c>
      <c r="G22" s="66"/>
      <c r="H22" s="66"/>
      <c r="I22" s="66"/>
      <c r="J22" s="133">
        <f t="shared" si="14"/>
        <v>7250</v>
      </c>
      <c r="K22" s="125">
        <v>0</v>
      </c>
      <c r="L22" s="125">
        <v>0</v>
      </c>
      <c r="M22" s="125">
        <v>0</v>
      </c>
      <c r="N22" s="133">
        <v>0</v>
      </c>
      <c r="O22" s="295">
        <f>SUM(J22+N22)</f>
        <v>7250</v>
      </c>
      <c r="P22" s="292"/>
    </row>
    <row r="23" spans="1:16" ht="27" customHeight="1" x14ac:dyDescent="0.2">
      <c r="A23" s="294" t="str">
        <f>'5.Bev.össz'!A25</f>
        <v xml:space="preserve">       Önként vállalt (módosított előirányzat 2024.09.havi)</v>
      </c>
      <c r="B23" s="68"/>
      <c r="C23" s="68"/>
      <c r="D23" s="68"/>
      <c r="E23" s="68"/>
      <c r="F23" s="66">
        <f>'4. Átadott p.eszk.'!D58+'4. Átadott p.eszk.'!D59</f>
        <v>7420</v>
      </c>
      <c r="G23" s="66"/>
      <c r="H23" s="66"/>
      <c r="I23" s="66"/>
      <c r="J23" s="133">
        <f t="shared" ref="J23" si="15">SUM(B23:I23)</f>
        <v>7420</v>
      </c>
      <c r="K23" s="125">
        <v>0</v>
      </c>
      <c r="L23" s="125">
        <v>0</v>
      </c>
      <c r="M23" s="125">
        <v>0</v>
      </c>
      <c r="N23" s="133">
        <v>0</v>
      </c>
      <c r="O23" s="295">
        <f>SUM(J23+N23)</f>
        <v>7420</v>
      </c>
      <c r="P23" s="292"/>
    </row>
    <row r="24" spans="1:16" hidden="1" x14ac:dyDescent="0.2">
      <c r="A24" s="294" t="str">
        <f>'5.Bev.össz'!A26</f>
        <v xml:space="preserve">       Önként vállalt (módosított előirányzat 2021. . havi)</v>
      </c>
      <c r="B24" s="68"/>
      <c r="C24" s="68"/>
      <c r="D24" s="68"/>
      <c r="E24" s="68"/>
      <c r="F24" s="66" t="e">
        <f>SUM('4. Átadott p.eszk.'!E35+'4. Átadott p.eszk.'!#REF!)</f>
        <v>#REF!</v>
      </c>
      <c r="G24" s="66"/>
      <c r="H24" s="66"/>
      <c r="I24" s="66"/>
      <c r="J24" s="133" t="e">
        <f t="shared" si="14"/>
        <v>#REF!</v>
      </c>
      <c r="K24" s="125">
        <f>SUM('3.felh'!F45)</f>
        <v>226400</v>
      </c>
      <c r="L24" s="125">
        <f>SUM('3.felh'!F66)</f>
        <v>873545</v>
      </c>
      <c r="M24" s="125">
        <f>'3.felh'!F87</f>
        <v>607608</v>
      </c>
      <c r="N24" s="133">
        <f t="shared" si="13"/>
        <v>1707553</v>
      </c>
      <c r="O24" s="295" t="e">
        <f t="shared" ref="O24:O26" si="16">SUM(J24+N24)</f>
        <v>#REF!</v>
      </c>
      <c r="P24" s="292"/>
    </row>
    <row r="25" spans="1:16" hidden="1" x14ac:dyDescent="0.2">
      <c r="A25" s="294">
        <f>'5.Bev.össz'!A27</f>
        <v>0</v>
      </c>
      <c r="B25" s="68"/>
      <c r="C25" s="68"/>
      <c r="D25" s="68"/>
      <c r="E25" s="68"/>
      <c r="F25" s="66"/>
      <c r="G25" s="66"/>
      <c r="H25" s="66"/>
      <c r="I25" s="66"/>
      <c r="J25" s="133">
        <f t="shared" si="14"/>
        <v>0</v>
      </c>
      <c r="K25" s="125"/>
      <c r="L25" s="125"/>
      <c r="M25" s="125"/>
      <c r="N25" s="133">
        <f t="shared" si="13"/>
        <v>0</v>
      </c>
      <c r="O25" s="295">
        <f t="shared" si="16"/>
        <v>0</v>
      </c>
      <c r="P25" s="292"/>
    </row>
    <row r="26" spans="1:16" hidden="1" x14ac:dyDescent="0.2">
      <c r="A26" s="294" t="str">
        <f>'5.Bev.össz'!A28</f>
        <v xml:space="preserve">       Teljesítés 2021.12.31.</v>
      </c>
      <c r="B26" s="68"/>
      <c r="C26" s="68"/>
      <c r="D26" s="68"/>
      <c r="E26" s="68"/>
      <c r="F26" s="66" t="e">
        <f>SUM('4. Átadott p.eszk.'!F35+'4. Átadott p.eszk.'!#REF!)</f>
        <v>#REF!</v>
      </c>
      <c r="G26" s="68"/>
      <c r="H26" s="68"/>
      <c r="I26" s="68"/>
      <c r="J26" s="133" t="e">
        <f t="shared" si="14"/>
        <v>#REF!</v>
      </c>
      <c r="K26" s="451">
        <f>SUM('3.felh'!G45)</f>
        <v>226400</v>
      </c>
      <c r="L26" s="451">
        <f>SUM('3.felh'!G66)</f>
        <v>873545</v>
      </c>
      <c r="M26" s="451">
        <f>SUM('3.felh'!G87)</f>
        <v>607608</v>
      </c>
      <c r="N26" s="133">
        <f t="shared" si="13"/>
        <v>1707553</v>
      </c>
      <c r="O26" s="295" t="e">
        <f t="shared" si="16"/>
        <v>#REF!</v>
      </c>
      <c r="P26" s="292"/>
    </row>
    <row r="27" spans="1:16" ht="33" customHeight="1" thickBot="1" x14ac:dyDescent="0.25">
      <c r="A27" s="296" t="str">
        <f>'5.Bev.össz'!A29</f>
        <v xml:space="preserve">       Államigazgatási feladatok (eredeti előirányzat 2024. év)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295"/>
      <c r="P27" s="292"/>
    </row>
    <row r="28" spans="1:16" s="67" customFormat="1" ht="21" customHeight="1" thickBot="1" x14ac:dyDescent="0.25">
      <c r="A28" s="285" t="str">
        <f>'5.Bev.össz'!A30</f>
        <v>KÖH (eredeti előirányzat 2024. év)</v>
      </c>
      <c r="B28" s="128">
        <f t="shared" ref="B28:J28" si="17">SUM(B34)</f>
        <v>222760</v>
      </c>
      <c r="C28" s="128">
        <f t="shared" si="17"/>
        <v>28260</v>
      </c>
      <c r="D28" s="128">
        <f t="shared" si="17"/>
        <v>29266</v>
      </c>
      <c r="E28" s="128">
        <f t="shared" si="17"/>
        <v>0</v>
      </c>
      <c r="F28" s="128">
        <f t="shared" si="17"/>
        <v>0</v>
      </c>
      <c r="G28" s="128">
        <f t="shared" si="17"/>
        <v>0</v>
      </c>
      <c r="H28" s="128">
        <f t="shared" si="17"/>
        <v>0</v>
      </c>
      <c r="I28" s="128">
        <f t="shared" si="17"/>
        <v>0</v>
      </c>
      <c r="J28" s="121">
        <f t="shared" si="17"/>
        <v>280286</v>
      </c>
      <c r="K28" s="121">
        <f>K34</f>
        <v>2850</v>
      </c>
      <c r="L28" s="121">
        <f>L34</f>
        <v>0</v>
      </c>
      <c r="M28" s="121">
        <f>M34</f>
        <v>0</v>
      </c>
      <c r="N28" s="121">
        <f>K28+L28+M28</f>
        <v>2850</v>
      </c>
      <c r="O28" s="134">
        <f>(N28+J28)</f>
        <v>283136</v>
      </c>
      <c r="P28" s="291">
        <f>P34</f>
        <v>36</v>
      </c>
    </row>
    <row r="29" spans="1:16" s="67" customFormat="1" ht="21" customHeight="1" thickBot="1" x14ac:dyDescent="0.25">
      <c r="A29" s="285" t="str">
        <f>'5.Bev.össz'!A31</f>
        <v>KÖH (módosított előirányzat 2024.06. havi)</v>
      </c>
      <c r="B29" s="128">
        <f t="shared" ref="B29:J30" si="18">SUM(B35)</f>
        <v>222760</v>
      </c>
      <c r="C29" s="128">
        <f t="shared" si="18"/>
        <v>28315</v>
      </c>
      <c r="D29" s="128">
        <f t="shared" si="18"/>
        <v>32309</v>
      </c>
      <c r="E29" s="128">
        <f t="shared" si="18"/>
        <v>0</v>
      </c>
      <c r="F29" s="128">
        <f t="shared" si="18"/>
        <v>0</v>
      </c>
      <c r="G29" s="128">
        <f t="shared" si="18"/>
        <v>0</v>
      </c>
      <c r="H29" s="128">
        <f t="shared" si="18"/>
        <v>0</v>
      </c>
      <c r="I29" s="128">
        <f t="shared" si="18"/>
        <v>0</v>
      </c>
      <c r="J29" s="121">
        <f t="shared" si="18"/>
        <v>283384</v>
      </c>
      <c r="K29" s="121">
        <f t="shared" ref="K29:M33" si="19">K35</f>
        <v>2850</v>
      </c>
      <c r="L29" s="121">
        <f t="shared" si="19"/>
        <v>0</v>
      </c>
      <c r="M29" s="121">
        <f t="shared" si="19"/>
        <v>0</v>
      </c>
      <c r="N29" s="121">
        <f t="shared" ref="N29:N33" si="20">K29+L29+M29</f>
        <v>2850</v>
      </c>
      <c r="O29" s="134">
        <f t="shared" ref="O29:O33" si="21">(N29+J29)</f>
        <v>286234</v>
      </c>
      <c r="P29" s="291">
        <f t="shared" ref="P29:P33" si="22">P35</f>
        <v>36</v>
      </c>
    </row>
    <row r="30" spans="1:16" s="67" customFormat="1" ht="21" customHeight="1" thickBot="1" x14ac:dyDescent="0.25">
      <c r="A30" s="285" t="str">
        <f>'5.Bev.össz'!A32</f>
        <v>KÖH (módosított előirányzat 2024.09. havi)</v>
      </c>
      <c r="B30" s="128">
        <f t="shared" si="18"/>
        <v>223822</v>
      </c>
      <c r="C30" s="128">
        <f t="shared" si="18"/>
        <v>28458</v>
      </c>
      <c r="D30" s="128">
        <f t="shared" si="18"/>
        <v>32937</v>
      </c>
      <c r="E30" s="128">
        <f t="shared" si="18"/>
        <v>0</v>
      </c>
      <c r="F30" s="128">
        <f t="shared" si="18"/>
        <v>0</v>
      </c>
      <c r="G30" s="128">
        <f t="shared" si="18"/>
        <v>0</v>
      </c>
      <c r="H30" s="128">
        <f t="shared" si="18"/>
        <v>0</v>
      </c>
      <c r="I30" s="128">
        <f t="shared" si="18"/>
        <v>0</v>
      </c>
      <c r="J30" s="121">
        <f t="shared" si="18"/>
        <v>285217</v>
      </c>
      <c r="K30" s="121">
        <f t="shared" si="19"/>
        <v>2850</v>
      </c>
      <c r="L30" s="121">
        <f t="shared" si="19"/>
        <v>0</v>
      </c>
      <c r="M30" s="121">
        <f t="shared" si="19"/>
        <v>0</v>
      </c>
      <c r="N30" s="121">
        <f t="shared" ref="N30" si="23">K30+L30+M30</f>
        <v>2850</v>
      </c>
      <c r="O30" s="134">
        <f t="shared" ref="O30" si="24">(N30+J30)</f>
        <v>288067</v>
      </c>
      <c r="P30" s="291">
        <f t="shared" si="22"/>
        <v>36</v>
      </c>
    </row>
    <row r="31" spans="1:16" s="67" customFormat="1" ht="21" hidden="1" customHeight="1" thickBot="1" x14ac:dyDescent="0.25">
      <c r="A31" s="285" t="str">
        <f>'5.Bev.össz'!A33</f>
        <v>KÖH (módosított előirányzat 2021. .havi)</v>
      </c>
      <c r="B31" s="128">
        <f t="shared" ref="B31:J31" si="25">SUM(B37)</f>
        <v>209250</v>
      </c>
      <c r="C31" s="128">
        <f t="shared" si="25"/>
        <v>26536</v>
      </c>
      <c r="D31" s="128">
        <f t="shared" si="25"/>
        <v>29379</v>
      </c>
      <c r="E31" s="128">
        <f t="shared" si="25"/>
        <v>0</v>
      </c>
      <c r="F31" s="128">
        <f t="shared" si="25"/>
        <v>0</v>
      </c>
      <c r="G31" s="128">
        <f t="shared" si="25"/>
        <v>0</v>
      </c>
      <c r="H31" s="128">
        <f t="shared" si="25"/>
        <v>0</v>
      </c>
      <c r="I31" s="128">
        <f t="shared" si="25"/>
        <v>0</v>
      </c>
      <c r="J31" s="121">
        <f t="shared" si="25"/>
        <v>265165</v>
      </c>
      <c r="K31" s="121">
        <f t="shared" si="19"/>
        <v>2500</v>
      </c>
      <c r="L31" s="121">
        <f t="shared" si="19"/>
        <v>0</v>
      </c>
      <c r="M31" s="121">
        <f t="shared" si="19"/>
        <v>0</v>
      </c>
      <c r="N31" s="121">
        <f t="shared" si="20"/>
        <v>2500</v>
      </c>
      <c r="O31" s="134">
        <f t="shared" si="21"/>
        <v>267665</v>
      </c>
      <c r="P31" s="291">
        <f t="shared" si="22"/>
        <v>36</v>
      </c>
    </row>
    <row r="32" spans="1:16" s="67" customFormat="1" ht="13.5" hidden="1" thickBot="1" x14ac:dyDescent="0.25">
      <c r="A32" s="285">
        <f>'5.Bev.össz'!A34</f>
        <v>0</v>
      </c>
      <c r="B32" s="128">
        <f t="shared" ref="B32:J32" si="26">SUM(B38)</f>
        <v>0</v>
      </c>
      <c r="C32" s="128">
        <f t="shared" si="26"/>
        <v>0</v>
      </c>
      <c r="D32" s="128">
        <f t="shared" si="26"/>
        <v>0</v>
      </c>
      <c r="E32" s="128">
        <f t="shared" si="26"/>
        <v>0</v>
      </c>
      <c r="F32" s="128">
        <f t="shared" si="26"/>
        <v>0</v>
      </c>
      <c r="G32" s="128">
        <f t="shared" si="26"/>
        <v>0</v>
      </c>
      <c r="H32" s="128">
        <f t="shared" si="26"/>
        <v>0</v>
      </c>
      <c r="I32" s="128">
        <f t="shared" si="26"/>
        <v>0</v>
      </c>
      <c r="J32" s="121">
        <f t="shared" si="26"/>
        <v>0</v>
      </c>
      <c r="K32" s="121">
        <f t="shared" si="19"/>
        <v>0</v>
      </c>
      <c r="L32" s="121">
        <f t="shared" si="19"/>
        <v>0</v>
      </c>
      <c r="M32" s="121">
        <f t="shared" si="19"/>
        <v>0</v>
      </c>
      <c r="N32" s="121">
        <f t="shared" si="20"/>
        <v>0</v>
      </c>
      <c r="O32" s="134">
        <f t="shared" si="21"/>
        <v>0</v>
      </c>
      <c r="P32" s="291">
        <f t="shared" si="22"/>
        <v>36</v>
      </c>
    </row>
    <row r="33" spans="1:17" s="67" customFormat="1" ht="13.5" hidden="1" thickBot="1" x14ac:dyDescent="0.25">
      <c r="A33" s="285" t="str">
        <f>'5.Bev.össz'!A35</f>
        <v>KÖH: Teljesítés 2021.12.31.</v>
      </c>
      <c r="B33" s="128">
        <f t="shared" ref="B33:J33" si="27">SUM(B39)</f>
        <v>209250</v>
      </c>
      <c r="C33" s="128">
        <f t="shared" si="27"/>
        <v>26536</v>
      </c>
      <c r="D33" s="128">
        <f t="shared" si="27"/>
        <v>29379</v>
      </c>
      <c r="E33" s="128">
        <f t="shared" si="27"/>
        <v>0</v>
      </c>
      <c r="F33" s="128">
        <f t="shared" si="27"/>
        <v>0</v>
      </c>
      <c r="G33" s="128">
        <f t="shared" si="27"/>
        <v>0</v>
      </c>
      <c r="H33" s="128">
        <f t="shared" si="27"/>
        <v>0</v>
      </c>
      <c r="I33" s="128">
        <f t="shared" si="27"/>
        <v>0</v>
      </c>
      <c r="J33" s="121">
        <f t="shared" si="27"/>
        <v>265165</v>
      </c>
      <c r="K33" s="121">
        <f t="shared" si="19"/>
        <v>2500</v>
      </c>
      <c r="L33" s="121">
        <f t="shared" si="19"/>
        <v>0</v>
      </c>
      <c r="M33" s="121">
        <f t="shared" si="19"/>
        <v>0</v>
      </c>
      <c r="N33" s="121">
        <f t="shared" si="20"/>
        <v>2500</v>
      </c>
      <c r="O33" s="134">
        <f t="shared" si="21"/>
        <v>267665</v>
      </c>
      <c r="P33" s="291">
        <f t="shared" si="22"/>
        <v>36</v>
      </c>
    </row>
    <row r="34" spans="1:17" s="67" customFormat="1" ht="20.25" customHeight="1" x14ac:dyDescent="0.2">
      <c r="A34" s="286" t="str">
        <f>A15</f>
        <v xml:space="preserve">       Kötelező (eredeti előirányzat 2024. év)</v>
      </c>
      <c r="B34" s="66">
        <f>SUM('7.finanszírozás.'!D94)</f>
        <v>222760</v>
      </c>
      <c r="C34" s="66">
        <f>SUM('7.finanszírozás.'!D101)</f>
        <v>28260</v>
      </c>
      <c r="D34" s="66">
        <f>SUM('7.finanszírozás.'!D108)</f>
        <v>29266</v>
      </c>
      <c r="E34" s="66"/>
      <c r="F34" s="66">
        <f>'7.finanszírozás.'!D129</f>
        <v>0</v>
      </c>
      <c r="G34" s="66"/>
      <c r="H34" s="66"/>
      <c r="I34" s="66"/>
      <c r="J34" s="132">
        <f>SUM(B34:I34)</f>
        <v>280286</v>
      </c>
      <c r="K34" s="66">
        <f>'7.finanszírozás.'!D117</f>
        <v>2850</v>
      </c>
      <c r="L34" s="66"/>
      <c r="M34" s="66"/>
      <c r="N34" s="133">
        <f>SUM(K34:M34)</f>
        <v>2850</v>
      </c>
      <c r="O34" s="287">
        <f>SUM(J34+N34)</f>
        <v>283136</v>
      </c>
      <c r="P34" s="288">
        <v>36</v>
      </c>
    </row>
    <row r="35" spans="1:17" s="67" customFormat="1" x14ac:dyDescent="0.2">
      <c r="A35" s="286" t="str">
        <f>'5.Bev.össz'!A37</f>
        <v xml:space="preserve">       Kötelező (módosított előirányzat 2024.06. havi)</v>
      </c>
      <c r="B35" s="66">
        <f>SUM('7.finanszírozás.'!D95)</f>
        <v>222760</v>
      </c>
      <c r="C35" s="66">
        <f>SUM('7.finanszírozás.'!D102)</f>
        <v>28315</v>
      </c>
      <c r="D35" s="66">
        <f>SUM('7.finanszírozás.'!D109)</f>
        <v>32309</v>
      </c>
      <c r="E35" s="66"/>
      <c r="F35" s="66">
        <f>'7.finanszírozás.'!D130</f>
        <v>0</v>
      </c>
      <c r="G35" s="66"/>
      <c r="H35" s="66"/>
      <c r="I35" s="66"/>
      <c r="J35" s="132">
        <f t="shared" ref="J35:J39" si="28">SUM(B35:I35)</f>
        <v>283384</v>
      </c>
      <c r="K35" s="66">
        <f>'7.finanszírozás.'!D116</f>
        <v>2850</v>
      </c>
      <c r="L35" s="66"/>
      <c r="M35" s="66"/>
      <c r="N35" s="133">
        <f t="shared" ref="N35:N39" si="29">SUM(K35:M35)</f>
        <v>2850</v>
      </c>
      <c r="O35" s="287">
        <f t="shared" ref="O35:O39" si="30">SUM(J35+N35)</f>
        <v>286234</v>
      </c>
      <c r="P35" s="288">
        <v>36</v>
      </c>
    </row>
    <row r="36" spans="1:17" s="67" customFormat="1" ht="15.75" customHeight="1" x14ac:dyDescent="0.2">
      <c r="A36" s="286" t="str">
        <f>'5.Bev.össz'!A38</f>
        <v xml:space="preserve">       Kötelező (módosított előirányzat 2024.09.havi)</v>
      </c>
      <c r="B36" s="66">
        <f>SUM('7.finanszírozás.'!D96)</f>
        <v>223822</v>
      </c>
      <c r="C36" s="66">
        <f>SUM('7.finanszírozás.'!D103)</f>
        <v>28458</v>
      </c>
      <c r="D36" s="66">
        <f>SUM('7.finanszírozás.'!D110)</f>
        <v>32937</v>
      </c>
      <c r="E36" s="66"/>
      <c r="F36" s="66">
        <f>'7.finanszírozás.'!D131</f>
        <v>0</v>
      </c>
      <c r="G36" s="66"/>
      <c r="H36" s="66"/>
      <c r="I36" s="66"/>
      <c r="J36" s="132">
        <f t="shared" ref="J36" si="31">SUM(B36:I36)</f>
        <v>285217</v>
      </c>
      <c r="K36" s="66">
        <f>'7.finanszírozás.'!D117</f>
        <v>2850</v>
      </c>
      <c r="L36" s="66"/>
      <c r="M36" s="66"/>
      <c r="N36" s="133">
        <f t="shared" ref="N36" si="32">SUM(K36:M36)</f>
        <v>2850</v>
      </c>
      <c r="O36" s="287">
        <f t="shared" ref="O36" si="33">SUM(J36+N36)</f>
        <v>288067</v>
      </c>
      <c r="P36" s="288">
        <v>36</v>
      </c>
    </row>
    <row r="37" spans="1:17" s="67" customFormat="1" hidden="1" x14ac:dyDescent="0.2">
      <c r="A37" s="286" t="str">
        <f>'5.Bev.össz'!A39</f>
        <v xml:space="preserve">       Kötelező (módosított előirányzat 2021. .havi)</v>
      </c>
      <c r="B37" s="66">
        <f>SUM('7.finanszírozás.'!D97)</f>
        <v>209250</v>
      </c>
      <c r="C37" s="66">
        <f>SUM('7.finanszírozás.'!D104)</f>
        <v>26536</v>
      </c>
      <c r="D37" s="66">
        <f>SUM('7.finanszírozás.'!D111)</f>
        <v>29379</v>
      </c>
      <c r="E37" s="66"/>
      <c r="F37" s="66">
        <f>'7.finanszírozás.'!D132</f>
        <v>0</v>
      </c>
      <c r="G37" s="66"/>
      <c r="H37" s="66"/>
      <c r="I37" s="66"/>
      <c r="J37" s="132">
        <f t="shared" si="28"/>
        <v>265165</v>
      </c>
      <c r="K37" s="66">
        <f>'7.finanszírozás.'!D118</f>
        <v>2500</v>
      </c>
      <c r="L37" s="66"/>
      <c r="M37" s="66"/>
      <c r="N37" s="133">
        <f t="shared" si="29"/>
        <v>2500</v>
      </c>
      <c r="O37" s="287">
        <f t="shared" si="30"/>
        <v>267665</v>
      </c>
      <c r="P37" s="288">
        <v>36</v>
      </c>
    </row>
    <row r="38" spans="1:17" s="67" customFormat="1" hidden="1" x14ac:dyDescent="0.2">
      <c r="A38" s="286">
        <f>'5.Bev.össz'!A40</f>
        <v>0</v>
      </c>
      <c r="B38" s="66">
        <f>SUM('7.finanszírozás.'!D98)</f>
        <v>0</v>
      </c>
      <c r="C38" s="66">
        <f>SUM('7.finanszírozás.'!D105)</f>
        <v>0</v>
      </c>
      <c r="D38" s="66">
        <f>SUM('7.finanszírozás.'!D112)</f>
        <v>0</v>
      </c>
      <c r="E38" s="66"/>
      <c r="F38" s="66">
        <f>'7.finanszírozás.'!D133</f>
        <v>0</v>
      </c>
      <c r="G38" s="66"/>
      <c r="H38" s="66"/>
      <c r="I38" s="66"/>
      <c r="J38" s="132">
        <f t="shared" si="28"/>
        <v>0</v>
      </c>
      <c r="K38" s="66">
        <f>'7.finanszírozás.'!D119</f>
        <v>0</v>
      </c>
      <c r="L38" s="66"/>
      <c r="M38" s="66"/>
      <c r="N38" s="133">
        <f t="shared" si="29"/>
        <v>0</v>
      </c>
      <c r="O38" s="287">
        <f t="shared" si="30"/>
        <v>0</v>
      </c>
      <c r="P38" s="288">
        <v>36</v>
      </c>
    </row>
    <row r="39" spans="1:17" s="67" customFormat="1" hidden="1" x14ac:dyDescent="0.2">
      <c r="A39" s="286" t="str">
        <f>'5.Bev.össz'!A41</f>
        <v xml:space="preserve">       Teljesítés 2021.12.31.</v>
      </c>
      <c r="B39" s="66">
        <f>SUM('7.finanszírozás.'!D99)</f>
        <v>209250</v>
      </c>
      <c r="C39" s="66">
        <f>SUM('7.finanszírozás.'!D106)</f>
        <v>26536</v>
      </c>
      <c r="D39" s="66">
        <f>SUM('7.finanszírozás.'!D113)</f>
        <v>29379</v>
      </c>
      <c r="E39" s="66"/>
      <c r="F39" s="66">
        <f>'7.finanszírozás.'!D134</f>
        <v>0</v>
      </c>
      <c r="G39" s="66"/>
      <c r="H39" s="66"/>
      <c r="I39" s="66"/>
      <c r="J39" s="132">
        <f t="shared" si="28"/>
        <v>265165</v>
      </c>
      <c r="K39" s="66">
        <f>'7.finanszírozás.'!D120</f>
        <v>2500</v>
      </c>
      <c r="L39" s="66"/>
      <c r="M39" s="66"/>
      <c r="N39" s="133">
        <f t="shared" si="29"/>
        <v>2500</v>
      </c>
      <c r="O39" s="287">
        <f t="shared" si="30"/>
        <v>267665</v>
      </c>
      <c r="P39" s="288">
        <v>36</v>
      </c>
    </row>
    <row r="40" spans="1:17" s="67" customFormat="1" ht="18.75" customHeight="1" x14ac:dyDescent="0.2">
      <c r="A40" s="286" t="str">
        <f>'5.Bev.össz'!A42</f>
        <v xml:space="preserve">       Önként vállalt (eredeti előirányzat 2024. év)</v>
      </c>
      <c r="B40" s="66"/>
      <c r="C40" s="66"/>
      <c r="D40" s="66"/>
      <c r="E40" s="66"/>
      <c r="F40" s="66"/>
      <c r="G40" s="66"/>
      <c r="H40" s="66"/>
      <c r="I40" s="66"/>
      <c r="J40" s="132"/>
      <c r="K40" s="66"/>
      <c r="L40" s="66"/>
      <c r="M40" s="66"/>
      <c r="N40" s="133"/>
      <c r="O40" s="287"/>
      <c r="P40" s="288"/>
    </row>
    <row r="41" spans="1:17" s="67" customFormat="1" ht="31.5" customHeight="1" thickBot="1" x14ac:dyDescent="0.25">
      <c r="A41" s="286" t="str">
        <f>'5.Bev.össz'!A43</f>
        <v xml:space="preserve">       Államigazgatási feladatok (eredeti előirányzat 2024. év)</v>
      </c>
      <c r="B41" s="451"/>
      <c r="C41" s="451"/>
      <c r="D41" s="451"/>
      <c r="E41" s="451"/>
      <c r="F41" s="451"/>
      <c r="G41" s="451"/>
      <c r="H41" s="451"/>
      <c r="I41" s="451"/>
      <c r="J41" s="450"/>
      <c r="K41" s="451"/>
      <c r="L41" s="451"/>
      <c r="M41" s="451"/>
      <c r="N41" s="450"/>
      <c r="O41" s="449"/>
      <c r="P41" s="288"/>
    </row>
    <row r="42" spans="1:17" s="67" customFormat="1" ht="35.25" customHeight="1" thickBot="1" x14ac:dyDescent="0.25">
      <c r="A42" s="129" t="str">
        <f>'5.Bev.össz'!A44</f>
        <v>Önk.mindösszesen (eredeti előirányzat 2024. év)</v>
      </c>
      <c r="B42" s="130">
        <f t="shared" ref="B42:O42" si="34">SUM(B9+B28)</f>
        <v>277035</v>
      </c>
      <c r="C42" s="130">
        <f t="shared" si="34"/>
        <v>35306</v>
      </c>
      <c r="D42" s="130">
        <f t="shared" si="34"/>
        <v>686565</v>
      </c>
      <c r="E42" s="130">
        <f t="shared" si="34"/>
        <v>11500</v>
      </c>
      <c r="F42" s="130">
        <f t="shared" si="34"/>
        <v>606271</v>
      </c>
      <c r="G42" s="130">
        <f t="shared" si="34"/>
        <v>199902</v>
      </c>
      <c r="H42" s="130">
        <f t="shared" si="34"/>
        <v>105385</v>
      </c>
      <c r="I42" s="130">
        <f t="shared" si="34"/>
        <v>120000</v>
      </c>
      <c r="J42" s="130">
        <f t="shared" si="34"/>
        <v>2041964</v>
      </c>
      <c r="K42" s="130">
        <f t="shared" si="34"/>
        <v>225700</v>
      </c>
      <c r="L42" s="130">
        <f t="shared" si="34"/>
        <v>821982</v>
      </c>
      <c r="M42" s="130">
        <f t="shared" si="34"/>
        <v>609635</v>
      </c>
      <c r="N42" s="130">
        <f t="shared" si="34"/>
        <v>1657317</v>
      </c>
      <c r="O42" s="131">
        <f t="shared" si="34"/>
        <v>3699281</v>
      </c>
      <c r="P42" s="293">
        <f>P9+P28</f>
        <v>43</v>
      </c>
      <c r="Q42" s="216"/>
    </row>
    <row r="43" spans="1:17" s="67" customFormat="1" ht="32.25" thickBot="1" x14ac:dyDescent="0.25">
      <c r="A43" s="129" t="str">
        <f>'5.Bev.össz'!A45</f>
        <v>Önk.mindösszesen (módosított ei. 2024.06. havi)</v>
      </c>
      <c r="B43" s="130">
        <f t="shared" ref="B43:O44" si="35">SUM(B10+B29)</f>
        <v>277292</v>
      </c>
      <c r="C43" s="130">
        <f t="shared" si="35"/>
        <v>35361</v>
      </c>
      <c r="D43" s="130">
        <f t="shared" si="35"/>
        <v>679077</v>
      </c>
      <c r="E43" s="130">
        <f t="shared" si="35"/>
        <v>11500</v>
      </c>
      <c r="F43" s="130">
        <f t="shared" si="35"/>
        <v>614635</v>
      </c>
      <c r="G43" s="130">
        <f t="shared" si="35"/>
        <v>201902</v>
      </c>
      <c r="H43" s="130">
        <f t="shared" si="35"/>
        <v>105385</v>
      </c>
      <c r="I43" s="130">
        <f t="shared" si="35"/>
        <v>120865</v>
      </c>
      <c r="J43" s="130">
        <f t="shared" si="35"/>
        <v>2046017</v>
      </c>
      <c r="K43" s="130">
        <f t="shared" si="35"/>
        <v>248484</v>
      </c>
      <c r="L43" s="130">
        <f t="shared" si="35"/>
        <v>836629</v>
      </c>
      <c r="M43" s="130">
        <f t="shared" si="35"/>
        <v>610315</v>
      </c>
      <c r="N43" s="130">
        <f t="shared" si="35"/>
        <v>1695428</v>
      </c>
      <c r="O43" s="131">
        <f t="shared" si="35"/>
        <v>3741445</v>
      </c>
      <c r="P43" s="293">
        <f t="shared" ref="P43:P47" si="36">P10+P29</f>
        <v>43</v>
      </c>
      <c r="Q43" s="216"/>
    </row>
    <row r="44" spans="1:17" s="67" customFormat="1" ht="29.25" customHeight="1" thickBot="1" x14ac:dyDescent="0.25">
      <c r="A44" s="129" t="str">
        <f>'5.Bev.össz'!A46</f>
        <v>Önk.mindösszesen (módosított ei. 2024.09. havi)</v>
      </c>
      <c r="B44" s="130">
        <f t="shared" si="35"/>
        <v>287677</v>
      </c>
      <c r="C44" s="130">
        <f t="shared" si="35"/>
        <v>36638</v>
      </c>
      <c r="D44" s="130">
        <f t="shared" si="35"/>
        <v>671719</v>
      </c>
      <c r="E44" s="130">
        <f t="shared" si="35"/>
        <v>11500</v>
      </c>
      <c r="F44" s="130">
        <f t="shared" si="35"/>
        <v>651048</v>
      </c>
      <c r="G44" s="130">
        <f t="shared" si="35"/>
        <v>201902</v>
      </c>
      <c r="H44" s="130">
        <f t="shared" si="35"/>
        <v>105385</v>
      </c>
      <c r="I44" s="130">
        <f t="shared" si="35"/>
        <v>41597</v>
      </c>
      <c r="J44" s="130">
        <f t="shared" si="35"/>
        <v>2007466</v>
      </c>
      <c r="K44" s="130">
        <f t="shared" si="35"/>
        <v>272034</v>
      </c>
      <c r="L44" s="130">
        <f t="shared" si="35"/>
        <v>628048</v>
      </c>
      <c r="M44" s="130">
        <f t="shared" si="35"/>
        <v>850465</v>
      </c>
      <c r="N44" s="130">
        <f t="shared" si="35"/>
        <v>1750547</v>
      </c>
      <c r="O44" s="131">
        <f t="shared" si="35"/>
        <v>3758013</v>
      </c>
      <c r="P44" s="293">
        <f t="shared" si="36"/>
        <v>43</v>
      </c>
      <c r="Q44" s="216"/>
    </row>
    <row r="45" spans="1:17" s="67" customFormat="1" ht="24" hidden="1" customHeight="1" thickBot="1" x14ac:dyDescent="0.25">
      <c r="A45" s="129" t="str">
        <f>'5.Bev.össz'!A47</f>
        <v>Önk.mindösszesen (módosított ei. 2021. .havi)</v>
      </c>
      <c r="B45" s="130">
        <f t="shared" ref="B45:O45" si="37">SUM(B12+B31)</f>
        <v>263525</v>
      </c>
      <c r="C45" s="130">
        <f t="shared" si="37"/>
        <v>33582</v>
      </c>
      <c r="D45" s="130">
        <f t="shared" si="37"/>
        <v>587859</v>
      </c>
      <c r="E45" s="130">
        <f t="shared" si="37"/>
        <v>11500</v>
      </c>
      <c r="F45" s="130" t="e">
        <f t="shared" si="37"/>
        <v>#REF!</v>
      </c>
      <c r="G45" s="130">
        <f t="shared" si="37"/>
        <v>0</v>
      </c>
      <c r="H45" s="130">
        <f t="shared" si="37"/>
        <v>105385</v>
      </c>
      <c r="I45" s="130">
        <f t="shared" si="37"/>
        <v>0</v>
      </c>
      <c r="J45" s="130" t="e">
        <f t="shared" si="37"/>
        <v>#REF!</v>
      </c>
      <c r="K45" s="130">
        <f t="shared" si="37"/>
        <v>228900</v>
      </c>
      <c r="L45" s="130">
        <f t="shared" si="37"/>
        <v>873545</v>
      </c>
      <c r="M45" s="130">
        <f t="shared" si="37"/>
        <v>607608</v>
      </c>
      <c r="N45" s="130">
        <f t="shared" si="37"/>
        <v>1710053</v>
      </c>
      <c r="O45" s="131" t="e">
        <f t="shared" si="37"/>
        <v>#REF!</v>
      </c>
      <c r="P45" s="293">
        <f t="shared" si="36"/>
        <v>52</v>
      </c>
      <c r="Q45" s="216"/>
    </row>
    <row r="46" spans="1:17" s="67" customFormat="1" ht="24" hidden="1" customHeight="1" thickBot="1" x14ac:dyDescent="0.25">
      <c r="A46" s="129">
        <f>'5.Bev.össz'!A48</f>
        <v>0</v>
      </c>
      <c r="B46" s="130">
        <f t="shared" ref="B46:O46" si="38">SUM(B13+B32)</f>
        <v>0</v>
      </c>
      <c r="C46" s="130">
        <f t="shared" si="38"/>
        <v>0</v>
      </c>
      <c r="D46" s="130">
        <f t="shared" si="38"/>
        <v>0</v>
      </c>
      <c r="E46" s="130">
        <f t="shared" si="38"/>
        <v>0</v>
      </c>
      <c r="F46" s="130">
        <f t="shared" si="38"/>
        <v>0</v>
      </c>
      <c r="G46" s="130">
        <f t="shared" si="38"/>
        <v>0</v>
      </c>
      <c r="H46" s="130">
        <f t="shared" si="38"/>
        <v>0</v>
      </c>
      <c r="I46" s="130">
        <f t="shared" si="38"/>
        <v>0</v>
      </c>
      <c r="J46" s="130">
        <f t="shared" si="38"/>
        <v>0</v>
      </c>
      <c r="K46" s="130">
        <f t="shared" si="38"/>
        <v>0</v>
      </c>
      <c r="L46" s="130">
        <f t="shared" si="38"/>
        <v>0</v>
      </c>
      <c r="M46" s="130">
        <f t="shared" si="38"/>
        <v>0</v>
      </c>
      <c r="N46" s="130">
        <f t="shared" si="38"/>
        <v>0</v>
      </c>
      <c r="O46" s="131">
        <f t="shared" si="38"/>
        <v>0</v>
      </c>
      <c r="P46" s="293">
        <f t="shared" si="36"/>
        <v>36</v>
      </c>
      <c r="Q46" s="216"/>
    </row>
    <row r="47" spans="1:17" s="67" customFormat="1" ht="15.75" hidden="1" customHeight="1" thickBot="1" x14ac:dyDescent="0.25">
      <c r="A47" s="129" t="str">
        <f>'5.Bev.össz'!A49</f>
        <v>Önk.mindösszesen (Teljesítés 2021.12.31.)</v>
      </c>
      <c r="B47" s="130">
        <f t="shared" ref="B47:O47" si="39">SUM(B14+B33)</f>
        <v>263525</v>
      </c>
      <c r="C47" s="130">
        <f t="shared" si="39"/>
        <v>33582</v>
      </c>
      <c r="D47" s="130">
        <f t="shared" si="39"/>
        <v>587859</v>
      </c>
      <c r="E47" s="130">
        <f t="shared" si="39"/>
        <v>11500</v>
      </c>
      <c r="F47" s="130" t="e">
        <f t="shared" si="39"/>
        <v>#REF!</v>
      </c>
      <c r="G47" s="130">
        <f t="shared" si="39"/>
        <v>0</v>
      </c>
      <c r="H47" s="130">
        <f t="shared" si="39"/>
        <v>105385</v>
      </c>
      <c r="I47" s="130">
        <f t="shared" si="39"/>
        <v>0</v>
      </c>
      <c r="J47" s="130" t="e">
        <f t="shared" si="39"/>
        <v>#REF!</v>
      </c>
      <c r="K47" s="130">
        <f t="shared" si="39"/>
        <v>228900</v>
      </c>
      <c r="L47" s="130">
        <f t="shared" si="39"/>
        <v>873545</v>
      </c>
      <c r="M47" s="130">
        <f t="shared" si="39"/>
        <v>607608</v>
      </c>
      <c r="N47" s="130">
        <f t="shared" si="39"/>
        <v>1710053</v>
      </c>
      <c r="O47" s="131" t="e">
        <f t="shared" si="39"/>
        <v>#REF!</v>
      </c>
      <c r="P47" s="293">
        <f t="shared" si="36"/>
        <v>52</v>
      </c>
      <c r="Q47" s="216"/>
    </row>
    <row r="48" spans="1:17" x14ac:dyDescent="0.2">
      <c r="A48" s="69" t="s">
        <v>380</v>
      </c>
      <c r="O48" s="64">
        <f>SUM('7.finanszírozás.'!F88)</f>
        <v>-201902</v>
      </c>
    </row>
    <row r="49" spans="1:15" x14ac:dyDescent="0.2">
      <c r="A49" s="69" t="s">
        <v>385</v>
      </c>
      <c r="O49" s="466">
        <f>SUM(O44+O48)</f>
        <v>3556111</v>
      </c>
    </row>
    <row r="50" spans="1:15" x14ac:dyDescent="0.2">
      <c r="A50" s="69" t="s">
        <v>383</v>
      </c>
    </row>
    <row r="60" spans="1:15" x14ac:dyDescent="0.2">
      <c r="D60" s="64" t="s">
        <v>556</v>
      </c>
    </row>
  </sheetData>
  <mergeCells count="18">
    <mergeCell ref="I7:I8"/>
    <mergeCell ref="G7:H7"/>
    <mergeCell ref="A4:O4"/>
    <mergeCell ref="A6:A8"/>
    <mergeCell ref="B6:I6"/>
    <mergeCell ref="J6:J8"/>
    <mergeCell ref="B7:B8"/>
    <mergeCell ref="C7:C8"/>
    <mergeCell ref="D7:D8"/>
    <mergeCell ref="E7:E8"/>
    <mergeCell ref="F7:F8"/>
    <mergeCell ref="P6:P8"/>
    <mergeCell ref="K6:N6"/>
    <mergeCell ref="O6:O8"/>
    <mergeCell ref="N7:N8"/>
    <mergeCell ref="K7:K8"/>
    <mergeCell ref="L7:L8"/>
    <mergeCell ref="M7:M8"/>
  </mergeCells>
  <printOptions horizontalCentered="1"/>
  <pageMargins left="0.15748031496062992" right="0.15748031496062992" top="0.15748031496062992" bottom="0.15748031496062992" header="0.15748031496062992" footer="0.11811023622047245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49"/>
  <sheetViews>
    <sheetView topLeftCell="A52" zoomScaleNormal="100" zoomScaleSheetLayoutView="70" workbookViewId="0">
      <selection activeCell="J123" sqref="J123"/>
    </sheetView>
  </sheetViews>
  <sheetFormatPr defaultRowHeight="12.75" x14ac:dyDescent="0.2"/>
  <cols>
    <col min="1" max="1" width="2" style="52" customWidth="1"/>
    <col min="2" max="2" width="43.85546875" customWidth="1"/>
    <col min="3" max="5" width="16.140625" customWidth="1"/>
    <col min="6" max="6" width="18.28515625" customWidth="1"/>
    <col min="7" max="7" width="8.7109375" style="9" hidden="1" customWidth="1"/>
    <col min="8" max="8" width="9.140625" hidden="1" customWidth="1"/>
    <col min="9" max="9" width="13.42578125" hidden="1" customWidth="1"/>
    <col min="11" max="11" width="13.7109375" customWidth="1"/>
  </cols>
  <sheetData>
    <row r="1" spans="2:8" x14ac:dyDescent="0.2">
      <c r="B1" s="3"/>
      <c r="C1" s="3"/>
      <c r="D1" s="3"/>
      <c r="E1" s="3"/>
      <c r="F1" s="108" t="s">
        <v>246</v>
      </c>
    </row>
    <row r="2" spans="2:8" x14ac:dyDescent="0.2">
      <c r="B2" s="3"/>
      <c r="C2" s="3"/>
      <c r="D2" s="3"/>
      <c r="E2" s="3"/>
      <c r="F2" s="461" t="str">
        <f>'1.Bev-kiad.'!E2</f>
        <v>a 13/2024.(IX.30.) önkormányzati rendelethez</v>
      </c>
    </row>
    <row r="3" spans="2:8" ht="12" customHeight="1" x14ac:dyDescent="0.2">
      <c r="B3" s="3"/>
      <c r="C3" s="3"/>
      <c r="D3" s="3"/>
      <c r="E3" s="3"/>
      <c r="F3" s="461" t="s">
        <v>1113</v>
      </c>
    </row>
    <row r="4" spans="2:8" hidden="1" x14ac:dyDescent="0.2">
      <c r="B4" s="3"/>
      <c r="C4" s="3"/>
      <c r="D4" s="3"/>
      <c r="E4" s="3"/>
      <c r="F4" s="176"/>
    </row>
    <row r="5" spans="2:8" ht="42.75" customHeight="1" x14ac:dyDescent="0.2">
      <c r="B5" s="698" t="s">
        <v>885</v>
      </c>
      <c r="C5" s="699"/>
      <c r="D5" s="699"/>
      <c r="E5" s="699"/>
      <c r="F5" s="699"/>
    </row>
    <row r="6" spans="2:8" ht="11.25" customHeight="1" thickBot="1" x14ac:dyDescent="0.25">
      <c r="B6" s="3"/>
      <c r="C6" s="3"/>
      <c r="D6" s="3"/>
      <c r="E6" s="3"/>
      <c r="F6" s="56" t="s">
        <v>0</v>
      </c>
    </row>
    <row r="7" spans="2:8" ht="12.75" customHeight="1" x14ac:dyDescent="0.2">
      <c r="B7" s="700" t="s">
        <v>43</v>
      </c>
      <c r="C7" s="702" t="s">
        <v>41</v>
      </c>
      <c r="D7" s="276" t="s">
        <v>42</v>
      </c>
      <c r="E7" s="702" t="s">
        <v>93</v>
      </c>
      <c r="F7" s="696" t="s">
        <v>45</v>
      </c>
      <c r="G7" s="26"/>
    </row>
    <row r="8" spans="2:8" ht="21.75" customHeight="1" thickBot="1" x14ac:dyDescent="0.25">
      <c r="B8" s="701"/>
      <c r="C8" s="703"/>
      <c r="D8" s="70" t="s">
        <v>46</v>
      </c>
      <c r="E8" s="703"/>
      <c r="F8" s="697"/>
      <c r="G8" s="26"/>
    </row>
    <row r="9" spans="2:8" ht="13.5" customHeight="1" x14ac:dyDescent="0.2">
      <c r="B9" s="264" t="s">
        <v>382</v>
      </c>
      <c r="C9" s="113"/>
      <c r="D9" s="114"/>
      <c r="E9" s="114"/>
      <c r="F9" s="114"/>
      <c r="G9" s="26"/>
    </row>
    <row r="10" spans="2:8" x14ac:dyDescent="0.2">
      <c r="B10" s="217" t="s">
        <v>678</v>
      </c>
      <c r="C10" s="233">
        <f>SUM('2.működés'!C8)-E10</f>
        <v>1301934</v>
      </c>
      <c r="D10" s="233">
        <f>SUM('9.Hivatal'!R88+'9.Hivatal'!R89+'9.Hivatal'!R90+'9.Hivatal'!R92+'9.Hivatal'!R91)</f>
        <v>67535</v>
      </c>
      <c r="E10" s="232">
        <f t="shared" ref="E10:E15" si="0">SUM(D10:D10)</f>
        <v>67535</v>
      </c>
      <c r="F10" s="232">
        <f t="shared" ref="F10:F15" si="1">SUM(C10+E10)</f>
        <v>1369469</v>
      </c>
      <c r="G10" s="26"/>
      <c r="H10" s="74"/>
    </row>
    <row r="11" spans="2:8" x14ac:dyDescent="0.2">
      <c r="B11" s="217" t="s">
        <v>1071</v>
      </c>
      <c r="C11" s="233">
        <f>SUM('2.működés'!D8)-E11</f>
        <v>1306156</v>
      </c>
      <c r="D11" s="233">
        <f>SUM('9.Hivatal'!S88+'9.Hivatal'!S89+'9.Hivatal'!S90+'9.Hivatal'!S92+'9.Hivatal'!S91)</f>
        <v>68983</v>
      </c>
      <c r="E11" s="232">
        <f>SUM(D11:D11)</f>
        <v>68983</v>
      </c>
      <c r="F11" s="232">
        <f>SUM(C11+E11)</f>
        <v>1375139</v>
      </c>
      <c r="G11" s="26"/>
      <c r="H11" s="74"/>
    </row>
    <row r="12" spans="2:8" x14ac:dyDescent="0.2">
      <c r="B12" s="217" t="s">
        <v>1193</v>
      </c>
      <c r="C12" s="233">
        <f>SUM('2.működés'!E8)-E12</f>
        <v>1320891</v>
      </c>
      <c r="D12" s="233">
        <f>SUM('9.Hivatal'!T88+'9.Hivatal'!T89+'9.Hivatal'!T90+'9.Hivatal'!T92+'9.Hivatal'!T91)</f>
        <v>70816</v>
      </c>
      <c r="E12" s="232">
        <f t="shared" si="0"/>
        <v>70816</v>
      </c>
      <c r="F12" s="232">
        <f t="shared" si="1"/>
        <v>1391707</v>
      </c>
      <c r="G12" s="26"/>
      <c r="H12" s="74"/>
    </row>
    <row r="13" spans="2:8" hidden="1" x14ac:dyDescent="0.2">
      <c r="B13" s="217" t="s">
        <v>586</v>
      </c>
      <c r="C13" s="233">
        <f>SUM('2.működés'!F8)-E13</f>
        <v>1207189</v>
      </c>
      <c r="D13" s="233">
        <f>SUM('9.Hivatal'!U86+'9.Hivatal'!U87+'9.Hivatal'!U88)</f>
        <v>167950</v>
      </c>
      <c r="E13" s="232">
        <f t="shared" si="0"/>
        <v>167950</v>
      </c>
      <c r="F13" s="232">
        <f t="shared" si="1"/>
        <v>1375139</v>
      </c>
      <c r="G13" s="26"/>
      <c r="H13" s="74"/>
    </row>
    <row r="14" spans="2:8" hidden="1" x14ac:dyDescent="0.2">
      <c r="B14" s="217" t="s">
        <v>444</v>
      </c>
      <c r="C14" s="233"/>
      <c r="D14" s="233"/>
      <c r="E14" s="232"/>
      <c r="F14" s="232"/>
      <c r="G14" s="26"/>
      <c r="H14" s="74"/>
    </row>
    <row r="15" spans="2:8" ht="13.5" hidden="1" customHeight="1" x14ac:dyDescent="0.2">
      <c r="B15" s="217" t="s">
        <v>577</v>
      </c>
      <c r="C15" s="233">
        <f>SUM('2.működés'!G8)-E15</f>
        <v>1207189</v>
      </c>
      <c r="D15" s="233">
        <f>SUM('9.Hivatal'!V86+'9.Hivatal'!V87+'9.Hivatal'!V88)</f>
        <v>167950</v>
      </c>
      <c r="E15" s="232">
        <f t="shared" si="0"/>
        <v>167950</v>
      </c>
      <c r="F15" s="232">
        <f t="shared" si="1"/>
        <v>1375139</v>
      </c>
      <c r="G15" s="26"/>
      <c r="H15" s="208"/>
    </row>
    <row r="16" spans="2:8" ht="6.75" customHeight="1" x14ac:dyDescent="0.2">
      <c r="B16" s="217"/>
      <c r="C16" s="233"/>
      <c r="D16" s="233"/>
      <c r="E16" s="232"/>
      <c r="F16" s="232"/>
      <c r="G16" s="26"/>
    </row>
    <row r="17" spans="2:9" ht="13.5" customHeight="1" x14ac:dyDescent="0.2">
      <c r="B17" s="262" t="s">
        <v>341</v>
      </c>
      <c r="C17" s="233"/>
      <c r="D17" s="233"/>
      <c r="E17" s="233"/>
      <c r="F17" s="232"/>
      <c r="G17" s="26"/>
      <c r="H17" s="74"/>
    </row>
    <row r="18" spans="2:9" ht="13.5" customHeight="1" x14ac:dyDescent="0.2">
      <c r="B18" s="217" t="str">
        <f t="shared" ref="B18:B23" si="2">B10</f>
        <v>2024. évi eredeti előirányzat</v>
      </c>
      <c r="C18" s="233">
        <f>'1.Bev-kiad.'!C16+'1.Bev-kiad.'!C40+'1.Bev-kiad.'!C50</f>
        <v>150335</v>
      </c>
      <c r="D18" s="233">
        <v>0</v>
      </c>
      <c r="E18" s="232">
        <v>0</v>
      </c>
      <c r="F18" s="232">
        <f t="shared" ref="F18:F23" si="3">SUM(C18+E18)</f>
        <v>150335</v>
      </c>
      <c r="G18" s="26"/>
      <c r="H18" s="74"/>
    </row>
    <row r="19" spans="2:9" ht="13.5" customHeight="1" x14ac:dyDescent="0.2">
      <c r="B19" s="217" t="str">
        <f t="shared" si="2"/>
        <v>Módosított előirányzat 2024.06.hó</v>
      </c>
      <c r="C19" s="233">
        <f>'1.Bev-kiad.'!D16+'1.Bev-kiad.'!D40+'1.Bev-kiad.'!D50</f>
        <v>186486</v>
      </c>
      <c r="D19" s="233">
        <v>0</v>
      </c>
      <c r="E19" s="232">
        <f>SUM(D19:D19)</f>
        <v>0</v>
      </c>
      <c r="F19" s="232">
        <f t="shared" si="3"/>
        <v>186486</v>
      </c>
      <c r="G19" s="26"/>
      <c r="H19" s="74"/>
    </row>
    <row r="20" spans="2:9" ht="13.5" customHeight="1" x14ac:dyDescent="0.2">
      <c r="B20" s="217" t="str">
        <f t="shared" si="2"/>
        <v>Módosított előirányzat 2024.09.hó</v>
      </c>
      <c r="C20" s="233">
        <f>'1.Bev-kiad.'!E16+'1.Bev-kiad.'!E40+'1.Bev-kiad.'!E50</f>
        <v>186486</v>
      </c>
      <c r="D20" s="233">
        <v>0</v>
      </c>
      <c r="E20" s="232">
        <f>SUM(D20:D20)</f>
        <v>0</v>
      </c>
      <c r="F20" s="232">
        <f t="shared" si="3"/>
        <v>186486</v>
      </c>
      <c r="G20" s="26"/>
      <c r="H20" s="74"/>
    </row>
    <row r="21" spans="2:9" ht="13.5" hidden="1" customHeight="1" x14ac:dyDescent="0.2">
      <c r="B21" s="217" t="str">
        <f t="shared" si="2"/>
        <v>Módosított előirányzat 2021.12.31</v>
      </c>
      <c r="C21" s="233">
        <f>'1.Bev-kiad.'!F16+'1.Bev-kiad.'!F40+'1.Bev-kiad.'!F50</f>
        <v>150335</v>
      </c>
      <c r="D21" s="233">
        <v>0</v>
      </c>
      <c r="E21" s="232">
        <f>SUM(D21:D21)</f>
        <v>0</v>
      </c>
      <c r="F21" s="232">
        <f t="shared" si="3"/>
        <v>150335</v>
      </c>
      <c r="G21" s="26"/>
      <c r="H21" s="74"/>
    </row>
    <row r="22" spans="2:9" ht="13.5" hidden="1" customHeight="1" x14ac:dyDescent="0.2">
      <c r="B22" s="217" t="str">
        <f t="shared" si="2"/>
        <v>Beszámoló előtti ei.mód.</v>
      </c>
      <c r="C22" s="233"/>
      <c r="D22" s="233">
        <v>0</v>
      </c>
      <c r="E22" s="232">
        <f>SUM(D22:D22)</f>
        <v>0</v>
      </c>
      <c r="F22" s="232">
        <f t="shared" si="3"/>
        <v>0</v>
      </c>
      <c r="G22" s="26"/>
      <c r="H22" s="74"/>
    </row>
    <row r="23" spans="2:9" ht="13.5" hidden="1" customHeight="1" x14ac:dyDescent="0.2">
      <c r="B23" s="217" t="str">
        <f t="shared" si="2"/>
        <v>Teljesítés 2021.12.31.</v>
      </c>
      <c r="C23" s="233">
        <f>'1.Bev-kiad.'!G16+'1.Bev-kiad.'!G40+'1.Bev-kiad.'!G50</f>
        <v>150335</v>
      </c>
      <c r="D23" s="233">
        <v>0</v>
      </c>
      <c r="E23" s="232">
        <f>SUM(D23:D23)</f>
        <v>0</v>
      </c>
      <c r="F23" s="232">
        <f t="shared" si="3"/>
        <v>150335</v>
      </c>
      <c r="G23" s="26"/>
      <c r="H23" s="74"/>
    </row>
    <row r="24" spans="2:9" ht="7.5" customHeight="1" x14ac:dyDescent="0.2">
      <c r="B24" s="217"/>
      <c r="C24" s="233"/>
      <c r="D24" s="233"/>
      <c r="E24" s="233"/>
      <c r="F24" s="232"/>
      <c r="G24" s="26"/>
      <c r="H24" s="74"/>
    </row>
    <row r="25" spans="2:9" ht="15.75" customHeight="1" x14ac:dyDescent="0.2">
      <c r="B25" s="262" t="s">
        <v>47</v>
      </c>
      <c r="C25" s="233"/>
      <c r="D25" s="233"/>
      <c r="E25" s="233"/>
      <c r="F25" s="233"/>
      <c r="G25" s="27"/>
      <c r="I25" s="74"/>
    </row>
    <row r="26" spans="2:9" x14ac:dyDescent="0.2">
      <c r="B26" s="217" t="str">
        <f t="shared" ref="B26:B31" si="4">B18</f>
        <v>2024. évi eredeti előirányzat</v>
      </c>
      <c r="C26" s="233">
        <f t="shared" ref="C26:C31" si="5">SUM(C34+C58)</f>
        <v>1963876</v>
      </c>
      <c r="D26" s="233">
        <f t="shared" ref="D26:D31" si="6">SUM(D42+D50+D34)</f>
        <v>215251</v>
      </c>
      <c r="E26" s="232">
        <f t="shared" ref="E26:E31" si="7">SUM(D26:D26)</f>
        <v>215251</v>
      </c>
      <c r="F26" s="232">
        <f t="shared" ref="F26:F31" si="8">SUM(C26+E26)</f>
        <v>2179127</v>
      </c>
      <c r="G26" s="160"/>
    </row>
    <row r="27" spans="2:9" x14ac:dyDescent="0.2">
      <c r="B27" s="217" t="str">
        <f t="shared" si="4"/>
        <v>Módosított előirányzat 2024.06.hó</v>
      </c>
      <c r="C27" s="233">
        <f t="shared" si="5"/>
        <v>1962569</v>
      </c>
      <c r="D27" s="233">
        <f t="shared" si="6"/>
        <v>217251</v>
      </c>
      <c r="E27" s="232">
        <f t="shared" si="7"/>
        <v>217251</v>
      </c>
      <c r="F27" s="232">
        <f t="shared" si="8"/>
        <v>2179820</v>
      </c>
      <c r="G27" s="160"/>
    </row>
    <row r="28" spans="2:9" x14ac:dyDescent="0.2">
      <c r="B28" s="217" t="str">
        <f t="shared" si="4"/>
        <v>Módosított előirányzat 2024.09.hó</v>
      </c>
      <c r="C28" s="233">
        <f t="shared" si="5"/>
        <v>1962569</v>
      </c>
      <c r="D28" s="233">
        <f t="shared" si="6"/>
        <v>217251</v>
      </c>
      <c r="E28" s="232">
        <f t="shared" si="7"/>
        <v>217251</v>
      </c>
      <c r="F28" s="232">
        <f t="shared" si="8"/>
        <v>2179820</v>
      </c>
      <c r="G28" s="26"/>
    </row>
    <row r="29" spans="2:9" hidden="1" x14ac:dyDescent="0.2">
      <c r="B29" s="217" t="str">
        <f t="shared" si="4"/>
        <v>Módosított előirányzat 2021.12.31</v>
      </c>
      <c r="C29" s="233">
        <f t="shared" si="5"/>
        <v>1922573</v>
      </c>
      <c r="D29" s="233">
        <f t="shared" si="6"/>
        <v>55345</v>
      </c>
      <c r="E29" s="232">
        <f t="shared" si="7"/>
        <v>55345</v>
      </c>
      <c r="F29" s="232">
        <f t="shared" si="8"/>
        <v>1977918</v>
      </c>
      <c r="G29" s="26"/>
    </row>
    <row r="30" spans="2:9" hidden="1" x14ac:dyDescent="0.2">
      <c r="B30" s="217" t="str">
        <f t="shared" si="4"/>
        <v>Beszámoló előtti ei.mód.</v>
      </c>
      <c r="C30" s="233">
        <f t="shared" si="5"/>
        <v>350000</v>
      </c>
      <c r="D30" s="233">
        <f t="shared" si="6"/>
        <v>0</v>
      </c>
      <c r="E30" s="232">
        <f t="shared" si="7"/>
        <v>0</v>
      </c>
      <c r="F30" s="232">
        <f t="shared" si="8"/>
        <v>350000</v>
      </c>
      <c r="G30" s="26"/>
    </row>
    <row r="31" spans="2:9" hidden="1" x14ac:dyDescent="0.2">
      <c r="B31" s="217" t="str">
        <f t="shared" si="4"/>
        <v>Teljesítés 2021.12.31.</v>
      </c>
      <c r="C31" s="233">
        <f t="shared" si="5"/>
        <v>1572573</v>
      </c>
      <c r="D31" s="233">
        <f t="shared" si="6"/>
        <v>55345</v>
      </c>
      <c r="E31" s="232">
        <f t="shared" si="7"/>
        <v>55345</v>
      </c>
      <c r="F31" s="232">
        <f t="shared" si="8"/>
        <v>1627918</v>
      </c>
      <c r="G31" s="160"/>
    </row>
    <row r="32" spans="2:9" ht="6" customHeight="1" x14ac:dyDescent="0.2">
      <c r="B32" s="217"/>
      <c r="C32" s="233"/>
      <c r="D32" s="233"/>
      <c r="E32" s="232"/>
      <c r="F32" s="232"/>
      <c r="G32" s="27"/>
    </row>
    <row r="33" spans="2:9" ht="14.25" customHeight="1" x14ac:dyDescent="0.2">
      <c r="B33" s="273" t="s">
        <v>395</v>
      </c>
      <c r="C33" s="233"/>
      <c r="D33" s="233"/>
      <c r="E33" s="232"/>
      <c r="F33" s="232"/>
      <c r="G33" s="27"/>
    </row>
    <row r="34" spans="2:9" ht="14.25" customHeight="1" x14ac:dyDescent="0.2">
      <c r="B34" s="217" t="str">
        <f t="shared" ref="B34:B39" si="9">B26</f>
        <v>2024. évi eredeti előirányzat</v>
      </c>
      <c r="C34" s="233">
        <f>SUM('1.Bev-kiad.'!C56)-D34</f>
        <v>1613876</v>
      </c>
      <c r="D34" s="233">
        <f>SUM('9.Hivatal'!R86)</f>
        <v>15349</v>
      </c>
      <c r="E34" s="232">
        <f t="shared" ref="E34:E39" si="10">SUM(D34:D34)</f>
        <v>15349</v>
      </c>
      <c r="F34" s="232">
        <f t="shared" ref="F34:F39" si="11">SUM(C34+E34)</f>
        <v>1629225</v>
      </c>
      <c r="G34" s="27"/>
    </row>
    <row r="35" spans="2:9" ht="14.25" customHeight="1" x14ac:dyDescent="0.2">
      <c r="B35" s="217" t="str">
        <f t="shared" si="9"/>
        <v>Módosított előirányzat 2024.06.hó</v>
      </c>
      <c r="C35" s="233">
        <f>SUM('1.Bev-kiad.'!D56)-D35</f>
        <v>1612569</v>
      </c>
      <c r="D35" s="233">
        <f>SUM('9.Hivatal'!S86)</f>
        <v>15349</v>
      </c>
      <c r="E35" s="232">
        <f t="shared" si="10"/>
        <v>15349</v>
      </c>
      <c r="F35" s="232">
        <f t="shared" si="11"/>
        <v>1627918</v>
      </c>
      <c r="G35" s="27"/>
    </row>
    <row r="36" spans="2:9" ht="14.25" customHeight="1" x14ac:dyDescent="0.2">
      <c r="B36" s="217" t="str">
        <f t="shared" si="9"/>
        <v>Módosított előirányzat 2024.09.hó</v>
      </c>
      <c r="C36" s="233">
        <f>SUM('1.Bev-kiad.'!E56)-D36</f>
        <v>1612569</v>
      </c>
      <c r="D36" s="233">
        <f>SUM('9.Hivatal'!T86)</f>
        <v>15349</v>
      </c>
      <c r="E36" s="232">
        <f t="shared" si="10"/>
        <v>15349</v>
      </c>
      <c r="F36" s="232">
        <f t="shared" si="11"/>
        <v>1627918</v>
      </c>
      <c r="G36" s="27"/>
    </row>
    <row r="37" spans="2:9" ht="14.25" hidden="1" customHeight="1" x14ac:dyDescent="0.2">
      <c r="B37" s="217" t="str">
        <f t="shared" si="9"/>
        <v>Módosított előirányzat 2021.12.31</v>
      </c>
      <c r="C37" s="233">
        <f>SUM('1.Bev-kiad.'!F56)-D37</f>
        <v>1572573</v>
      </c>
      <c r="D37" s="233">
        <f>SUM('9.Hivatal'!U89)</f>
        <v>55345</v>
      </c>
      <c r="E37" s="232">
        <f t="shared" si="10"/>
        <v>55345</v>
      </c>
      <c r="F37" s="232">
        <f t="shared" si="11"/>
        <v>1627918</v>
      </c>
      <c r="G37" s="27"/>
    </row>
    <row r="38" spans="2:9" ht="14.25" hidden="1" customHeight="1" x14ac:dyDescent="0.2">
      <c r="B38" s="217" t="str">
        <f t="shared" si="9"/>
        <v>Beszámoló előtti ei.mód.</v>
      </c>
      <c r="C38" s="233"/>
      <c r="D38" s="233"/>
      <c r="E38" s="232">
        <f t="shared" si="10"/>
        <v>0</v>
      </c>
      <c r="F38" s="232">
        <f t="shared" si="11"/>
        <v>0</v>
      </c>
      <c r="G38" s="27"/>
    </row>
    <row r="39" spans="2:9" ht="14.25" hidden="1" customHeight="1" x14ac:dyDescent="0.2">
      <c r="B39" s="217" t="str">
        <f t="shared" si="9"/>
        <v>Teljesítés 2021.12.31.</v>
      </c>
      <c r="C39" s="233">
        <f>SUM('1.Bev-kiad.'!G56)-D39</f>
        <v>1572573</v>
      </c>
      <c r="D39" s="233">
        <f>SUM('9.Hivatal'!V89)</f>
        <v>55345</v>
      </c>
      <c r="E39" s="232">
        <f t="shared" si="10"/>
        <v>55345</v>
      </c>
      <c r="F39" s="232">
        <f t="shared" si="11"/>
        <v>1627918</v>
      </c>
      <c r="G39" s="27"/>
    </row>
    <row r="40" spans="2:9" ht="5.25" customHeight="1" x14ac:dyDescent="0.2">
      <c r="B40" s="217"/>
      <c r="C40" s="233"/>
      <c r="D40" s="233"/>
      <c r="E40" s="232"/>
      <c r="F40" s="232"/>
      <c r="G40" s="27"/>
    </row>
    <row r="41" spans="2:9" x14ac:dyDescent="0.2">
      <c r="B41" s="274" t="s">
        <v>529</v>
      </c>
      <c r="C41" s="233"/>
      <c r="D41" s="233"/>
      <c r="E41" s="233"/>
      <c r="F41" s="233"/>
      <c r="G41" s="73"/>
    </row>
    <row r="42" spans="2:9" x14ac:dyDescent="0.2">
      <c r="B42" s="217" t="str">
        <f t="shared" ref="B42:B47" si="12">B34</f>
        <v>2024. évi eredeti előirányzat</v>
      </c>
      <c r="C42" s="233">
        <v>0</v>
      </c>
      <c r="D42" s="233">
        <f>SUM('9.Hivatal'!R87)</f>
        <v>152912</v>
      </c>
      <c r="E42" s="232">
        <f t="shared" ref="E42:E47" si="13">SUM(D42:D42)</f>
        <v>152912</v>
      </c>
      <c r="F42" s="232">
        <f t="shared" ref="F42:F47" si="14">SUM(C42+E42)</f>
        <v>152912</v>
      </c>
      <c r="G42" s="160"/>
      <c r="H42" s="27"/>
      <c r="I42" s="27"/>
    </row>
    <row r="43" spans="2:9" x14ac:dyDescent="0.2">
      <c r="B43" s="217" t="str">
        <f t="shared" si="12"/>
        <v>Módosított előirányzat 2024.06.hó</v>
      </c>
      <c r="C43" s="233">
        <v>0</v>
      </c>
      <c r="D43" s="233">
        <f>SUM('9.Hivatal'!S87)</f>
        <v>152912</v>
      </c>
      <c r="E43" s="232">
        <f t="shared" si="13"/>
        <v>152912</v>
      </c>
      <c r="F43" s="232">
        <f t="shared" si="14"/>
        <v>152912</v>
      </c>
      <c r="G43" s="160"/>
      <c r="H43" s="27"/>
      <c r="I43" s="27"/>
    </row>
    <row r="44" spans="2:9" x14ac:dyDescent="0.2">
      <c r="B44" s="217" t="str">
        <f t="shared" si="12"/>
        <v>Módosított előirányzat 2024.09.hó</v>
      </c>
      <c r="C44" s="233">
        <v>0</v>
      </c>
      <c r="D44" s="233">
        <f>SUM('9.Hivatal'!T87)</f>
        <v>152912</v>
      </c>
      <c r="E44" s="232">
        <f t="shared" si="13"/>
        <v>152912</v>
      </c>
      <c r="F44" s="232">
        <f t="shared" si="14"/>
        <v>152912</v>
      </c>
      <c r="G44" s="160"/>
      <c r="H44" s="27"/>
      <c r="I44" s="27"/>
    </row>
    <row r="45" spans="2:9" hidden="1" x14ac:dyDescent="0.2">
      <c r="B45" s="217" t="str">
        <f t="shared" si="12"/>
        <v>Módosított előirányzat 2021.12.31</v>
      </c>
      <c r="C45" s="233"/>
      <c r="D45" s="233">
        <f>SUM('9.Hivatal'!U85)</f>
        <v>0</v>
      </c>
      <c r="E45" s="232">
        <f t="shared" si="13"/>
        <v>0</v>
      </c>
      <c r="F45" s="232">
        <f t="shared" si="14"/>
        <v>0</v>
      </c>
      <c r="G45" s="160"/>
      <c r="H45" s="27"/>
      <c r="I45" s="27"/>
    </row>
    <row r="46" spans="2:9" hidden="1" x14ac:dyDescent="0.2">
      <c r="B46" s="217" t="str">
        <f t="shared" si="12"/>
        <v>Beszámoló előtti ei.mód.</v>
      </c>
      <c r="C46" s="233"/>
      <c r="D46" s="233">
        <v>0</v>
      </c>
      <c r="E46" s="232">
        <f t="shared" si="13"/>
        <v>0</v>
      </c>
      <c r="F46" s="232">
        <f t="shared" si="14"/>
        <v>0</v>
      </c>
      <c r="G46" s="160"/>
      <c r="H46" s="27"/>
      <c r="I46" s="27"/>
    </row>
    <row r="47" spans="2:9" ht="13.5" hidden="1" customHeight="1" x14ac:dyDescent="0.2">
      <c r="B47" s="217" t="str">
        <f t="shared" si="12"/>
        <v>Teljesítés 2021.12.31.</v>
      </c>
      <c r="C47" s="233"/>
      <c r="D47" s="233">
        <f>SUM('9.Hivatal'!V85)</f>
        <v>0</v>
      </c>
      <c r="E47" s="232">
        <f t="shared" si="13"/>
        <v>0</v>
      </c>
      <c r="F47" s="232">
        <f t="shared" si="14"/>
        <v>0</v>
      </c>
      <c r="G47" s="160"/>
      <c r="H47" s="27"/>
      <c r="I47" s="27"/>
    </row>
    <row r="48" spans="2:9" ht="6" customHeight="1" x14ac:dyDescent="0.2">
      <c r="B48" s="217"/>
      <c r="C48" s="233"/>
      <c r="D48" s="233"/>
      <c r="E48" s="232"/>
      <c r="F48" s="232"/>
      <c r="G48" s="27"/>
      <c r="H48" s="27"/>
      <c r="I48" s="27"/>
    </row>
    <row r="49" spans="2:11" ht="26.25" customHeight="1" x14ac:dyDescent="0.2">
      <c r="B49" s="274" t="s">
        <v>48</v>
      </c>
      <c r="C49" s="233"/>
      <c r="D49" s="233"/>
      <c r="E49" s="233"/>
      <c r="F49" s="233"/>
      <c r="G49" s="26"/>
      <c r="H49" s="26"/>
      <c r="I49" s="26"/>
    </row>
    <row r="50" spans="2:11" x14ac:dyDescent="0.2">
      <c r="B50" s="217" t="str">
        <f t="shared" ref="B50:B55" si="15">B42</f>
        <v>2024. évi eredeti előirányzat</v>
      </c>
      <c r="C50" s="233">
        <v>0</v>
      </c>
      <c r="D50" s="233">
        <f>SUM('9.Hivatal'!R95)</f>
        <v>46990</v>
      </c>
      <c r="E50" s="232">
        <f t="shared" ref="E50:E55" si="16">SUM(D50:D50)</f>
        <v>46990</v>
      </c>
      <c r="F50" s="232">
        <f t="shared" ref="F50:F55" si="17">SUM(E50)</f>
        <v>46990</v>
      </c>
      <c r="G50" s="27">
        <f t="shared" ref="G50:G55" si="18">SUM(E66-E10-E34)</f>
        <v>199902</v>
      </c>
      <c r="H50" s="27"/>
      <c r="I50" s="27"/>
    </row>
    <row r="51" spans="2:11" x14ac:dyDescent="0.2">
      <c r="B51" s="217" t="str">
        <f t="shared" si="15"/>
        <v>Módosított előirányzat 2024.06.hó</v>
      </c>
      <c r="C51" s="233">
        <v>0</v>
      </c>
      <c r="D51" s="233">
        <f>SUM('9.Hivatal'!S95)</f>
        <v>48990</v>
      </c>
      <c r="E51" s="232">
        <f t="shared" si="16"/>
        <v>48990</v>
      </c>
      <c r="F51" s="232">
        <f t="shared" si="17"/>
        <v>48990</v>
      </c>
      <c r="G51" s="27">
        <f t="shared" si="18"/>
        <v>201902</v>
      </c>
      <c r="H51" s="27"/>
      <c r="I51" s="27"/>
    </row>
    <row r="52" spans="2:11" x14ac:dyDescent="0.2">
      <c r="B52" s="217" t="str">
        <f t="shared" si="15"/>
        <v>Módosított előirányzat 2024.09.hó</v>
      </c>
      <c r="C52" s="233">
        <v>0</v>
      </c>
      <c r="D52" s="233">
        <f>SUM('9.Hivatal'!T95)</f>
        <v>48990</v>
      </c>
      <c r="E52" s="232">
        <f t="shared" si="16"/>
        <v>48990</v>
      </c>
      <c r="F52" s="232">
        <f t="shared" si="17"/>
        <v>48990</v>
      </c>
      <c r="G52" s="27">
        <f t="shared" si="18"/>
        <v>201902</v>
      </c>
      <c r="H52" s="27"/>
      <c r="I52" s="27"/>
    </row>
    <row r="53" spans="2:11" hidden="1" x14ac:dyDescent="0.2">
      <c r="B53" s="217" t="str">
        <f t="shared" si="15"/>
        <v>Módosított előirányzat 2021.12.31</v>
      </c>
      <c r="C53" s="233"/>
      <c r="D53" s="233">
        <f>SUM('9.Hivatal'!U93)</f>
        <v>0</v>
      </c>
      <c r="E53" s="232">
        <f t="shared" si="16"/>
        <v>0</v>
      </c>
      <c r="F53" s="232">
        <f t="shared" si="17"/>
        <v>0</v>
      </c>
      <c r="G53" s="27">
        <f t="shared" si="18"/>
        <v>0</v>
      </c>
      <c r="H53" s="27"/>
      <c r="I53" s="27"/>
    </row>
    <row r="54" spans="2:11" hidden="1" x14ac:dyDescent="0.2">
      <c r="B54" s="217" t="str">
        <f t="shared" si="15"/>
        <v>Beszámoló előtti ei.mód.</v>
      </c>
      <c r="C54" s="233"/>
      <c r="D54" s="233">
        <v>0</v>
      </c>
      <c r="E54" s="232">
        <f t="shared" si="16"/>
        <v>0</v>
      </c>
      <c r="F54" s="232">
        <f t="shared" si="17"/>
        <v>0</v>
      </c>
      <c r="G54" s="27">
        <f t="shared" si="18"/>
        <v>0</v>
      </c>
      <c r="H54" s="27"/>
      <c r="I54" s="27"/>
    </row>
    <row r="55" spans="2:11" ht="13.5" hidden="1" customHeight="1" x14ac:dyDescent="0.2">
      <c r="B55" s="217" t="str">
        <f t="shared" si="15"/>
        <v>Teljesítés 2021.12.31.</v>
      </c>
      <c r="C55" s="233"/>
      <c r="D55" s="233">
        <f>SUM('9.Hivatal'!V93)</f>
        <v>0</v>
      </c>
      <c r="E55" s="232">
        <f t="shared" si="16"/>
        <v>0</v>
      </c>
      <c r="F55" s="232">
        <f t="shared" si="17"/>
        <v>0</v>
      </c>
      <c r="G55" s="27">
        <f t="shared" si="18"/>
        <v>0</v>
      </c>
      <c r="H55" s="27"/>
      <c r="I55" s="27"/>
    </row>
    <row r="56" spans="2:11" ht="6.75" customHeight="1" x14ac:dyDescent="0.2">
      <c r="B56" s="217"/>
      <c r="C56" s="233"/>
      <c r="D56" s="233"/>
      <c r="E56" s="232"/>
      <c r="F56" s="232"/>
      <c r="G56" s="27"/>
      <c r="H56" s="27"/>
      <c r="I56" s="27"/>
    </row>
    <row r="57" spans="2:11" ht="13.5" customHeight="1" x14ac:dyDescent="0.2">
      <c r="B57" s="274" t="s">
        <v>435</v>
      </c>
      <c r="C57" s="265"/>
      <c r="D57" s="265"/>
      <c r="E57" s="266"/>
      <c r="F57" s="266"/>
      <c r="G57" s="27"/>
      <c r="H57" s="27"/>
      <c r="I57" s="27"/>
    </row>
    <row r="58" spans="2:11" ht="14.25" customHeight="1" x14ac:dyDescent="0.2">
      <c r="B58" s="283" t="str">
        <f t="shared" ref="B58:B63" si="19">B50</f>
        <v>2024. évi eredeti előirányzat</v>
      </c>
      <c r="C58" s="265">
        <f>SUM('1.Bev-kiad.'!C60)</f>
        <v>350000</v>
      </c>
      <c r="D58" s="265">
        <v>0</v>
      </c>
      <c r="E58" s="232">
        <f t="shared" ref="E58:E60" si="20">SUM(D58:D58)</f>
        <v>0</v>
      </c>
      <c r="F58" s="232">
        <f t="shared" ref="F58:F63" si="21">SUM(C58+E58)</f>
        <v>350000</v>
      </c>
      <c r="G58" s="27"/>
      <c r="H58" s="27"/>
      <c r="I58" s="27"/>
      <c r="K58" s="74"/>
    </row>
    <row r="59" spans="2:11" ht="13.5" customHeight="1" x14ac:dyDescent="0.2">
      <c r="B59" s="283" t="str">
        <f t="shared" si="19"/>
        <v>Módosított előirányzat 2024.06.hó</v>
      </c>
      <c r="C59" s="265">
        <f>'1.Bev-kiad.'!D60</f>
        <v>350000</v>
      </c>
      <c r="D59" s="265">
        <v>0</v>
      </c>
      <c r="E59" s="232">
        <f t="shared" si="20"/>
        <v>0</v>
      </c>
      <c r="F59" s="72">
        <f t="shared" si="21"/>
        <v>350000</v>
      </c>
      <c r="G59" s="27"/>
      <c r="H59" s="27"/>
      <c r="I59" s="27"/>
    </row>
    <row r="60" spans="2:11" ht="13.5" customHeight="1" x14ac:dyDescent="0.2">
      <c r="B60" s="283" t="str">
        <f t="shared" si="19"/>
        <v>Módosított előirányzat 2024.09.hó</v>
      </c>
      <c r="C60" s="265">
        <f>'1.Bev-kiad.'!E60</f>
        <v>350000</v>
      </c>
      <c r="D60" s="265">
        <v>0</v>
      </c>
      <c r="E60" s="232">
        <f t="shared" si="20"/>
        <v>0</v>
      </c>
      <c r="F60" s="72">
        <f t="shared" si="21"/>
        <v>350000</v>
      </c>
      <c r="G60" s="27"/>
      <c r="H60" s="27"/>
      <c r="I60" s="27"/>
    </row>
    <row r="61" spans="2:11" ht="13.5" hidden="1" customHeight="1" x14ac:dyDescent="0.2">
      <c r="B61" s="283" t="str">
        <f t="shared" si="19"/>
        <v>Módosított előirányzat 2021.12.31</v>
      </c>
      <c r="C61" s="265">
        <f>'1.Bev-kiad.'!F60</f>
        <v>350000</v>
      </c>
      <c r="D61" s="265"/>
      <c r="E61" s="266"/>
      <c r="F61" s="72">
        <f t="shared" si="21"/>
        <v>350000</v>
      </c>
      <c r="G61" s="27"/>
      <c r="H61" s="27"/>
      <c r="I61" s="27"/>
    </row>
    <row r="62" spans="2:11" ht="13.5" hidden="1" customHeight="1" x14ac:dyDescent="0.2">
      <c r="B62" s="283" t="str">
        <f t="shared" si="19"/>
        <v>Beszámoló előtti ei.mód.</v>
      </c>
      <c r="C62" s="265">
        <f>'1.Bev-kiad.'!G60</f>
        <v>350000</v>
      </c>
      <c r="D62" s="265"/>
      <c r="E62" s="266"/>
      <c r="F62" s="72">
        <f t="shared" si="21"/>
        <v>350000</v>
      </c>
      <c r="G62" s="27"/>
      <c r="H62" s="27"/>
      <c r="I62" s="27"/>
    </row>
    <row r="63" spans="2:11" ht="13.5" hidden="1" customHeight="1" x14ac:dyDescent="0.2">
      <c r="B63" s="283" t="str">
        <f t="shared" si="19"/>
        <v>Teljesítés 2021.12.31.</v>
      </c>
      <c r="C63" s="265">
        <f>'1.Bev-kiad.'!H60</f>
        <v>0</v>
      </c>
      <c r="D63" s="265"/>
      <c r="E63" s="266"/>
      <c r="F63" s="72">
        <f t="shared" si="21"/>
        <v>0</v>
      </c>
      <c r="G63" s="27"/>
      <c r="H63" s="27"/>
      <c r="I63" s="27"/>
    </row>
    <row r="64" spans="2:11" ht="5.25" customHeight="1" thickBot="1" x14ac:dyDescent="0.25">
      <c r="B64" s="283"/>
      <c r="C64" s="265"/>
      <c r="D64" s="265"/>
      <c r="E64" s="266"/>
      <c r="F64" s="72"/>
      <c r="G64" s="27"/>
      <c r="H64" s="27"/>
      <c r="I64" s="27"/>
    </row>
    <row r="65" spans="2:11" ht="14.25" customHeight="1" x14ac:dyDescent="0.2">
      <c r="B65" s="109" t="s">
        <v>49</v>
      </c>
      <c r="C65" s="234"/>
      <c r="D65" s="234"/>
      <c r="E65" s="234"/>
      <c r="F65" s="239"/>
      <c r="G65" s="27"/>
      <c r="H65" s="74"/>
    </row>
    <row r="66" spans="2:11" ht="14.25" customHeight="1" x14ac:dyDescent="0.2">
      <c r="B66" s="207" t="str">
        <f t="shared" ref="B66:B71" si="22">B10</f>
        <v>2024. évi eredeti előirányzat</v>
      </c>
      <c r="C66" s="236">
        <f t="shared" ref="C66:C71" si="23">SUM(C10+C26+C18)</f>
        <v>3416145</v>
      </c>
      <c r="D66" s="236">
        <f t="shared" ref="D66:D71" si="24">SUM(D10+D26)</f>
        <v>282786</v>
      </c>
      <c r="E66" s="236">
        <f t="shared" ref="E66:E71" si="25">SUM(D66:D66)</f>
        <v>282786</v>
      </c>
      <c r="F66" s="240">
        <f t="shared" ref="F66:F71" si="26">SUM(C66+E66)</f>
        <v>3698931</v>
      </c>
      <c r="G66" s="160"/>
      <c r="H66" s="208"/>
      <c r="I66" s="74"/>
    </row>
    <row r="67" spans="2:11" ht="14.25" customHeight="1" x14ac:dyDescent="0.2">
      <c r="B67" s="207" t="str">
        <f t="shared" si="22"/>
        <v>Módosított előirányzat 2024.06.hó</v>
      </c>
      <c r="C67" s="236">
        <f t="shared" si="23"/>
        <v>3455211</v>
      </c>
      <c r="D67" s="236">
        <f t="shared" si="24"/>
        <v>286234</v>
      </c>
      <c r="E67" s="236">
        <f t="shared" si="25"/>
        <v>286234</v>
      </c>
      <c r="F67" s="240">
        <f t="shared" si="26"/>
        <v>3741445</v>
      </c>
      <c r="G67" s="160"/>
      <c r="H67" s="208"/>
    </row>
    <row r="68" spans="2:11" ht="14.25" customHeight="1" x14ac:dyDescent="0.2">
      <c r="B68" s="207" t="str">
        <f t="shared" si="22"/>
        <v>Módosított előirányzat 2024.09.hó</v>
      </c>
      <c r="C68" s="236">
        <f t="shared" si="23"/>
        <v>3469946</v>
      </c>
      <c r="D68" s="236">
        <f t="shared" si="24"/>
        <v>288067</v>
      </c>
      <c r="E68" s="236">
        <f t="shared" si="25"/>
        <v>288067</v>
      </c>
      <c r="F68" s="240">
        <f t="shared" si="26"/>
        <v>3758013</v>
      </c>
      <c r="G68" s="160"/>
      <c r="H68" s="208"/>
    </row>
    <row r="69" spans="2:11" ht="14.25" hidden="1" customHeight="1" x14ac:dyDescent="0.2">
      <c r="B69" s="207" t="str">
        <f t="shared" si="22"/>
        <v>Módosított előirányzat 2021.12.31</v>
      </c>
      <c r="C69" s="236">
        <f t="shared" si="23"/>
        <v>3280097</v>
      </c>
      <c r="D69" s="236">
        <f t="shared" si="24"/>
        <v>223295</v>
      </c>
      <c r="E69" s="236">
        <f t="shared" si="25"/>
        <v>223295</v>
      </c>
      <c r="F69" s="240">
        <f t="shared" si="26"/>
        <v>3503392</v>
      </c>
      <c r="G69" s="160"/>
      <c r="H69" s="208"/>
    </row>
    <row r="70" spans="2:11" ht="14.25" hidden="1" customHeight="1" x14ac:dyDescent="0.2">
      <c r="B70" s="207" t="str">
        <f t="shared" si="22"/>
        <v>Beszámoló előtti ei.mód.</v>
      </c>
      <c r="C70" s="236">
        <f t="shared" si="23"/>
        <v>350000</v>
      </c>
      <c r="D70" s="236">
        <f t="shared" si="24"/>
        <v>0</v>
      </c>
      <c r="E70" s="236">
        <f t="shared" si="25"/>
        <v>0</v>
      </c>
      <c r="F70" s="240">
        <f t="shared" si="26"/>
        <v>350000</v>
      </c>
      <c r="G70" s="160"/>
      <c r="H70" s="208"/>
    </row>
    <row r="71" spans="2:11" hidden="1" x14ac:dyDescent="0.2">
      <c r="B71" s="207" t="str">
        <f t="shared" si="22"/>
        <v>Teljesítés 2021.12.31.</v>
      </c>
      <c r="C71" s="236">
        <f t="shared" si="23"/>
        <v>2930097</v>
      </c>
      <c r="D71" s="236">
        <f t="shared" si="24"/>
        <v>223295</v>
      </c>
      <c r="E71" s="236">
        <f t="shared" si="25"/>
        <v>223295</v>
      </c>
      <c r="F71" s="240">
        <f t="shared" si="26"/>
        <v>3153392</v>
      </c>
      <c r="G71" s="160"/>
      <c r="H71" s="208"/>
    </row>
    <row r="72" spans="2:11" ht="14.25" customHeight="1" x14ac:dyDescent="0.2">
      <c r="B72" s="284" t="s">
        <v>50</v>
      </c>
      <c r="C72" s="236"/>
      <c r="D72" s="236"/>
      <c r="E72" s="236"/>
      <c r="F72" s="240">
        <f t="shared" ref="F72:F77" si="27">-E42-E50</f>
        <v>-199902</v>
      </c>
      <c r="G72" s="26"/>
    </row>
    <row r="73" spans="2:11" ht="12.75" customHeight="1" x14ac:dyDescent="0.2">
      <c r="B73" s="284" t="str">
        <f>B67</f>
        <v>Módosított előirányzat 2024.06.hó</v>
      </c>
      <c r="C73" s="236"/>
      <c r="D73" s="236"/>
      <c r="E73" s="236"/>
      <c r="F73" s="240">
        <f t="shared" si="27"/>
        <v>-201902</v>
      </c>
      <c r="G73" s="26"/>
    </row>
    <row r="74" spans="2:11" ht="12.75" customHeight="1" thickBot="1" x14ac:dyDescent="0.25">
      <c r="B74" s="284" t="str">
        <f>B68</f>
        <v>Módosított előirányzat 2024.09.hó</v>
      </c>
      <c r="C74" s="235"/>
      <c r="D74" s="235"/>
      <c r="E74" s="235"/>
      <c r="F74" s="240">
        <f t="shared" si="27"/>
        <v>-201902</v>
      </c>
      <c r="G74" s="26"/>
    </row>
    <row r="75" spans="2:11" ht="12.75" hidden="1" customHeight="1" x14ac:dyDescent="0.2">
      <c r="B75" s="284" t="str">
        <f>B69</f>
        <v>Módosított előirányzat 2021.12.31</v>
      </c>
      <c r="C75" s="235"/>
      <c r="D75" s="235"/>
      <c r="E75" s="235"/>
      <c r="F75" s="240">
        <f t="shared" si="27"/>
        <v>0</v>
      </c>
      <c r="G75" s="26"/>
    </row>
    <row r="76" spans="2:11" ht="12.75" hidden="1" customHeight="1" x14ac:dyDescent="0.2">
      <c r="B76" s="284" t="str">
        <f>B70</f>
        <v>Beszámoló előtti ei.mód.</v>
      </c>
      <c r="C76" s="235"/>
      <c r="D76" s="235"/>
      <c r="E76" s="235"/>
      <c r="F76" s="240">
        <f t="shared" si="27"/>
        <v>0</v>
      </c>
      <c r="G76" s="26"/>
    </row>
    <row r="77" spans="2:11" ht="13.5" hidden="1" thickBot="1" x14ac:dyDescent="0.25">
      <c r="B77" s="284" t="str">
        <f>B71</f>
        <v>Teljesítés 2021.12.31.</v>
      </c>
      <c r="C77" s="235"/>
      <c r="D77" s="235"/>
      <c r="E77" s="235"/>
      <c r="F77" s="240">
        <f t="shared" si="27"/>
        <v>0</v>
      </c>
      <c r="G77" s="26"/>
    </row>
    <row r="78" spans="2:11" ht="13.5" thickBot="1" x14ac:dyDescent="0.25">
      <c r="B78" s="75" t="s">
        <v>51</v>
      </c>
      <c r="C78" s="237"/>
      <c r="D78" s="237"/>
      <c r="E78" s="237"/>
      <c r="F78" s="241">
        <f>SUM(F68+F74)</f>
        <v>3556111</v>
      </c>
      <c r="G78" s="26"/>
      <c r="I78" s="74"/>
      <c r="K78" s="74"/>
    </row>
    <row r="79" spans="2:11" ht="14.25" customHeight="1" x14ac:dyDescent="0.2">
      <c r="B79" s="275" t="s">
        <v>52</v>
      </c>
      <c r="C79" s="238"/>
      <c r="D79" s="238"/>
      <c r="E79" s="238"/>
      <c r="F79" s="242"/>
      <c r="G79" s="27"/>
      <c r="J79" s="74"/>
    </row>
    <row r="80" spans="2:11" x14ac:dyDescent="0.2">
      <c r="B80" s="207" t="str">
        <f t="shared" ref="B80:B91" si="28">B66</f>
        <v>2024. évi eredeti előirányzat</v>
      </c>
      <c r="C80" s="236">
        <f t="shared" ref="C80:C85" si="29">SUM(C94+C101+C108+C115+C122+C129+C136+C143)</f>
        <v>3416145</v>
      </c>
      <c r="D80" s="236">
        <f t="shared" ref="D80:D85" si="30">SUM(D94+D101+D108+D115+D129)</f>
        <v>282786</v>
      </c>
      <c r="E80" s="236">
        <f t="shared" ref="E80:E85" si="31">SUM(D80:D80)</f>
        <v>282786</v>
      </c>
      <c r="F80" s="240">
        <f t="shared" ref="F80:F85" si="32">SUM(C80+E80)</f>
        <v>3698931</v>
      </c>
      <c r="G80" s="160">
        <f t="shared" ref="G80:G85" si="33">SUM(F94+F101+F108+F115+F122+F129+F136+F143)</f>
        <v>3698931</v>
      </c>
      <c r="H80" s="208">
        <f t="shared" ref="H80:H85" si="34">SUM(E94+E101+E108+E115)</f>
        <v>282786</v>
      </c>
      <c r="I80" s="35">
        <f>SUM(F94+F101+F108+F115+F122+F129+F136+F143)</f>
        <v>3698931</v>
      </c>
    </row>
    <row r="81" spans="2:11" x14ac:dyDescent="0.2">
      <c r="B81" s="207" t="str">
        <f t="shared" si="28"/>
        <v>Módosított előirányzat 2024.06.hó</v>
      </c>
      <c r="C81" s="236">
        <f t="shared" si="29"/>
        <v>3455211</v>
      </c>
      <c r="D81" s="236">
        <f t="shared" si="30"/>
        <v>286234</v>
      </c>
      <c r="E81" s="236">
        <f t="shared" si="31"/>
        <v>286234</v>
      </c>
      <c r="F81" s="240">
        <f t="shared" si="32"/>
        <v>3741445</v>
      </c>
      <c r="G81" s="160">
        <f t="shared" si="33"/>
        <v>3741445</v>
      </c>
      <c r="H81" s="208">
        <f t="shared" si="34"/>
        <v>286234</v>
      </c>
      <c r="J81" s="74"/>
    </row>
    <row r="82" spans="2:11" x14ac:dyDescent="0.2">
      <c r="B82" s="207" t="str">
        <f t="shared" si="28"/>
        <v>Módosított előirányzat 2024.09.hó</v>
      </c>
      <c r="C82" s="236">
        <f t="shared" si="29"/>
        <v>3469946</v>
      </c>
      <c r="D82" s="236">
        <f t="shared" si="30"/>
        <v>288067</v>
      </c>
      <c r="E82" s="236">
        <f t="shared" si="31"/>
        <v>288067</v>
      </c>
      <c r="F82" s="240">
        <f t="shared" si="32"/>
        <v>3758013</v>
      </c>
      <c r="G82" s="160">
        <f t="shared" si="33"/>
        <v>3758013</v>
      </c>
      <c r="H82" s="208">
        <f t="shared" si="34"/>
        <v>288067</v>
      </c>
    </row>
    <row r="83" spans="2:11" hidden="1" x14ac:dyDescent="0.2">
      <c r="B83" s="207" t="str">
        <f t="shared" si="28"/>
        <v>Módosított előirányzat 2021.12.31</v>
      </c>
      <c r="C83" s="236" t="e">
        <f t="shared" si="29"/>
        <v>#REF!</v>
      </c>
      <c r="D83" s="236">
        <f t="shared" si="30"/>
        <v>267665</v>
      </c>
      <c r="E83" s="236">
        <f t="shared" si="31"/>
        <v>267665</v>
      </c>
      <c r="F83" s="240" t="e">
        <f t="shared" si="32"/>
        <v>#REF!</v>
      </c>
      <c r="G83" s="160" t="e">
        <f t="shared" si="33"/>
        <v>#REF!</v>
      </c>
      <c r="H83" s="208">
        <f t="shared" si="34"/>
        <v>267665</v>
      </c>
    </row>
    <row r="84" spans="2:11" hidden="1" x14ac:dyDescent="0.2">
      <c r="B84" s="207" t="str">
        <f t="shared" si="28"/>
        <v>Beszámoló előtti ei.mód.</v>
      </c>
      <c r="C84" s="236">
        <f t="shared" si="29"/>
        <v>19597</v>
      </c>
      <c r="D84" s="236">
        <f t="shared" si="30"/>
        <v>0</v>
      </c>
      <c r="E84" s="236">
        <f t="shared" si="31"/>
        <v>0</v>
      </c>
      <c r="F84" s="240">
        <f t="shared" si="32"/>
        <v>19597</v>
      </c>
      <c r="G84" s="160">
        <f t="shared" si="33"/>
        <v>19597</v>
      </c>
      <c r="H84" s="208">
        <f t="shared" si="34"/>
        <v>0</v>
      </c>
    </row>
    <row r="85" spans="2:11" hidden="1" x14ac:dyDescent="0.2">
      <c r="B85" s="207" t="str">
        <f t="shared" si="28"/>
        <v>Teljesítés 2021.12.31.</v>
      </c>
      <c r="C85" s="236" t="e">
        <f t="shared" si="29"/>
        <v>#REF!</v>
      </c>
      <c r="D85" s="236">
        <f t="shared" si="30"/>
        <v>267665</v>
      </c>
      <c r="E85" s="236">
        <f t="shared" si="31"/>
        <v>267665</v>
      </c>
      <c r="F85" s="240" t="e">
        <f t="shared" si="32"/>
        <v>#REF!</v>
      </c>
      <c r="G85" s="160" t="e">
        <f t="shared" si="33"/>
        <v>#REF!</v>
      </c>
      <c r="H85" s="208">
        <f t="shared" si="34"/>
        <v>267665</v>
      </c>
    </row>
    <row r="86" spans="2:11" x14ac:dyDescent="0.2">
      <c r="B86" s="207" t="str">
        <f t="shared" si="28"/>
        <v xml:space="preserve">Intézményfinanszírozás </v>
      </c>
      <c r="C86" s="236"/>
      <c r="D86" s="236"/>
      <c r="E86" s="236"/>
      <c r="F86" s="240">
        <f t="shared" ref="F86:F91" si="35">F72</f>
        <v>-199902</v>
      </c>
      <c r="G86" s="26"/>
      <c r="I86" s="74"/>
    </row>
    <row r="87" spans="2:11" x14ac:dyDescent="0.2">
      <c r="B87" s="207" t="str">
        <f t="shared" si="28"/>
        <v>Módosított előirányzat 2024.06.hó</v>
      </c>
      <c r="C87" s="235"/>
      <c r="D87" s="235"/>
      <c r="E87" s="235"/>
      <c r="F87" s="240">
        <f t="shared" si="35"/>
        <v>-201902</v>
      </c>
      <c r="G87" s="26"/>
    </row>
    <row r="88" spans="2:11" ht="13.5" thickBot="1" x14ac:dyDescent="0.25">
      <c r="B88" s="207" t="str">
        <f t="shared" si="28"/>
        <v>Módosított előirányzat 2024.09.hó</v>
      </c>
      <c r="C88" s="235"/>
      <c r="D88" s="235"/>
      <c r="E88" s="235"/>
      <c r="F88" s="240">
        <f t="shared" si="35"/>
        <v>-201902</v>
      </c>
      <c r="G88" s="26"/>
    </row>
    <row r="89" spans="2:11" hidden="1" x14ac:dyDescent="0.2">
      <c r="B89" s="207" t="str">
        <f t="shared" si="28"/>
        <v>Módosított előirányzat 2021.12.31</v>
      </c>
      <c r="C89" s="235"/>
      <c r="D89" s="235"/>
      <c r="E89" s="235"/>
      <c r="F89" s="240">
        <f t="shared" si="35"/>
        <v>0</v>
      </c>
      <c r="G89" s="26"/>
    </row>
    <row r="90" spans="2:11" hidden="1" x14ac:dyDescent="0.2">
      <c r="B90" s="207" t="str">
        <f t="shared" si="28"/>
        <v>Beszámoló előtti ei.mód.</v>
      </c>
      <c r="C90" s="235"/>
      <c r="D90" s="235"/>
      <c r="E90" s="235"/>
      <c r="F90" s="240">
        <f t="shared" si="35"/>
        <v>0</v>
      </c>
      <c r="G90" s="26"/>
    </row>
    <row r="91" spans="2:11" ht="13.5" hidden="1" thickBot="1" x14ac:dyDescent="0.25">
      <c r="B91" s="207" t="str">
        <f t="shared" si="28"/>
        <v>Teljesítés 2021.12.31.</v>
      </c>
      <c r="C91" s="235"/>
      <c r="D91" s="235"/>
      <c r="E91" s="235"/>
      <c r="F91" s="240">
        <f t="shared" si="35"/>
        <v>0</v>
      </c>
      <c r="G91" s="26"/>
    </row>
    <row r="92" spans="2:11" ht="14.25" customHeight="1" thickBot="1" x14ac:dyDescent="0.25">
      <c r="B92" s="75" t="s">
        <v>53</v>
      </c>
      <c r="C92" s="237"/>
      <c r="D92" s="237"/>
      <c r="E92" s="237"/>
      <c r="F92" s="241">
        <f>SUM(F82+F88)</f>
        <v>3556111</v>
      </c>
      <c r="G92" s="27"/>
      <c r="H92" s="74"/>
    </row>
    <row r="93" spans="2:11" ht="13.5" customHeight="1" x14ac:dyDescent="0.2">
      <c r="B93" s="264" t="s">
        <v>31</v>
      </c>
      <c r="C93" s="150"/>
      <c r="D93" s="150"/>
      <c r="E93" s="150"/>
      <c r="F93" s="150"/>
      <c r="G93" s="27"/>
      <c r="K93" s="74"/>
    </row>
    <row r="94" spans="2:11" ht="13.5" customHeight="1" x14ac:dyDescent="0.2">
      <c r="B94" s="217" t="str">
        <f>B10</f>
        <v>2024. évi eredeti előirányzat</v>
      </c>
      <c r="C94" s="233">
        <f>SUM('2.működés'!C116)</f>
        <v>54275</v>
      </c>
      <c r="D94" s="233">
        <f>SUM('9.Hivatal'!R26)</f>
        <v>222760</v>
      </c>
      <c r="E94" s="232">
        <f t="shared" ref="E94:E99" si="36">SUM(D94)</f>
        <v>222760</v>
      </c>
      <c r="F94" s="232">
        <f t="shared" ref="F94:F99" si="37">SUM(C94+E94)</f>
        <v>277035</v>
      </c>
      <c r="G94" s="27"/>
      <c r="H94" s="431"/>
      <c r="I94" s="35">
        <f>SUM(E94+E101+E108+E115)</f>
        <v>282786</v>
      </c>
    </row>
    <row r="95" spans="2:11" ht="13.5" customHeight="1" x14ac:dyDescent="0.2">
      <c r="B95" s="217" t="str">
        <f>B67</f>
        <v>Módosított előirányzat 2024.06.hó</v>
      </c>
      <c r="C95" s="233">
        <f>SUM('2.működés'!D116)</f>
        <v>54532</v>
      </c>
      <c r="D95" s="233">
        <f>SUM('9.Hivatal'!S26)</f>
        <v>222760</v>
      </c>
      <c r="E95" s="232">
        <f t="shared" si="36"/>
        <v>222760</v>
      </c>
      <c r="F95" s="232">
        <f t="shared" si="37"/>
        <v>277292</v>
      </c>
      <c r="G95" s="27"/>
    </row>
    <row r="96" spans="2:11" ht="13.5" customHeight="1" x14ac:dyDescent="0.2">
      <c r="B96" s="217" t="str">
        <f>B68</f>
        <v>Módosított előirányzat 2024.09.hó</v>
      </c>
      <c r="C96" s="233">
        <f>SUM('2.működés'!E116)</f>
        <v>63855</v>
      </c>
      <c r="D96" s="233">
        <f>SUM('9.Hivatal'!T26)</f>
        <v>223822</v>
      </c>
      <c r="E96" s="232">
        <f t="shared" si="36"/>
        <v>223822</v>
      </c>
      <c r="F96" s="232">
        <f t="shared" si="37"/>
        <v>287677</v>
      </c>
      <c r="G96" s="27"/>
    </row>
    <row r="97" spans="2:7" ht="13.5" hidden="1" customHeight="1" x14ac:dyDescent="0.2">
      <c r="B97" s="217" t="str">
        <f>B69</f>
        <v>Módosított előirányzat 2021.12.31</v>
      </c>
      <c r="C97" s="233">
        <f>SUM('2.működés'!F116)</f>
        <v>54275</v>
      </c>
      <c r="D97" s="233">
        <f>SUM('9.Hivatal'!U26)</f>
        <v>209250</v>
      </c>
      <c r="E97" s="232">
        <f t="shared" si="36"/>
        <v>209250</v>
      </c>
      <c r="F97" s="232">
        <f t="shared" si="37"/>
        <v>263525</v>
      </c>
      <c r="G97" s="27"/>
    </row>
    <row r="98" spans="2:7" ht="13.5" hidden="1" customHeight="1" x14ac:dyDescent="0.2">
      <c r="B98" s="217" t="str">
        <f>B70</f>
        <v>Beszámoló előtti ei.mód.</v>
      </c>
      <c r="C98" s="233"/>
      <c r="D98" s="233"/>
      <c r="E98" s="232">
        <f t="shared" si="36"/>
        <v>0</v>
      </c>
      <c r="F98" s="232">
        <f t="shared" si="37"/>
        <v>0</v>
      </c>
      <c r="G98" s="27"/>
    </row>
    <row r="99" spans="2:7" hidden="1" x14ac:dyDescent="0.2">
      <c r="B99" s="217" t="str">
        <f>B71</f>
        <v>Teljesítés 2021.12.31.</v>
      </c>
      <c r="C99" s="233">
        <f>SUM('2.működés'!G116)</f>
        <v>54275</v>
      </c>
      <c r="D99" s="233">
        <f>SUM('9.Hivatal'!V26)</f>
        <v>209250</v>
      </c>
      <c r="E99" s="232">
        <f t="shared" si="36"/>
        <v>209250</v>
      </c>
      <c r="F99" s="232">
        <f t="shared" si="37"/>
        <v>263525</v>
      </c>
      <c r="G99" s="27"/>
    </row>
    <row r="100" spans="2:7" ht="14.25" customHeight="1" x14ac:dyDescent="0.2">
      <c r="B100" s="264" t="s">
        <v>403</v>
      </c>
      <c r="C100" s="233"/>
      <c r="D100" s="233"/>
      <c r="E100" s="232"/>
      <c r="F100" s="232"/>
      <c r="G100" s="26"/>
    </row>
    <row r="101" spans="2:7" ht="13.5" customHeight="1" x14ac:dyDescent="0.2">
      <c r="B101" s="217" t="str">
        <f t="shared" ref="B101:B106" si="38">B94</f>
        <v>2024. évi eredeti előirányzat</v>
      </c>
      <c r="C101" s="233">
        <f>SUM('2.működés'!C119)</f>
        <v>7046</v>
      </c>
      <c r="D101" s="233">
        <f>SUM('9.Hivatal'!R29)</f>
        <v>28260</v>
      </c>
      <c r="E101" s="232">
        <f t="shared" ref="E101:E106" si="39">SUM(D101)</f>
        <v>28260</v>
      </c>
      <c r="F101" s="232">
        <f t="shared" ref="F101:F106" si="40">SUM(C101+E101)</f>
        <v>35306</v>
      </c>
      <c r="G101" s="26"/>
    </row>
    <row r="102" spans="2:7" ht="13.5" customHeight="1" x14ac:dyDescent="0.2">
      <c r="B102" s="217" t="str">
        <f t="shared" si="38"/>
        <v>Módosított előirányzat 2024.06.hó</v>
      </c>
      <c r="C102" s="233">
        <f>SUM('2.működés'!D119)</f>
        <v>7046</v>
      </c>
      <c r="D102" s="233">
        <f>SUM('9.Hivatal'!S29)</f>
        <v>28315</v>
      </c>
      <c r="E102" s="232">
        <f t="shared" si="39"/>
        <v>28315</v>
      </c>
      <c r="F102" s="232">
        <f t="shared" si="40"/>
        <v>35361</v>
      </c>
      <c r="G102" s="26"/>
    </row>
    <row r="103" spans="2:7" ht="13.5" customHeight="1" x14ac:dyDescent="0.2">
      <c r="B103" s="217" t="str">
        <f t="shared" si="38"/>
        <v>Módosított előirányzat 2024.09.hó</v>
      </c>
      <c r="C103" s="233">
        <f>SUM('2.működés'!E119)</f>
        <v>8180</v>
      </c>
      <c r="D103" s="233">
        <f>SUM('9.Hivatal'!T29)</f>
        <v>28458</v>
      </c>
      <c r="E103" s="232">
        <f t="shared" si="39"/>
        <v>28458</v>
      </c>
      <c r="F103" s="232">
        <f t="shared" si="40"/>
        <v>36638</v>
      </c>
      <c r="G103" s="26"/>
    </row>
    <row r="104" spans="2:7" ht="13.5" hidden="1" customHeight="1" x14ac:dyDescent="0.2">
      <c r="B104" s="217" t="str">
        <f t="shared" si="38"/>
        <v>Módosított előirányzat 2021.12.31</v>
      </c>
      <c r="C104" s="233">
        <f>SUM('2.működés'!F119)</f>
        <v>7046</v>
      </c>
      <c r="D104" s="233">
        <f>SUM('9.Hivatal'!U29)</f>
        <v>26536</v>
      </c>
      <c r="E104" s="232">
        <f t="shared" si="39"/>
        <v>26536</v>
      </c>
      <c r="F104" s="232">
        <f t="shared" si="40"/>
        <v>33582</v>
      </c>
      <c r="G104" s="26"/>
    </row>
    <row r="105" spans="2:7" ht="13.5" hidden="1" customHeight="1" x14ac:dyDescent="0.2">
      <c r="B105" s="217" t="str">
        <f t="shared" si="38"/>
        <v>Beszámoló előtti ei.mód.</v>
      </c>
      <c r="C105" s="233"/>
      <c r="D105" s="233"/>
      <c r="E105" s="232">
        <f t="shared" si="39"/>
        <v>0</v>
      </c>
      <c r="F105" s="232">
        <f t="shared" si="40"/>
        <v>0</v>
      </c>
      <c r="G105" s="26"/>
    </row>
    <row r="106" spans="2:7" hidden="1" x14ac:dyDescent="0.2">
      <c r="B106" s="217" t="str">
        <f t="shared" si="38"/>
        <v>Teljesítés 2021.12.31.</v>
      </c>
      <c r="C106" s="233">
        <f>SUM('2.működés'!G119)</f>
        <v>7046</v>
      </c>
      <c r="D106" s="233">
        <f>SUM('9.Hivatal'!V29)</f>
        <v>26536</v>
      </c>
      <c r="E106" s="232">
        <f t="shared" si="39"/>
        <v>26536</v>
      </c>
      <c r="F106" s="232">
        <f t="shared" si="40"/>
        <v>33582</v>
      </c>
      <c r="G106" s="26"/>
    </row>
    <row r="107" spans="2:7" ht="13.5" customHeight="1" x14ac:dyDescent="0.2">
      <c r="B107" s="262" t="s">
        <v>36</v>
      </c>
      <c r="C107" s="233"/>
      <c r="D107" s="233"/>
      <c r="E107" s="232"/>
      <c r="F107" s="232"/>
      <c r="G107" s="26"/>
    </row>
    <row r="108" spans="2:7" ht="13.5" customHeight="1" x14ac:dyDescent="0.2">
      <c r="B108" s="217" t="str">
        <f t="shared" ref="B108:B113" si="41">B101</f>
        <v>2024. évi eredeti előirányzat</v>
      </c>
      <c r="C108" s="233">
        <v>657299</v>
      </c>
      <c r="D108" s="233">
        <f>SUM('9.Hivatal'!R76)</f>
        <v>29266</v>
      </c>
      <c r="E108" s="232">
        <f t="shared" ref="E108:E113" si="42">SUM(D108)</f>
        <v>29266</v>
      </c>
      <c r="F108" s="232">
        <f t="shared" ref="F108:F113" si="43">SUM(C108+E108)</f>
        <v>686565</v>
      </c>
      <c r="G108" s="26"/>
    </row>
    <row r="109" spans="2:7" ht="13.5" customHeight="1" x14ac:dyDescent="0.2">
      <c r="B109" s="217" t="str">
        <f t="shared" si="41"/>
        <v>Módosított előirányzat 2024.06.hó</v>
      </c>
      <c r="C109" s="233">
        <f>SUM('2.működés'!D122)</f>
        <v>646768</v>
      </c>
      <c r="D109" s="233">
        <f>SUM('9.Hivatal'!S76)</f>
        <v>32309</v>
      </c>
      <c r="E109" s="232">
        <f t="shared" si="42"/>
        <v>32309</v>
      </c>
      <c r="F109" s="232">
        <f t="shared" si="43"/>
        <v>679077</v>
      </c>
      <c r="G109" s="26"/>
    </row>
    <row r="110" spans="2:7" ht="13.5" customHeight="1" x14ac:dyDescent="0.2">
      <c r="B110" s="217" t="str">
        <f t="shared" si="41"/>
        <v>Módosított előirányzat 2024.09.hó</v>
      </c>
      <c r="C110" s="233">
        <f>SUM('2.működés'!E122)</f>
        <v>638782</v>
      </c>
      <c r="D110" s="233">
        <f>SUM('9.Hivatal'!T76)</f>
        <v>32937</v>
      </c>
      <c r="E110" s="232">
        <f t="shared" si="42"/>
        <v>32937</v>
      </c>
      <c r="F110" s="232">
        <f t="shared" si="43"/>
        <v>671719</v>
      </c>
      <c r="G110" s="26"/>
    </row>
    <row r="111" spans="2:7" ht="13.5" hidden="1" customHeight="1" x14ac:dyDescent="0.2">
      <c r="B111" s="217" t="str">
        <f t="shared" si="41"/>
        <v>Módosított előirányzat 2021.12.31</v>
      </c>
      <c r="C111" s="233">
        <f>SUM('2.működés'!F122)</f>
        <v>558480</v>
      </c>
      <c r="D111" s="233">
        <f>SUM('9.Hivatal'!U76)</f>
        <v>29379</v>
      </c>
      <c r="E111" s="232">
        <f t="shared" si="42"/>
        <v>29379</v>
      </c>
      <c r="F111" s="232">
        <f t="shared" si="43"/>
        <v>587859</v>
      </c>
      <c r="G111" s="26"/>
    </row>
    <row r="112" spans="2:7" ht="13.5" hidden="1" customHeight="1" x14ac:dyDescent="0.2">
      <c r="B112" s="217" t="str">
        <f t="shared" si="41"/>
        <v>Beszámoló előtti ei.mód.</v>
      </c>
      <c r="C112" s="233"/>
      <c r="D112" s="233"/>
      <c r="E112" s="232">
        <f t="shared" si="42"/>
        <v>0</v>
      </c>
      <c r="F112" s="232">
        <f t="shared" si="43"/>
        <v>0</v>
      </c>
      <c r="G112" s="26"/>
    </row>
    <row r="113" spans="2:7" hidden="1" x14ac:dyDescent="0.2">
      <c r="B113" s="217" t="str">
        <f t="shared" si="41"/>
        <v>Teljesítés 2021.12.31.</v>
      </c>
      <c r="C113" s="233">
        <f>SUM('2.működés'!G122)</f>
        <v>558480</v>
      </c>
      <c r="D113" s="233">
        <f>SUM('9.Hivatal'!V76)</f>
        <v>29379</v>
      </c>
      <c r="E113" s="232">
        <f t="shared" si="42"/>
        <v>29379</v>
      </c>
      <c r="F113" s="232">
        <f t="shared" si="43"/>
        <v>587859</v>
      </c>
      <c r="G113" s="26"/>
    </row>
    <row r="114" spans="2:7" ht="25.5" customHeight="1" x14ac:dyDescent="0.2">
      <c r="B114" s="263" t="s">
        <v>325</v>
      </c>
      <c r="C114" s="233"/>
      <c r="D114" s="233"/>
      <c r="E114" s="232"/>
      <c r="F114" s="232"/>
      <c r="G114" s="26"/>
    </row>
    <row r="115" spans="2:7" ht="13.5" customHeight="1" x14ac:dyDescent="0.2">
      <c r="B115" s="217" t="str">
        <f t="shared" ref="B115:B120" si="44">B108</f>
        <v>2024. évi eredeti előirányzat</v>
      </c>
      <c r="C115" s="233">
        <f>SUM('3.felh'!C45+'3.felh'!C66)</f>
        <v>1044832</v>
      </c>
      <c r="D115" s="233">
        <f>SUM('9.Hivatal'!R80)</f>
        <v>2500</v>
      </c>
      <c r="E115" s="232">
        <f t="shared" ref="E115:E120" si="45">SUM(D115)</f>
        <v>2500</v>
      </c>
      <c r="F115" s="232">
        <f t="shared" ref="F115:F120" si="46">SUM(C115+E115)</f>
        <v>1047332</v>
      </c>
      <c r="G115" s="26"/>
    </row>
    <row r="116" spans="2:7" ht="13.5" customHeight="1" x14ac:dyDescent="0.2">
      <c r="B116" s="217" t="str">
        <f t="shared" si="44"/>
        <v>Módosított előirányzat 2024.06.hó</v>
      </c>
      <c r="C116" s="233">
        <f>SUM('3.felh'!D45+'3.felh'!D66)+'3.felh'!D88</f>
        <v>1082943</v>
      </c>
      <c r="D116" s="233">
        <f>SUM('9.Hivatal'!S80)</f>
        <v>2850</v>
      </c>
      <c r="E116" s="232">
        <f t="shared" si="45"/>
        <v>2850</v>
      </c>
      <c r="F116" s="232">
        <f t="shared" si="46"/>
        <v>1085793</v>
      </c>
      <c r="G116" s="26"/>
    </row>
    <row r="117" spans="2:7" ht="13.5" customHeight="1" x14ac:dyDescent="0.2">
      <c r="B117" s="217" t="str">
        <f t="shared" si="44"/>
        <v>Módosított előirányzat 2024.09.hó</v>
      </c>
      <c r="C117" s="233">
        <f>SUM('3.felh'!E45+'3.felh'!E66)+'3.felh'!E87+'3.felh'!E91</f>
        <v>1747697</v>
      </c>
      <c r="D117" s="233">
        <f>SUM('9.Hivatal'!T80)</f>
        <v>2850</v>
      </c>
      <c r="E117" s="232">
        <f t="shared" si="45"/>
        <v>2850</v>
      </c>
      <c r="F117" s="232">
        <f t="shared" si="46"/>
        <v>1750547</v>
      </c>
      <c r="G117" s="26"/>
    </row>
    <row r="118" spans="2:7" ht="13.5" hidden="1" customHeight="1" x14ac:dyDescent="0.2">
      <c r="B118" s="217" t="str">
        <f t="shared" si="44"/>
        <v>Módosított előirányzat 2021.12.31</v>
      </c>
      <c r="C118" s="233">
        <f>SUM('3.felh'!F45+'3.felh'!F66)</f>
        <v>1099945</v>
      </c>
      <c r="D118" s="233">
        <f>SUM('9.Hivatal'!U80)</f>
        <v>2500</v>
      </c>
      <c r="E118" s="232">
        <f t="shared" si="45"/>
        <v>2500</v>
      </c>
      <c r="F118" s="232">
        <f t="shared" si="46"/>
        <v>1102445</v>
      </c>
      <c r="G118" s="26"/>
    </row>
    <row r="119" spans="2:7" ht="13.5" hidden="1" customHeight="1" x14ac:dyDescent="0.2">
      <c r="B119" s="217" t="str">
        <f t="shared" si="44"/>
        <v>Beszámoló előtti ei.mód.</v>
      </c>
      <c r="C119" s="233"/>
      <c r="D119" s="233"/>
      <c r="E119" s="232">
        <f t="shared" si="45"/>
        <v>0</v>
      </c>
      <c r="F119" s="232">
        <f t="shared" si="46"/>
        <v>0</v>
      </c>
      <c r="G119" s="26"/>
    </row>
    <row r="120" spans="2:7" hidden="1" x14ac:dyDescent="0.2">
      <c r="B120" s="217" t="str">
        <f t="shared" si="44"/>
        <v>Teljesítés 2021.12.31.</v>
      </c>
      <c r="C120" s="233">
        <f>SUM('3.felh'!G45+'3.felh'!G66)</f>
        <v>1099945</v>
      </c>
      <c r="D120" s="233">
        <f>SUM('9.Hivatal'!V80)</f>
        <v>2500</v>
      </c>
      <c r="E120" s="232">
        <f t="shared" si="45"/>
        <v>2500</v>
      </c>
      <c r="F120" s="232">
        <f t="shared" si="46"/>
        <v>1102445</v>
      </c>
      <c r="G120" s="26"/>
    </row>
    <row r="121" spans="2:7" ht="13.5" customHeight="1" x14ac:dyDescent="0.2">
      <c r="B121" s="261" t="s">
        <v>405</v>
      </c>
      <c r="C121" s="233"/>
      <c r="D121" s="233"/>
      <c r="E121" s="232"/>
      <c r="F121" s="232"/>
      <c r="G121" s="26"/>
    </row>
    <row r="122" spans="2:7" ht="13.5" customHeight="1" x14ac:dyDescent="0.2">
      <c r="B122" s="217" t="str">
        <f t="shared" ref="B122:B127" si="47">B115</f>
        <v>2024. évi eredeti előirányzat</v>
      </c>
      <c r="C122" s="233">
        <f>SUM('8.Önk.'!BA97)</f>
        <v>11500</v>
      </c>
      <c r="D122" s="233"/>
      <c r="E122" s="232">
        <f t="shared" ref="E122:E124" si="48">SUM(D122)</f>
        <v>0</v>
      </c>
      <c r="F122" s="232">
        <f t="shared" ref="F122:F127" si="49">SUM(C122)</f>
        <v>11500</v>
      </c>
      <c r="G122" s="26"/>
    </row>
    <row r="123" spans="2:7" ht="13.5" customHeight="1" x14ac:dyDescent="0.2">
      <c r="B123" s="217" t="str">
        <f t="shared" si="47"/>
        <v>Módosított előirányzat 2024.06.hó</v>
      </c>
      <c r="C123" s="233">
        <f>SUM('8.Önk.'!BB97)</f>
        <v>11500</v>
      </c>
      <c r="D123" s="233"/>
      <c r="E123" s="232">
        <f t="shared" si="48"/>
        <v>0</v>
      </c>
      <c r="F123" s="232">
        <f t="shared" si="49"/>
        <v>11500</v>
      </c>
      <c r="G123" s="26"/>
    </row>
    <row r="124" spans="2:7" ht="13.5" customHeight="1" x14ac:dyDescent="0.2">
      <c r="B124" s="217" t="str">
        <f t="shared" si="47"/>
        <v>Módosított előirányzat 2024.09.hó</v>
      </c>
      <c r="C124" s="233">
        <f>SUM('8.Önk.'!BC97)</f>
        <v>11500</v>
      </c>
      <c r="D124" s="233"/>
      <c r="E124" s="232">
        <f t="shared" si="48"/>
        <v>0</v>
      </c>
      <c r="F124" s="232">
        <f t="shared" si="49"/>
        <v>11500</v>
      </c>
      <c r="G124" s="26"/>
    </row>
    <row r="125" spans="2:7" ht="13.5" hidden="1" customHeight="1" x14ac:dyDescent="0.2">
      <c r="B125" s="217" t="str">
        <f t="shared" si="47"/>
        <v>Módosított előirányzat 2021.12.31</v>
      </c>
      <c r="C125" s="233">
        <f>SUM('8.Önk.'!BD97)</f>
        <v>11500</v>
      </c>
      <c r="D125" s="233"/>
      <c r="E125" s="232"/>
      <c r="F125" s="232">
        <f t="shared" si="49"/>
        <v>11500</v>
      </c>
      <c r="G125" s="26"/>
    </row>
    <row r="126" spans="2:7" ht="13.5" hidden="1" customHeight="1" x14ac:dyDescent="0.2">
      <c r="B126" s="217" t="str">
        <f t="shared" si="47"/>
        <v>Beszámoló előtti ei.mód.</v>
      </c>
      <c r="C126" s="233"/>
      <c r="D126" s="233"/>
      <c r="E126" s="232"/>
      <c r="F126" s="232">
        <f t="shared" si="49"/>
        <v>0</v>
      </c>
      <c r="G126" s="26"/>
    </row>
    <row r="127" spans="2:7" hidden="1" x14ac:dyDescent="0.2">
      <c r="B127" s="217" t="str">
        <f t="shared" si="47"/>
        <v>Teljesítés 2021.12.31.</v>
      </c>
      <c r="C127" s="233">
        <f>SUM('8.Önk.'!BE97)</f>
        <v>11500</v>
      </c>
      <c r="D127" s="233"/>
      <c r="E127" s="232"/>
      <c r="F127" s="232">
        <f t="shared" si="49"/>
        <v>11500</v>
      </c>
      <c r="G127" s="26"/>
    </row>
    <row r="128" spans="2:7" ht="13.5" customHeight="1" x14ac:dyDescent="0.2">
      <c r="B128" s="262" t="s">
        <v>37</v>
      </c>
      <c r="C128" s="233"/>
      <c r="D128" s="233"/>
      <c r="E128" s="232"/>
      <c r="F128" s="232"/>
      <c r="G128" s="26"/>
    </row>
    <row r="129" spans="2:7" ht="13.5" customHeight="1" x14ac:dyDescent="0.2">
      <c r="B129" s="217" t="str">
        <f t="shared" ref="B129:B134" si="50">B122</f>
        <v>2024. évi eredeti előirányzat</v>
      </c>
      <c r="C129" s="233">
        <f>'2.működés'!C126+'2.működés'!C128+'2.működés'!C129</f>
        <v>606271</v>
      </c>
      <c r="D129" s="233"/>
      <c r="E129" s="232">
        <f t="shared" ref="E129:E141" si="51">SUM(D129)</f>
        <v>0</v>
      </c>
      <c r="F129" s="232">
        <f t="shared" ref="F129:F134" si="52">SUM(C129+E129)</f>
        <v>606271</v>
      </c>
      <c r="G129" s="26"/>
    </row>
    <row r="130" spans="2:7" ht="13.5" customHeight="1" x14ac:dyDescent="0.2">
      <c r="B130" s="217" t="str">
        <f t="shared" si="50"/>
        <v>Módosított előirányzat 2024.06.hó</v>
      </c>
      <c r="C130" s="233">
        <f>'2.működés'!D126+'2.működés'!D128+'2.működés'!D129</f>
        <v>614635</v>
      </c>
      <c r="D130" s="233"/>
      <c r="E130" s="232">
        <f t="shared" si="51"/>
        <v>0</v>
      </c>
      <c r="F130" s="232">
        <f t="shared" si="52"/>
        <v>614635</v>
      </c>
      <c r="G130" s="26"/>
    </row>
    <row r="131" spans="2:7" ht="13.5" customHeight="1" x14ac:dyDescent="0.2">
      <c r="B131" s="217" t="str">
        <f t="shared" si="50"/>
        <v>Módosított előirányzat 2024.09.hó</v>
      </c>
      <c r="C131" s="233">
        <f>'2.működés'!E126+'2.működés'!E128+'2.működés'!E129</f>
        <v>651048</v>
      </c>
      <c r="D131" s="233"/>
      <c r="E131" s="232">
        <f t="shared" si="51"/>
        <v>0</v>
      </c>
      <c r="F131" s="232">
        <f t="shared" si="52"/>
        <v>651048</v>
      </c>
      <c r="G131" s="26"/>
    </row>
    <row r="132" spans="2:7" ht="13.5" hidden="1" customHeight="1" x14ac:dyDescent="0.2">
      <c r="B132" s="217" t="str">
        <f t="shared" si="50"/>
        <v>Módosított előirányzat 2021.12.31</v>
      </c>
      <c r="C132" s="233" t="e">
        <f>SUM('4. Átadott p.eszk.'!E64)</f>
        <v>#REF!</v>
      </c>
      <c r="D132" s="233">
        <f>'9.Hivatal'!U78</f>
        <v>0</v>
      </c>
      <c r="E132" s="232">
        <f t="shared" si="51"/>
        <v>0</v>
      </c>
      <c r="F132" s="232" t="e">
        <f t="shared" si="52"/>
        <v>#REF!</v>
      </c>
      <c r="G132" s="26"/>
    </row>
    <row r="133" spans="2:7" ht="13.5" hidden="1" customHeight="1" x14ac:dyDescent="0.2">
      <c r="B133" s="217" t="str">
        <f t="shared" si="50"/>
        <v>Beszámoló előtti ei.mód.</v>
      </c>
      <c r="C133" s="233"/>
      <c r="D133" s="233"/>
      <c r="E133" s="232">
        <f t="shared" si="51"/>
        <v>0</v>
      </c>
      <c r="F133" s="232">
        <f t="shared" si="52"/>
        <v>0</v>
      </c>
      <c r="G133" s="26"/>
    </row>
    <row r="134" spans="2:7" hidden="1" x14ac:dyDescent="0.2">
      <c r="B134" s="217" t="str">
        <f t="shared" si="50"/>
        <v>Teljesítés 2021.12.31.</v>
      </c>
      <c r="C134" s="233" t="e">
        <f>SUM('4. Átadott p.eszk.'!F64)</f>
        <v>#REF!</v>
      </c>
      <c r="D134" s="233">
        <f>'9.Hivatal'!V78</f>
        <v>0</v>
      </c>
      <c r="E134" s="232">
        <f t="shared" si="51"/>
        <v>0</v>
      </c>
      <c r="F134" s="232" t="e">
        <f t="shared" si="52"/>
        <v>#REF!</v>
      </c>
      <c r="G134" s="26"/>
    </row>
    <row r="135" spans="2:7" ht="13.5" customHeight="1" x14ac:dyDescent="0.2">
      <c r="B135" s="262" t="s">
        <v>54</v>
      </c>
      <c r="C135" s="233"/>
      <c r="D135" s="233"/>
      <c r="E135" s="232"/>
      <c r="F135" s="232"/>
      <c r="G135" s="26"/>
    </row>
    <row r="136" spans="2:7" ht="13.5" customHeight="1" x14ac:dyDescent="0.2">
      <c r="B136" s="217" t="str">
        <f t="shared" ref="B136:B141" si="53">B129</f>
        <v>2024. évi eredeti előirányzat</v>
      </c>
      <c r="C136" s="233">
        <f>SUM('1.Bev-kiad.'!C82+-'7.finanszírozás.'!F72)</f>
        <v>305287</v>
      </c>
      <c r="D136" s="233"/>
      <c r="E136" s="232">
        <f t="shared" si="51"/>
        <v>0</v>
      </c>
      <c r="F136" s="232">
        <f t="shared" ref="F136:F141" si="54">SUM(C136)</f>
        <v>305287</v>
      </c>
      <c r="G136" s="26"/>
    </row>
    <row r="137" spans="2:7" ht="13.5" customHeight="1" x14ac:dyDescent="0.2">
      <c r="B137" s="217" t="str">
        <f t="shared" si="53"/>
        <v>Módosított előirányzat 2024.06.hó</v>
      </c>
      <c r="C137" s="233">
        <f>SUM('1.Bev-kiad.'!D82+-'7.finanszírozás.'!F73)</f>
        <v>307287</v>
      </c>
      <c r="D137" s="233"/>
      <c r="E137" s="232">
        <f t="shared" si="51"/>
        <v>0</v>
      </c>
      <c r="F137" s="232">
        <f t="shared" si="54"/>
        <v>307287</v>
      </c>
      <c r="G137" s="26"/>
    </row>
    <row r="138" spans="2:7" ht="13.5" customHeight="1" x14ac:dyDescent="0.2">
      <c r="B138" s="217" t="str">
        <f t="shared" si="53"/>
        <v>Módosított előirányzat 2024.09.hó</v>
      </c>
      <c r="C138" s="233">
        <f>SUM('1.Bev-kiad.'!E82+-'7.finanszírozás.'!F74)</f>
        <v>307287</v>
      </c>
      <c r="D138" s="233"/>
      <c r="E138" s="232">
        <f t="shared" si="51"/>
        <v>0</v>
      </c>
      <c r="F138" s="232">
        <f t="shared" si="54"/>
        <v>307287</v>
      </c>
      <c r="G138" s="26"/>
    </row>
    <row r="139" spans="2:7" ht="13.5" hidden="1" customHeight="1" x14ac:dyDescent="0.2">
      <c r="B139" s="217" t="str">
        <f t="shared" si="53"/>
        <v>Módosított előirányzat 2021.12.31</v>
      </c>
      <c r="C139" s="233">
        <f>SUM('1.Bev-kiad.'!F82+-'7.finanszírozás.'!F75)</f>
        <v>105385</v>
      </c>
      <c r="D139" s="233"/>
      <c r="E139" s="232">
        <f t="shared" si="51"/>
        <v>0</v>
      </c>
      <c r="F139" s="232">
        <f t="shared" si="54"/>
        <v>105385</v>
      </c>
      <c r="G139" s="26"/>
    </row>
    <row r="140" spans="2:7" ht="13.5" hidden="1" customHeight="1" x14ac:dyDescent="0.2">
      <c r="B140" s="217" t="str">
        <f t="shared" si="53"/>
        <v>Beszámoló előtti ei.mód.</v>
      </c>
      <c r="C140" s="233"/>
      <c r="D140" s="233"/>
      <c r="E140" s="232">
        <f t="shared" si="51"/>
        <v>0</v>
      </c>
      <c r="F140" s="232">
        <f t="shared" si="54"/>
        <v>0</v>
      </c>
      <c r="G140" s="26"/>
    </row>
    <row r="141" spans="2:7" hidden="1" x14ac:dyDescent="0.2">
      <c r="B141" s="217" t="str">
        <f t="shared" si="53"/>
        <v>Teljesítés 2021.12.31.</v>
      </c>
      <c r="C141" s="233">
        <f>SUM('1.Bev-kiad.'!G82+-'7.finanszírozás.'!F77)</f>
        <v>105385</v>
      </c>
      <c r="D141" s="233"/>
      <c r="E141" s="232">
        <f t="shared" si="51"/>
        <v>0</v>
      </c>
      <c r="F141" s="232">
        <f t="shared" si="54"/>
        <v>105385</v>
      </c>
      <c r="G141" s="26"/>
    </row>
    <row r="142" spans="2:7" ht="13.5" customHeight="1" x14ac:dyDescent="0.2">
      <c r="B142" s="261" t="s">
        <v>326</v>
      </c>
      <c r="C142" s="233"/>
      <c r="D142" s="233"/>
      <c r="E142" s="232"/>
      <c r="F142" s="232"/>
      <c r="G142" s="26"/>
    </row>
    <row r="143" spans="2:7" ht="13.5" customHeight="1" x14ac:dyDescent="0.2">
      <c r="B143" s="217" t="str">
        <f t="shared" ref="B143:B148" si="55">B136</f>
        <v>2024. évi eredeti előirányzat</v>
      </c>
      <c r="C143" s="233">
        <f>'2.működés'!C127+'3.felh'!C92</f>
        <v>729635</v>
      </c>
      <c r="D143" s="233"/>
      <c r="E143" s="232">
        <f t="shared" ref="E143:E145" si="56">SUM(D143)</f>
        <v>0</v>
      </c>
      <c r="F143" s="232">
        <f t="shared" ref="F143:F148" si="57">SUM(C143)</f>
        <v>729635</v>
      </c>
      <c r="G143" s="26"/>
    </row>
    <row r="144" spans="2:7" ht="13.5" customHeight="1" x14ac:dyDescent="0.2">
      <c r="B144" s="217" t="str">
        <f t="shared" si="55"/>
        <v>Módosított előirányzat 2024.06.hó</v>
      </c>
      <c r="C144" s="233">
        <f>'2.működés'!D127+'3.felh'!D92</f>
        <v>730500</v>
      </c>
      <c r="D144" s="233"/>
      <c r="E144" s="232">
        <f t="shared" si="56"/>
        <v>0</v>
      </c>
      <c r="F144" s="232">
        <f t="shared" si="57"/>
        <v>730500</v>
      </c>
      <c r="G144" s="26"/>
    </row>
    <row r="145" spans="2:7" ht="13.5" customHeight="1" x14ac:dyDescent="0.2">
      <c r="B145" s="217" t="str">
        <f t="shared" si="55"/>
        <v>Módosított előirányzat 2024.09.hó</v>
      </c>
      <c r="C145" s="233">
        <f>'2.működés'!E127+'3.felh'!E92</f>
        <v>41597</v>
      </c>
      <c r="D145" s="233"/>
      <c r="E145" s="232">
        <f t="shared" si="56"/>
        <v>0</v>
      </c>
      <c r="F145" s="232">
        <f t="shared" si="57"/>
        <v>41597</v>
      </c>
      <c r="G145" s="26"/>
    </row>
    <row r="146" spans="2:7" ht="13.5" hidden="1" customHeight="1" x14ac:dyDescent="0.2">
      <c r="B146" s="217" t="str">
        <f t="shared" si="55"/>
        <v>Módosított előirányzat 2021.12.31</v>
      </c>
      <c r="C146" s="233">
        <f>'2.működés'!C130+'3.felh'!C95</f>
        <v>105385</v>
      </c>
      <c r="D146" s="233"/>
      <c r="E146" s="232"/>
      <c r="F146" s="232">
        <f t="shared" si="57"/>
        <v>105385</v>
      </c>
      <c r="G146" s="26"/>
    </row>
    <row r="147" spans="2:7" ht="13.5" hidden="1" customHeight="1" x14ac:dyDescent="0.2">
      <c r="B147" s="217" t="str">
        <f t="shared" si="55"/>
        <v>Beszámoló előtti ei.mód.</v>
      </c>
      <c r="C147" s="233">
        <f>'2.működés'!C131+'3.felh'!C96</f>
        <v>19597</v>
      </c>
      <c r="D147" s="233"/>
      <c r="E147" s="232"/>
      <c r="F147" s="232">
        <f t="shared" si="57"/>
        <v>19597</v>
      </c>
      <c r="G147" s="26"/>
    </row>
    <row r="148" spans="2:7" hidden="1" x14ac:dyDescent="0.2">
      <c r="B148" s="217" t="str">
        <f t="shared" si="55"/>
        <v>Teljesítés 2021.12.31.</v>
      </c>
      <c r="C148" s="233">
        <f>'2.működés'!C132+'3.felh'!C97</f>
        <v>85788</v>
      </c>
      <c r="D148" s="233"/>
      <c r="E148" s="232"/>
      <c r="F148" s="232">
        <f t="shared" si="57"/>
        <v>85788</v>
      </c>
      <c r="G148" s="26"/>
    </row>
    <row r="149" spans="2:7" x14ac:dyDescent="0.2">
      <c r="C149" s="9"/>
      <c r="D149" s="9"/>
    </row>
  </sheetData>
  <mergeCells count="5">
    <mergeCell ref="F7:F8"/>
    <mergeCell ref="B5:F5"/>
    <mergeCell ref="B7:B8"/>
    <mergeCell ref="C7:C8"/>
    <mergeCell ref="E7:E8"/>
  </mergeCells>
  <pageMargins left="0.36" right="0.16" top="0.27559055118110237" bottom="0.15748031496062992" header="0.15748031496062992" footer="0.15748031496062992"/>
  <pageSetup paperSize="9" scale="85" orientation="portrait" r:id="rId1"/>
  <rowBreaks count="1" manualBreakCount="1">
    <brk id="78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N311"/>
  <sheetViews>
    <sheetView zoomScale="80" zoomScaleNormal="80" zoomScaleSheetLayoutView="50" zoomScalePageLayoutView="80" workbookViewId="0">
      <selection activeCell="E30" sqref="E30"/>
    </sheetView>
  </sheetViews>
  <sheetFormatPr defaultRowHeight="12.75" x14ac:dyDescent="0.2"/>
  <cols>
    <col min="1" max="1" width="6" style="165" customWidth="1"/>
    <col min="2" max="2" width="59.5703125" customWidth="1"/>
    <col min="3" max="5" width="12.28515625" customWidth="1"/>
    <col min="6" max="7" width="11.5703125" hidden="1" customWidth="1"/>
    <col min="8" max="8" width="17.140625" style="9" hidden="1" customWidth="1"/>
    <col min="9" max="10" width="9.140625" style="9" hidden="1" customWidth="1"/>
    <col min="11" max="11" width="10.140625" style="9" hidden="1" customWidth="1"/>
    <col min="12" max="12" width="10.140625" hidden="1" customWidth="1"/>
    <col min="13" max="15" width="12.28515625" customWidth="1"/>
    <col min="16" max="17" width="10.140625" hidden="1" customWidth="1"/>
    <col min="18" max="20" width="12.85546875" customWidth="1"/>
    <col min="21" max="22" width="10.140625" hidden="1" customWidth="1"/>
    <col min="23" max="25" width="12.42578125" customWidth="1"/>
    <col min="26" max="27" width="10.140625" hidden="1" customWidth="1"/>
    <col min="28" max="30" width="11.85546875" customWidth="1"/>
    <col min="31" max="32" width="10.140625" hidden="1" customWidth="1"/>
    <col min="33" max="33" width="10" hidden="1" customWidth="1"/>
    <col min="34" max="35" width="8.85546875" hidden="1" customWidth="1"/>
    <col min="36" max="37" width="10.140625" hidden="1" customWidth="1"/>
    <col min="38" max="38" width="9.5703125" hidden="1" customWidth="1"/>
    <col min="39" max="40" width="8.7109375" hidden="1" customWidth="1"/>
    <col min="41" max="42" width="10.140625" hidden="1" customWidth="1"/>
    <col min="43" max="45" width="12.7109375" customWidth="1"/>
    <col min="46" max="47" width="10.140625" hidden="1" customWidth="1"/>
    <col min="48" max="50" width="12.140625" customWidth="1"/>
    <col min="51" max="52" width="10.140625" hidden="1" customWidth="1"/>
    <col min="53" max="55" width="12.42578125" customWidth="1"/>
    <col min="56" max="57" width="11.7109375" hidden="1" customWidth="1"/>
    <col min="58" max="58" width="7.140625" style="9" hidden="1" customWidth="1"/>
    <col min="59" max="59" width="11.85546875" hidden="1" customWidth="1"/>
    <col min="60" max="64" width="9.140625" hidden="1" customWidth="1"/>
    <col min="65" max="65" width="0" hidden="1" customWidth="1"/>
  </cols>
  <sheetData>
    <row r="1" spans="1:59" x14ac:dyDescent="0.2">
      <c r="A1" s="268"/>
      <c r="B1" s="1"/>
      <c r="C1" s="56"/>
      <c r="D1" s="56"/>
      <c r="E1" s="56"/>
      <c r="F1" s="56"/>
      <c r="G1" s="56"/>
      <c r="W1" s="108"/>
      <c r="Y1" s="108" t="s">
        <v>327</v>
      </c>
      <c r="BC1" s="108" t="s">
        <v>327</v>
      </c>
      <c r="BE1" s="53"/>
    </row>
    <row r="2" spans="1:59" x14ac:dyDescent="0.2">
      <c r="A2" s="268"/>
      <c r="B2" s="1"/>
      <c r="C2" s="56"/>
      <c r="D2" s="56"/>
      <c r="E2" s="56"/>
      <c r="F2" s="56"/>
      <c r="G2" s="56"/>
      <c r="W2" s="461"/>
      <c r="Y2" s="108" t="str">
        <f>BC2</f>
        <v>a 13/2024.(IX.30.) önkormányzati rendelethez</v>
      </c>
      <c r="BC2" s="108" t="str">
        <f>'1.Bev-kiad.'!E2</f>
        <v>a 13/2024.(IX.30.) önkormányzati rendelethez</v>
      </c>
      <c r="BE2" s="53"/>
    </row>
    <row r="3" spans="1:59" x14ac:dyDescent="0.2">
      <c r="A3" s="268"/>
      <c r="B3" s="1"/>
      <c r="C3" s="56"/>
      <c r="D3" s="56"/>
      <c r="E3" s="56"/>
      <c r="F3" s="56"/>
      <c r="G3" s="56"/>
      <c r="Y3" s="108" t="s">
        <v>1061</v>
      </c>
      <c r="BC3" s="108" t="s">
        <v>1061</v>
      </c>
      <c r="BE3" s="53"/>
    </row>
    <row r="4" spans="1:59" x14ac:dyDescent="0.2">
      <c r="A4" s="268"/>
      <c r="B4" s="1"/>
      <c r="C4" s="56"/>
      <c r="D4" s="56"/>
      <c r="E4" s="56"/>
      <c r="F4" s="56"/>
      <c r="G4" s="56"/>
      <c r="X4" s="461"/>
      <c r="Y4" s="176"/>
      <c r="AC4" s="176"/>
      <c r="BE4" s="53"/>
    </row>
    <row r="5" spans="1:59" ht="15.75" x14ac:dyDescent="0.25">
      <c r="A5"/>
      <c r="B5" s="517"/>
      <c r="C5" s="704" t="s">
        <v>89</v>
      </c>
      <c r="D5" s="704"/>
      <c r="E5" s="704"/>
      <c r="F5" s="704"/>
      <c r="G5" s="704"/>
      <c r="H5" s="704"/>
      <c r="I5" s="704"/>
      <c r="J5" s="704"/>
      <c r="K5" s="704"/>
      <c r="L5" s="704"/>
      <c r="M5" s="704"/>
      <c r="N5" s="704"/>
      <c r="O5" s="704"/>
      <c r="P5" s="704"/>
      <c r="Q5" s="704"/>
      <c r="R5" s="704"/>
      <c r="S5" s="704"/>
      <c r="T5" s="704"/>
      <c r="U5" s="704"/>
      <c r="V5" s="704"/>
      <c r="W5" s="704"/>
      <c r="X5" s="704"/>
      <c r="Y5" s="704"/>
      <c r="Z5" s="704"/>
      <c r="AA5" s="704"/>
      <c r="AB5" s="704"/>
      <c r="AC5" s="704"/>
      <c r="AD5" s="517"/>
      <c r="AE5" s="517"/>
      <c r="AF5" s="517"/>
      <c r="AG5" s="517"/>
      <c r="AH5" s="517"/>
      <c r="AI5" s="517"/>
      <c r="AJ5" s="517"/>
      <c r="AK5" s="517"/>
      <c r="AL5" s="517"/>
      <c r="AM5" s="517"/>
      <c r="AN5" s="517"/>
      <c r="AO5" s="517"/>
      <c r="AP5" s="517"/>
      <c r="AQ5" s="517"/>
      <c r="AR5" s="517"/>
      <c r="AS5" s="517"/>
      <c r="AT5" s="517"/>
      <c r="AU5" s="517"/>
      <c r="AV5" s="517"/>
      <c r="AW5" s="517"/>
      <c r="AX5" s="517"/>
      <c r="AY5" s="517"/>
      <c r="AZ5" s="517"/>
      <c r="BA5" s="517"/>
      <c r="BB5" s="517"/>
      <c r="BC5" s="517"/>
    </row>
    <row r="6" spans="1:59" ht="15.75" x14ac:dyDescent="0.25">
      <c r="A6"/>
      <c r="B6" s="517"/>
      <c r="C6" s="704" t="s">
        <v>886</v>
      </c>
      <c r="D6" s="704"/>
      <c r="E6" s="704"/>
      <c r="F6" s="704"/>
      <c r="G6" s="704"/>
      <c r="H6" s="704"/>
      <c r="I6" s="704"/>
      <c r="J6" s="704"/>
      <c r="K6" s="704"/>
      <c r="L6" s="704"/>
      <c r="M6" s="704"/>
      <c r="N6" s="704"/>
      <c r="O6" s="704"/>
      <c r="P6" s="704"/>
      <c r="Q6" s="704"/>
      <c r="R6" s="704"/>
      <c r="S6" s="704"/>
      <c r="T6" s="704"/>
      <c r="U6" s="704"/>
      <c r="V6" s="704"/>
      <c r="W6" s="704"/>
      <c r="X6" s="704"/>
      <c r="Y6" s="704"/>
      <c r="Z6" s="704"/>
      <c r="AA6" s="704"/>
      <c r="AB6" s="704"/>
      <c r="AC6" s="704"/>
      <c r="AD6" s="517"/>
      <c r="AE6" s="517"/>
      <c r="AF6" s="517"/>
      <c r="AG6" s="517"/>
      <c r="AH6" s="517"/>
      <c r="AI6" s="517"/>
      <c r="AJ6" s="517"/>
      <c r="AK6" s="517"/>
      <c r="AL6" s="517"/>
      <c r="AM6" s="517"/>
      <c r="AN6" s="517"/>
      <c r="AO6" s="517"/>
      <c r="AP6" s="517"/>
      <c r="AQ6" s="517"/>
      <c r="AR6" s="517"/>
      <c r="AS6" s="517"/>
      <c r="AT6" s="517"/>
      <c r="AU6" s="517"/>
      <c r="AV6" s="517"/>
      <c r="AW6" s="517"/>
      <c r="AX6" s="517"/>
      <c r="AY6" s="517"/>
      <c r="AZ6" s="517"/>
      <c r="BA6" s="517"/>
      <c r="BB6" s="517"/>
      <c r="BC6" s="517"/>
    </row>
    <row r="7" spans="1:59" ht="15.75" x14ac:dyDescent="0.25">
      <c r="A7"/>
      <c r="B7" s="517"/>
      <c r="C7" s="704" t="s">
        <v>286</v>
      </c>
      <c r="D7" s="704"/>
      <c r="E7" s="704"/>
      <c r="F7" s="704"/>
      <c r="G7" s="704"/>
      <c r="H7" s="704"/>
      <c r="I7" s="704"/>
      <c r="J7" s="704"/>
      <c r="K7" s="704"/>
      <c r="L7" s="704"/>
      <c r="M7" s="704"/>
      <c r="N7" s="704"/>
      <c r="O7" s="704"/>
      <c r="P7" s="704"/>
      <c r="Q7" s="704"/>
      <c r="R7" s="704"/>
      <c r="S7" s="704"/>
      <c r="T7" s="704"/>
      <c r="U7" s="704"/>
      <c r="V7" s="704"/>
      <c r="W7" s="704"/>
      <c r="X7" s="704"/>
      <c r="Y7" s="704"/>
      <c r="Z7" s="704"/>
      <c r="AA7" s="704"/>
      <c r="AB7" s="704"/>
      <c r="AC7" s="704"/>
      <c r="AD7" s="517"/>
      <c r="AE7" s="517"/>
      <c r="AF7" s="517"/>
      <c r="AG7" s="517"/>
      <c r="AH7" s="517"/>
      <c r="AI7" s="517"/>
      <c r="AJ7" s="517"/>
      <c r="AK7" s="517"/>
      <c r="AL7" s="517"/>
      <c r="AM7" s="517"/>
      <c r="AN7" s="517"/>
      <c r="AO7" s="517"/>
      <c r="AP7" s="517"/>
      <c r="AQ7" s="517"/>
      <c r="AR7" s="517"/>
      <c r="AS7" s="517"/>
      <c r="AT7" s="517"/>
      <c r="AU7" s="517"/>
      <c r="AV7" s="517"/>
      <c r="AW7" s="517"/>
      <c r="AX7" s="517"/>
      <c r="AY7" s="517"/>
      <c r="AZ7" s="517"/>
      <c r="BA7" s="517"/>
      <c r="BB7" s="517"/>
      <c r="BC7" s="517"/>
    </row>
    <row r="8" spans="1:59" x14ac:dyDescent="0.2">
      <c r="B8" s="200">
        <v>27790</v>
      </c>
      <c r="C8" s="256"/>
      <c r="D8" s="256"/>
      <c r="E8" s="256"/>
      <c r="F8" s="256"/>
      <c r="G8" s="256"/>
      <c r="H8" s="177"/>
      <c r="I8" s="177"/>
      <c r="J8" s="177"/>
      <c r="K8" s="177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C8" s="10" t="s">
        <v>0</v>
      </c>
      <c r="BD8" s="54"/>
    </row>
    <row r="9" spans="1:59" ht="99.75" customHeight="1" x14ac:dyDescent="0.2">
      <c r="A9" s="705" t="s">
        <v>109</v>
      </c>
      <c r="B9" s="707" t="s">
        <v>26</v>
      </c>
      <c r="C9" s="709" t="s">
        <v>831</v>
      </c>
      <c r="D9" s="710"/>
      <c r="E9" s="710"/>
      <c r="F9" s="710"/>
      <c r="G9" s="711"/>
      <c r="H9" s="709" t="s">
        <v>631</v>
      </c>
      <c r="I9" s="710"/>
      <c r="J9" s="710"/>
      <c r="K9" s="710"/>
      <c r="L9" s="710"/>
      <c r="M9" s="709" t="s">
        <v>108</v>
      </c>
      <c r="N9" s="710"/>
      <c r="O9" s="710"/>
      <c r="P9" s="710"/>
      <c r="Q9" s="711"/>
      <c r="R9" s="709" t="s">
        <v>1129</v>
      </c>
      <c r="S9" s="710"/>
      <c r="T9" s="710"/>
      <c r="U9" s="710"/>
      <c r="V9" s="710"/>
      <c r="W9" s="709" t="s">
        <v>285</v>
      </c>
      <c r="X9" s="710"/>
      <c r="Y9" s="710"/>
      <c r="Z9" s="710"/>
      <c r="AA9" s="711"/>
      <c r="AB9" s="709" t="s">
        <v>1128</v>
      </c>
      <c r="AC9" s="710"/>
      <c r="AD9" s="710"/>
      <c r="AE9" s="710"/>
      <c r="AF9" s="711"/>
      <c r="AG9" s="709"/>
      <c r="AH9" s="710"/>
      <c r="AI9" s="710"/>
      <c r="AJ9" s="710"/>
      <c r="AK9" s="711"/>
      <c r="AL9" s="709"/>
      <c r="AM9" s="710"/>
      <c r="AN9" s="710"/>
      <c r="AO9" s="710"/>
      <c r="AP9" s="711"/>
      <c r="AQ9" s="709" t="s">
        <v>838</v>
      </c>
      <c r="AR9" s="710"/>
      <c r="AS9" s="710"/>
      <c r="AT9" s="710"/>
      <c r="AU9" s="710"/>
      <c r="AV9" s="709" t="s">
        <v>830</v>
      </c>
      <c r="AW9" s="710"/>
      <c r="AX9" s="710"/>
      <c r="AY9" s="710"/>
      <c r="AZ9" s="711"/>
      <c r="BA9" s="712" t="s">
        <v>29</v>
      </c>
      <c r="BB9" s="713"/>
      <c r="BC9" s="713"/>
      <c r="BD9" s="713"/>
      <c r="BE9" s="714"/>
    </row>
    <row r="10" spans="1:59" ht="34.5" customHeight="1" x14ac:dyDescent="0.2">
      <c r="A10" s="706"/>
      <c r="B10" s="708"/>
      <c r="C10" s="401" t="s">
        <v>887</v>
      </c>
      <c r="D10" s="401" t="s">
        <v>1060</v>
      </c>
      <c r="E10" s="401" t="s">
        <v>1127</v>
      </c>
      <c r="F10" s="401" t="s">
        <v>888</v>
      </c>
      <c r="G10" s="401" t="s">
        <v>889</v>
      </c>
      <c r="H10" s="401" t="str">
        <f>C10</f>
        <v>2024. évi eredeti ei.</v>
      </c>
      <c r="I10" s="401" t="str">
        <f>D10</f>
        <v>mód.ei.          2024.06.hó</v>
      </c>
      <c r="J10" s="401" t="str">
        <f>E10</f>
        <v>mód.ei.          2024.09.hó</v>
      </c>
      <c r="K10" s="401" t="str">
        <f>F10</f>
        <v>mód.ei.          2024..hó</v>
      </c>
      <c r="L10" s="401" t="str">
        <f>G10</f>
        <v>teljesítés 2023.12.31</v>
      </c>
      <c r="M10" s="401" t="str">
        <f>C10</f>
        <v>2024. évi eredeti ei.</v>
      </c>
      <c r="N10" s="401" t="str">
        <f>D10</f>
        <v>mód.ei.          2024.06.hó</v>
      </c>
      <c r="O10" s="401" t="str">
        <f>E10</f>
        <v>mód.ei.          2024.09.hó</v>
      </c>
      <c r="P10" s="401" t="str">
        <f>F10</f>
        <v>mód.ei.          2024..hó</v>
      </c>
      <c r="Q10" s="401" t="str">
        <f>G10</f>
        <v>teljesítés 2023.12.31</v>
      </c>
      <c r="R10" s="401" t="str">
        <f>C10</f>
        <v>2024. évi eredeti ei.</v>
      </c>
      <c r="S10" s="401" t="str">
        <f t="shared" ref="S10:T10" si="0">D10</f>
        <v>mód.ei.          2024.06.hó</v>
      </c>
      <c r="T10" s="401" t="str">
        <f t="shared" si="0"/>
        <v>mód.ei.          2024.09.hó</v>
      </c>
      <c r="U10" s="401" t="str">
        <f>K10</f>
        <v>mód.ei.          2024..hó</v>
      </c>
      <c r="V10" s="401" t="str">
        <f>L10</f>
        <v>teljesítés 2023.12.31</v>
      </c>
      <c r="W10" s="401" t="str">
        <f>C10</f>
        <v>2024. évi eredeti ei.</v>
      </c>
      <c r="X10" s="401" t="str">
        <f>D10</f>
        <v>mód.ei.          2024.06.hó</v>
      </c>
      <c r="Y10" s="401" t="str">
        <f>E10</f>
        <v>mód.ei.          2024.09.hó</v>
      </c>
      <c r="Z10" s="401" t="str">
        <f>F10</f>
        <v>mód.ei.          2024..hó</v>
      </c>
      <c r="AA10" s="401" t="str">
        <f>G10</f>
        <v>teljesítés 2023.12.31</v>
      </c>
      <c r="AB10" s="401" t="str">
        <f>C10</f>
        <v>2024. évi eredeti ei.</v>
      </c>
      <c r="AC10" s="401" t="str">
        <f>D10</f>
        <v>mód.ei.          2024.06.hó</v>
      </c>
      <c r="AD10" s="401" t="str">
        <f>E10</f>
        <v>mód.ei.          2024.09.hó</v>
      </c>
      <c r="AE10" s="401" t="str">
        <f>F10</f>
        <v>mód.ei.          2024..hó</v>
      </c>
      <c r="AF10" s="401" t="str">
        <f>G10</f>
        <v>teljesítés 2023.12.31</v>
      </c>
      <c r="AG10" s="401" t="str">
        <f>C10</f>
        <v>2024. évi eredeti ei.</v>
      </c>
      <c r="AH10" s="401" t="str">
        <f>D10</f>
        <v>mód.ei.          2024.06.hó</v>
      </c>
      <c r="AI10" s="401" t="str">
        <f>E10</f>
        <v>mód.ei.          2024.09.hó</v>
      </c>
      <c r="AJ10" s="401" t="str">
        <f>F10</f>
        <v>mód.ei.          2024..hó</v>
      </c>
      <c r="AK10" s="401" t="str">
        <f>G10</f>
        <v>teljesítés 2023.12.31</v>
      </c>
      <c r="AL10" s="401" t="str">
        <f>C10</f>
        <v>2024. évi eredeti ei.</v>
      </c>
      <c r="AM10" s="401" t="str">
        <f>D10</f>
        <v>mód.ei.          2024.06.hó</v>
      </c>
      <c r="AN10" s="401" t="str">
        <f>E10</f>
        <v>mód.ei.          2024.09.hó</v>
      </c>
      <c r="AO10" s="401" t="str">
        <f>F10</f>
        <v>mód.ei.          2024..hó</v>
      </c>
      <c r="AP10" s="401" t="str">
        <f>G10</f>
        <v>teljesítés 2023.12.31</v>
      </c>
      <c r="AQ10" s="401" t="str">
        <f>AB10</f>
        <v>2024. évi eredeti ei.</v>
      </c>
      <c r="AR10" s="401" t="str">
        <f>AC10</f>
        <v>mód.ei.          2024.06.hó</v>
      </c>
      <c r="AS10" s="401" t="str">
        <f>AD10</f>
        <v>mód.ei.          2024.09.hó</v>
      </c>
      <c r="AT10" s="401" t="str">
        <f>AE10</f>
        <v>mód.ei.          2024..hó</v>
      </c>
      <c r="AU10" s="401" t="str">
        <f>AF10</f>
        <v>teljesítés 2023.12.31</v>
      </c>
      <c r="AV10" s="401" t="str">
        <f>C10</f>
        <v>2024. évi eredeti ei.</v>
      </c>
      <c r="AW10" s="401" t="str">
        <f>D10</f>
        <v>mód.ei.          2024.06.hó</v>
      </c>
      <c r="AX10" s="401" t="str">
        <f>E10</f>
        <v>mód.ei.          2024.09.hó</v>
      </c>
      <c r="AY10" s="401" t="str">
        <f>F10</f>
        <v>mód.ei.          2024..hó</v>
      </c>
      <c r="AZ10" s="401" t="str">
        <f>G10</f>
        <v>teljesítés 2023.12.31</v>
      </c>
      <c r="BA10" s="413" t="str">
        <f>C10</f>
        <v>2024. évi eredeti ei.</v>
      </c>
      <c r="BB10" s="413" t="str">
        <f>D10</f>
        <v>mód.ei.          2024.06.hó</v>
      </c>
      <c r="BC10" s="413" t="str">
        <f>E10</f>
        <v>mód.ei.          2024.09.hó</v>
      </c>
      <c r="BD10" s="413" t="str">
        <f>F10</f>
        <v>mód.ei.          2024..hó</v>
      </c>
      <c r="BE10" s="413" t="str">
        <f>G10</f>
        <v>teljesítés 2023.12.31</v>
      </c>
      <c r="BF10" s="299"/>
    </row>
    <row r="11" spans="1:59" x14ac:dyDescent="0.2">
      <c r="A11" s="269" t="s">
        <v>267</v>
      </c>
      <c r="B11" s="16" t="s">
        <v>268</v>
      </c>
      <c r="C11" s="249">
        <f t="shared" ref="C11:AH11" si="1">SUM(C12:C18)</f>
        <v>0</v>
      </c>
      <c r="D11" s="249">
        <f>SUM(D12:D18)</f>
        <v>0</v>
      </c>
      <c r="E11" s="249">
        <f>SUM(E12:E18)</f>
        <v>0</v>
      </c>
      <c r="F11" s="249">
        <f t="shared" si="1"/>
        <v>0</v>
      </c>
      <c r="G11" s="249">
        <f t="shared" si="1"/>
        <v>0</v>
      </c>
      <c r="H11" s="249">
        <f t="shared" si="1"/>
        <v>0</v>
      </c>
      <c r="I11" s="249">
        <f t="shared" ref="I11:L11" si="2">SUM(I12:I18)</f>
        <v>0</v>
      </c>
      <c r="J11" s="249">
        <f t="shared" si="2"/>
        <v>0</v>
      </c>
      <c r="K11" s="249">
        <f t="shared" si="2"/>
        <v>0</v>
      </c>
      <c r="L11" s="249">
        <f t="shared" si="2"/>
        <v>0</v>
      </c>
      <c r="M11" s="249">
        <f t="shared" si="1"/>
        <v>0</v>
      </c>
      <c r="N11" s="249">
        <f t="shared" si="1"/>
        <v>0</v>
      </c>
      <c r="O11" s="249">
        <f t="shared" si="1"/>
        <v>0</v>
      </c>
      <c r="P11" s="249">
        <f t="shared" si="1"/>
        <v>0</v>
      </c>
      <c r="Q11" s="249">
        <f t="shared" si="1"/>
        <v>0</v>
      </c>
      <c r="R11" s="249">
        <f t="shared" ref="R11:V11" si="3">SUM(R12:R18)</f>
        <v>0</v>
      </c>
      <c r="S11" s="249">
        <f t="shared" si="3"/>
        <v>0</v>
      </c>
      <c r="T11" s="249">
        <f t="shared" si="3"/>
        <v>0</v>
      </c>
      <c r="U11" s="249">
        <f t="shared" si="3"/>
        <v>0</v>
      </c>
      <c r="V11" s="249">
        <f t="shared" si="3"/>
        <v>0</v>
      </c>
      <c r="W11" s="249">
        <f t="shared" si="1"/>
        <v>13583</v>
      </c>
      <c r="X11" s="249">
        <f t="shared" ref="X11:AA11" si="4">SUM(X12:X18)</f>
        <v>13703</v>
      </c>
      <c r="Y11" s="249">
        <f t="shared" ref="Y11" si="5">SUM(Y12:Y18)</f>
        <v>13703</v>
      </c>
      <c r="Z11" s="249">
        <f t="shared" si="4"/>
        <v>13583</v>
      </c>
      <c r="AA11" s="249">
        <f t="shared" si="4"/>
        <v>13583</v>
      </c>
      <c r="AB11" s="249">
        <f t="shared" si="1"/>
        <v>2685</v>
      </c>
      <c r="AC11" s="249">
        <f t="shared" ref="AC11:AF11" si="6">SUM(AC12:AC18)</f>
        <v>2685</v>
      </c>
      <c r="AD11" s="249">
        <f t="shared" ref="AD11" si="7">SUM(AD12:AD18)</f>
        <v>2685</v>
      </c>
      <c r="AE11" s="249">
        <f t="shared" si="6"/>
        <v>2685</v>
      </c>
      <c r="AF11" s="249">
        <f t="shared" si="6"/>
        <v>2685</v>
      </c>
      <c r="AG11" s="249">
        <f t="shared" si="1"/>
        <v>0</v>
      </c>
      <c r="AH11" s="249">
        <f t="shared" si="1"/>
        <v>0</v>
      </c>
      <c r="AI11" s="249">
        <f t="shared" ref="AI11:AV11" si="8">SUM(AI12:AI18)</f>
        <v>0</v>
      </c>
      <c r="AJ11" s="249">
        <f t="shared" si="8"/>
        <v>0</v>
      </c>
      <c r="AK11" s="249">
        <f t="shared" si="8"/>
        <v>0</v>
      </c>
      <c r="AL11" s="249">
        <f t="shared" si="8"/>
        <v>0</v>
      </c>
      <c r="AM11" s="249">
        <f t="shared" si="8"/>
        <v>0</v>
      </c>
      <c r="AN11" s="249">
        <f t="shared" si="8"/>
        <v>0</v>
      </c>
      <c r="AO11" s="249">
        <f t="shared" si="8"/>
        <v>0</v>
      </c>
      <c r="AP11" s="249">
        <f t="shared" si="8"/>
        <v>0</v>
      </c>
      <c r="AQ11" s="249">
        <f t="shared" ref="AQ11" si="9">SUM(AQ12:AQ18)</f>
        <v>4417</v>
      </c>
      <c r="AR11" s="249">
        <f t="shared" ref="AR11:AU11" si="10">SUM(AR12:AR18)</f>
        <v>4307</v>
      </c>
      <c r="AS11" s="249">
        <f t="shared" si="10"/>
        <v>4307</v>
      </c>
      <c r="AT11" s="249">
        <f t="shared" si="10"/>
        <v>4417</v>
      </c>
      <c r="AU11" s="249">
        <f t="shared" si="10"/>
        <v>4417</v>
      </c>
      <c r="AV11" s="249">
        <f t="shared" si="8"/>
        <v>5128</v>
      </c>
      <c r="AW11" s="249">
        <f t="shared" ref="AW11:AZ11" si="11">SUM(AW12:AW18)</f>
        <v>5118</v>
      </c>
      <c r="AX11" s="249">
        <f t="shared" ref="AX11" si="12">SUM(AX12:AX18)</f>
        <v>5118</v>
      </c>
      <c r="AY11" s="249">
        <f t="shared" si="11"/>
        <v>5128</v>
      </c>
      <c r="AZ11" s="249">
        <f t="shared" si="11"/>
        <v>5128</v>
      </c>
      <c r="BA11" s="280">
        <f t="shared" ref="BA11:BA30" si="13">C11+H11+M11+R11+W11+AB11+AG11+AL11+AQ11+AV11</f>
        <v>25813</v>
      </c>
      <c r="BB11" s="280">
        <f t="shared" ref="BB11:BE30" si="14">D11+I11+N11+S11+X11+AC11+AH11+AM11+AR11+AW11</f>
        <v>25813</v>
      </c>
      <c r="BC11" s="280">
        <f t="shared" si="14"/>
        <v>25813</v>
      </c>
      <c r="BD11" s="280">
        <f t="shared" si="14"/>
        <v>25813</v>
      </c>
      <c r="BE11" s="280">
        <f t="shared" si="14"/>
        <v>25813</v>
      </c>
      <c r="BF11" s="301">
        <f>SUM(BA12:BA18)</f>
        <v>25813</v>
      </c>
      <c r="BG11" s="280">
        <v>30720</v>
      </c>
    </row>
    <row r="12" spans="1:59" x14ac:dyDescent="0.2">
      <c r="A12" s="58">
        <v>1101</v>
      </c>
      <c r="B12" s="50" t="s">
        <v>302</v>
      </c>
      <c r="C12" s="226"/>
      <c r="D12" s="226"/>
      <c r="E12" s="226"/>
      <c r="F12" s="226"/>
      <c r="G12" s="226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>
        <v>12895</v>
      </c>
      <c r="X12" s="80">
        <f>12895+120</f>
        <v>13015</v>
      </c>
      <c r="Y12" s="80">
        <f>12895+120</f>
        <v>13015</v>
      </c>
      <c r="Z12" s="603">
        <v>12895</v>
      </c>
      <c r="AA12" s="603">
        <v>12895</v>
      </c>
      <c r="AB12" s="80">
        <v>2401</v>
      </c>
      <c r="AC12" s="80">
        <v>2401</v>
      </c>
      <c r="AD12" s="80">
        <v>2401</v>
      </c>
      <c r="AE12" s="80">
        <v>2401</v>
      </c>
      <c r="AF12" s="80">
        <v>2401</v>
      </c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>
        <v>3921</v>
      </c>
      <c r="AR12" s="80">
        <f>3921-110</f>
        <v>3811</v>
      </c>
      <c r="AS12" s="80">
        <f>3921-110</f>
        <v>3811</v>
      </c>
      <c r="AT12" s="80">
        <v>3921</v>
      </c>
      <c r="AU12" s="80">
        <v>3921</v>
      </c>
      <c r="AV12" s="80">
        <v>4882</v>
      </c>
      <c r="AW12" s="80">
        <f>4882-10</f>
        <v>4872</v>
      </c>
      <c r="AX12" s="80">
        <f>4882-10</f>
        <v>4872</v>
      </c>
      <c r="AY12" s="603">
        <v>4882</v>
      </c>
      <c r="AZ12" s="603">
        <v>4882</v>
      </c>
      <c r="BA12" s="279">
        <f t="shared" si="13"/>
        <v>24099</v>
      </c>
      <c r="BB12" s="279">
        <f t="shared" si="14"/>
        <v>24099</v>
      </c>
      <c r="BC12" s="279">
        <f t="shared" si="14"/>
        <v>24099</v>
      </c>
      <c r="BD12" s="279">
        <f t="shared" si="14"/>
        <v>24099</v>
      </c>
      <c r="BE12" s="279">
        <f t="shared" si="14"/>
        <v>24099</v>
      </c>
      <c r="BF12" s="301"/>
      <c r="BG12" s="279">
        <v>28645</v>
      </c>
    </row>
    <row r="13" spans="1:59" x14ac:dyDescent="0.2">
      <c r="A13" s="58">
        <v>1104</v>
      </c>
      <c r="B13" s="8" t="s">
        <v>437</v>
      </c>
      <c r="C13" s="226"/>
      <c r="D13" s="226"/>
      <c r="E13" s="226"/>
      <c r="F13" s="226"/>
      <c r="G13" s="226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>
        <v>100</v>
      </c>
      <c r="X13" s="80">
        <v>100</v>
      </c>
      <c r="Y13" s="80">
        <v>100</v>
      </c>
      <c r="Z13" s="603">
        <v>100</v>
      </c>
      <c r="AA13" s="603">
        <v>100</v>
      </c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279">
        <f t="shared" ref="BA13:BA18" si="15">C13+H13+M13+R13+W13+AB13+AG13+AL13+AQ13+AV13</f>
        <v>100</v>
      </c>
      <c r="BB13" s="279">
        <f t="shared" si="14"/>
        <v>100</v>
      </c>
      <c r="BC13" s="279">
        <f t="shared" si="14"/>
        <v>100</v>
      </c>
      <c r="BD13" s="279">
        <f t="shared" si="14"/>
        <v>100</v>
      </c>
      <c r="BE13" s="279">
        <f t="shared" si="14"/>
        <v>100</v>
      </c>
      <c r="BF13" s="301"/>
      <c r="BG13" s="279">
        <v>130</v>
      </c>
    </row>
    <row r="14" spans="1:59" x14ac:dyDescent="0.2">
      <c r="A14" s="58">
        <v>1107</v>
      </c>
      <c r="B14" s="8" t="s">
        <v>30</v>
      </c>
      <c r="C14" s="8"/>
      <c r="D14" s="8"/>
      <c r="E14" s="8"/>
      <c r="F14" s="8"/>
      <c r="G14" s="8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>
        <v>288</v>
      </c>
      <c r="X14" s="11">
        <v>288</v>
      </c>
      <c r="Y14" s="11">
        <v>288</v>
      </c>
      <c r="Z14" s="400">
        <v>288</v>
      </c>
      <c r="AA14" s="400">
        <v>288</v>
      </c>
      <c r="AB14" s="11">
        <v>72</v>
      </c>
      <c r="AC14" s="11">
        <v>72</v>
      </c>
      <c r="AD14" s="11">
        <v>72</v>
      </c>
      <c r="AE14" s="11">
        <v>72</v>
      </c>
      <c r="AF14" s="11">
        <v>72</v>
      </c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>
        <v>96</v>
      </c>
      <c r="AR14" s="11">
        <v>96</v>
      </c>
      <c r="AS14" s="11">
        <v>96</v>
      </c>
      <c r="AT14" s="11">
        <v>96</v>
      </c>
      <c r="AU14" s="11">
        <v>96</v>
      </c>
      <c r="AV14" s="11">
        <v>96</v>
      </c>
      <c r="AW14" s="11">
        <v>96</v>
      </c>
      <c r="AX14" s="11">
        <v>96</v>
      </c>
      <c r="AY14" s="400">
        <v>96</v>
      </c>
      <c r="AZ14" s="400">
        <v>96</v>
      </c>
      <c r="BA14" s="279">
        <f t="shared" si="15"/>
        <v>552</v>
      </c>
      <c r="BB14" s="279">
        <f t="shared" si="14"/>
        <v>552</v>
      </c>
      <c r="BC14" s="279">
        <f t="shared" si="14"/>
        <v>552</v>
      </c>
      <c r="BD14" s="279">
        <f t="shared" si="14"/>
        <v>552</v>
      </c>
      <c r="BE14" s="279">
        <f t="shared" si="14"/>
        <v>552</v>
      </c>
      <c r="BF14" s="301"/>
      <c r="BG14" s="279">
        <v>648</v>
      </c>
    </row>
    <row r="15" spans="1:59" x14ac:dyDescent="0.2">
      <c r="A15" s="58">
        <v>1109</v>
      </c>
      <c r="B15" s="50" t="s">
        <v>57</v>
      </c>
      <c r="C15" s="226"/>
      <c r="D15" s="226"/>
      <c r="E15" s="226"/>
      <c r="F15" s="226"/>
      <c r="G15" s="226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>
        <v>62</v>
      </c>
      <c r="AC15" s="80">
        <v>62</v>
      </c>
      <c r="AD15" s="80">
        <v>62</v>
      </c>
      <c r="AE15" s="80">
        <v>62</v>
      </c>
      <c r="AF15" s="80">
        <v>62</v>
      </c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279">
        <f t="shared" si="15"/>
        <v>62</v>
      </c>
      <c r="BB15" s="279">
        <f t="shared" si="14"/>
        <v>62</v>
      </c>
      <c r="BC15" s="279">
        <f t="shared" si="14"/>
        <v>62</v>
      </c>
      <c r="BD15" s="279">
        <f t="shared" si="14"/>
        <v>62</v>
      </c>
      <c r="BE15" s="279">
        <f t="shared" si="14"/>
        <v>62</v>
      </c>
      <c r="BF15" s="301"/>
      <c r="BG15" s="279">
        <v>547</v>
      </c>
    </row>
    <row r="16" spans="1:59" s="9" customFormat="1" x14ac:dyDescent="0.2">
      <c r="A16" s="58">
        <v>1113</v>
      </c>
      <c r="B16" s="8" t="s">
        <v>446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>
        <v>300</v>
      </c>
      <c r="X16" s="11">
        <v>300</v>
      </c>
      <c r="Y16" s="11">
        <v>300</v>
      </c>
      <c r="Z16" s="400">
        <v>300</v>
      </c>
      <c r="AA16" s="400">
        <v>300</v>
      </c>
      <c r="AB16" s="11">
        <v>150</v>
      </c>
      <c r="AC16" s="11">
        <v>150</v>
      </c>
      <c r="AD16" s="11">
        <v>150</v>
      </c>
      <c r="AE16" s="11">
        <v>150</v>
      </c>
      <c r="AF16" s="11">
        <v>150</v>
      </c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>
        <v>400</v>
      </c>
      <c r="AR16" s="11">
        <v>400</v>
      </c>
      <c r="AS16" s="11">
        <v>400</v>
      </c>
      <c r="AT16" s="11">
        <v>400</v>
      </c>
      <c r="AU16" s="11">
        <v>400</v>
      </c>
      <c r="AV16" s="11">
        <v>150</v>
      </c>
      <c r="AW16" s="11">
        <v>150</v>
      </c>
      <c r="AX16" s="11">
        <v>150</v>
      </c>
      <c r="AY16" s="400">
        <v>150</v>
      </c>
      <c r="AZ16" s="400">
        <v>150</v>
      </c>
      <c r="BA16" s="279">
        <f t="shared" si="15"/>
        <v>1000</v>
      </c>
      <c r="BB16" s="279">
        <f t="shared" si="14"/>
        <v>1000</v>
      </c>
      <c r="BC16" s="279">
        <f t="shared" si="14"/>
        <v>1000</v>
      </c>
      <c r="BD16" s="279">
        <f t="shared" si="14"/>
        <v>1000</v>
      </c>
      <c r="BE16" s="279">
        <f t="shared" si="14"/>
        <v>1000</v>
      </c>
      <c r="BF16" s="301"/>
      <c r="BG16" s="279">
        <v>750</v>
      </c>
    </row>
    <row r="17" spans="1:66" s="9" customFormat="1" ht="12.75" hidden="1" customHeight="1" x14ac:dyDescent="0.2">
      <c r="A17" s="58"/>
      <c r="B17" s="8"/>
      <c r="C17" s="8"/>
      <c r="D17" s="8"/>
      <c r="E17" s="8"/>
      <c r="F17" s="8"/>
      <c r="G17" s="8"/>
      <c r="H17" s="11"/>
      <c r="I17" s="11"/>
      <c r="J17" s="11"/>
      <c r="K17" s="11">
        <v>0</v>
      </c>
      <c r="L17" s="11">
        <v>0</v>
      </c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>
        <v>0</v>
      </c>
      <c r="AA17" s="11">
        <v>0</v>
      </c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279">
        <f t="shared" si="15"/>
        <v>0</v>
      </c>
      <c r="BB17" s="279">
        <f t="shared" si="14"/>
        <v>0</v>
      </c>
      <c r="BC17" s="279">
        <f t="shared" si="14"/>
        <v>0</v>
      </c>
      <c r="BD17" s="279">
        <f t="shared" si="14"/>
        <v>0</v>
      </c>
      <c r="BE17" s="279">
        <f t="shared" si="14"/>
        <v>0</v>
      </c>
      <c r="BF17" s="301"/>
      <c r="BG17" s="279">
        <v>0</v>
      </c>
    </row>
    <row r="18" spans="1:66" s="9" customFormat="1" ht="12.75" hidden="1" customHeight="1" x14ac:dyDescent="0.2">
      <c r="A18" s="58"/>
      <c r="B18" s="8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279">
        <f t="shared" si="15"/>
        <v>0</v>
      </c>
      <c r="BB18" s="279">
        <f t="shared" si="14"/>
        <v>0</v>
      </c>
      <c r="BC18" s="279">
        <f t="shared" si="14"/>
        <v>0</v>
      </c>
      <c r="BD18" s="279">
        <f t="shared" si="14"/>
        <v>0</v>
      </c>
      <c r="BE18" s="279">
        <f t="shared" si="14"/>
        <v>0</v>
      </c>
      <c r="BF18" s="301"/>
      <c r="BG18" s="279">
        <v>0</v>
      </c>
    </row>
    <row r="19" spans="1:66" s="9" customFormat="1" x14ac:dyDescent="0.2">
      <c r="A19" s="270" t="s">
        <v>269</v>
      </c>
      <c r="B19" s="14" t="s">
        <v>300</v>
      </c>
      <c r="C19" s="6">
        <f t="shared" ref="C19:V19" si="16">SUM(C20:C28)</f>
        <v>25272</v>
      </c>
      <c r="D19" s="6">
        <f t="shared" ref="D19:E19" si="17">SUM(D20:D28)</f>
        <v>25272</v>
      </c>
      <c r="E19" s="6">
        <f t="shared" si="17"/>
        <v>34595</v>
      </c>
      <c r="F19" s="6">
        <f t="shared" si="16"/>
        <v>25272</v>
      </c>
      <c r="G19" s="6">
        <f t="shared" si="16"/>
        <v>25272</v>
      </c>
      <c r="H19" s="6">
        <f t="shared" si="16"/>
        <v>0</v>
      </c>
      <c r="I19" s="6">
        <f t="shared" si="16"/>
        <v>0</v>
      </c>
      <c r="J19" s="6">
        <f t="shared" si="16"/>
        <v>0</v>
      </c>
      <c r="K19" s="6">
        <f t="shared" si="16"/>
        <v>0</v>
      </c>
      <c r="L19" s="6">
        <f t="shared" si="16"/>
        <v>0</v>
      </c>
      <c r="M19" s="6">
        <f t="shared" si="16"/>
        <v>0</v>
      </c>
      <c r="N19" s="6">
        <f t="shared" si="16"/>
        <v>0</v>
      </c>
      <c r="O19" s="6">
        <f t="shared" si="16"/>
        <v>0</v>
      </c>
      <c r="P19" s="6">
        <f t="shared" si="16"/>
        <v>0</v>
      </c>
      <c r="Q19" s="6">
        <f t="shared" si="16"/>
        <v>0</v>
      </c>
      <c r="R19" s="6">
        <f t="shared" si="16"/>
        <v>1440</v>
      </c>
      <c r="S19" s="6">
        <f t="shared" si="16"/>
        <v>1440</v>
      </c>
      <c r="T19" s="6">
        <f t="shared" ref="T19" si="18">SUM(T20:T28)</f>
        <v>1340</v>
      </c>
      <c r="U19" s="6">
        <f t="shared" si="16"/>
        <v>1440</v>
      </c>
      <c r="V19" s="6">
        <f t="shared" si="16"/>
        <v>1440</v>
      </c>
      <c r="W19" s="6">
        <f t="shared" ref="W19:AZ19" si="19">SUM(W20:W28)</f>
        <v>0</v>
      </c>
      <c r="X19" s="6">
        <f t="shared" ref="X19:Y19" si="20">SUM(X20:X28)</f>
        <v>0</v>
      </c>
      <c r="Y19" s="6">
        <f t="shared" si="20"/>
        <v>0</v>
      </c>
      <c r="Z19" s="6">
        <f t="shared" si="19"/>
        <v>0</v>
      </c>
      <c r="AA19" s="6">
        <f t="shared" si="19"/>
        <v>0</v>
      </c>
      <c r="AB19" s="6">
        <f t="shared" si="19"/>
        <v>150</v>
      </c>
      <c r="AC19" s="6">
        <f t="shared" si="19"/>
        <v>150</v>
      </c>
      <c r="AD19" s="6">
        <f t="shared" ref="AD19" si="21">SUM(AD20:AD28)</f>
        <v>150</v>
      </c>
      <c r="AE19" s="6">
        <f t="shared" si="19"/>
        <v>150</v>
      </c>
      <c r="AF19" s="6">
        <f t="shared" si="19"/>
        <v>150</v>
      </c>
      <c r="AG19" s="6">
        <f t="shared" si="19"/>
        <v>0</v>
      </c>
      <c r="AH19" s="6">
        <f t="shared" si="19"/>
        <v>0</v>
      </c>
      <c r="AI19" s="6">
        <f t="shared" si="19"/>
        <v>0</v>
      </c>
      <c r="AJ19" s="6">
        <f t="shared" si="19"/>
        <v>0</v>
      </c>
      <c r="AK19" s="6">
        <f t="shared" si="19"/>
        <v>0</v>
      </c>
      <c r="AL19" s="6">
        <f t="shared" si="19"/>
        <v>0</v>
      </c>
      <c r="AM19" s="6">
        <f t="shared" si="19"/>
        <v>0</v>
      </c>
      <c r="AN19" s="6">
        <f t="shared" si="19"/>
        <v>0</v>
      </c>
      <c r="AO19" s="6">
        <f t="shared" si="19"/>
        <v>0</v>
      </c>
      <c r="AP19" s="6">
        <f t="shared" si="19"/>
        <v>0</v>
      </c>
      <c r="AQ19" s="6">
        <f t="shared" si="19"/>
        <v>400</v>
      </c>
      <c r="AR19" s="6">
        <f t="shared" si="19"/>
        <v>400</v>
      </c>
      <c r="AS19" s="6">
        <f t="shared" ref="AS19" si="22">SUM(AS20:AS28)</f>
        <v>500</v>
      </c>
      <c r="AT19" s="6">
        <f t="shared" si="19"/>
        <v>400</v>
      </c>
      <c r="AU19" s="6">
        <f t="shared" si="19"/>
        <v>400</v>
      </c>
      <c r="AV19" s="6">
        <f t="shared" si="19"/>
        <v>1200</v>
      </c>
      <c r="AW19" s="6">
        <f t="shared" ref="AW19:AX19" si="23">SUM(AW20:AW28)</f>
        <v>1457</v>
      </c>
      <c r="AX19" s="6">
        <f t="shared" si="23"/>
        <v>1457</v>
      </c>
      <c r="AY19" s="6">
        <f t="shared" si="19"/>
        <v>1200</v>
      </c>
      <c r="AZ19" s="6">
        <f t="shared" si="19"/>
        <v>1200</v>
      </c>
      <c r="BA19" s="280">
        <f t="shared" si="13"/>
        <v>28462</v>
      </c>
      <c r="BB19" s="280">
        <f t="shared" si="14"/>
        <v>28719</v>
      </c>
      <c r="BC19" s="280">
        <f t="shared" si="14"/>
        <v>38042</v>
      </c>
      <c r="BD19" s="280">
        <f t="shared" si="14"/>
        <v>28462</v>
      </c>
      <c r="BE19" s="280">
        <f t="shared" si="14"/>
        <v>28462</v>
      </c>
      <c r="BF19" s="301">
        <f>SUM(BA20:BA28)</f>
        <v>28462</v>
      </c>
      <c r="BG19" s="280">
        <v>24622</v>
      </c>
    </row>
    <row r="20" spans="1:66" s="9" customFormat="1" x14ac:dyDescent="0.2">
      <c r="A20" s="58">
        <v>121</v>
      </c>
      <c r="B20" s="8" t="s">
        <v>1203</v>
      </c>
      <c r="C20" s="226">
        <v>9360</v>
      </c>
      <c r="D20" s="226">
        <v>9360</v>
      </c>
      <c r="E20" s="226">
        <f>9360+4680+3443</f>
        <v>17483</v>
      </c>
      <c r="F20" s="602">
        <v>9360</v>
      </c>
      <c r="G20" s="602">
        <v>9360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487">
        <f t="shared" si="13"/>
        <v>9360</v>
      </c>
      <c r="BB20" s="487">
        <f t="shared" si="14"/>
        <v>9360</v>
      </c>
      <c r="BC20" s="487">
        <f t="shared" si="14"/>
        <v>17483</v>
      </c>
      <c r="BD20" s="487">
        <f t="shared" si="14"/>
        <v>9360</v>
      </c>
      <c r="BE20" s="487">
        <f t="shared" si="14"/>
        <v>9360</v>
      </c>
      <c r="BF20" s="301"/>
      <c r="BG20" s="487">
        <v>9360</v>
      </c>
    </row>
    <row r="21" spans="1:66" s="9" customFormat="1" x14ac:dyDescent="0.2">
      <c r="A21" s="58">
        <v>121</v>
      </c>
      <c r="B21" s="159" t="s">
        <v>421</v>
      </c>
      <c r="C21" s="226">
        <f>(117*12)+(15*2)*12</f>
        <v>1764</v>
      </c>
      <c r="D21" s="226">
        <f>(117*12)+(15*2)*12</f>
        <v>1764</v>
      </c>
      <c r="E21" s="226">
        <f>(117*12)+(15*2)*12</f>
        <v>1764</v>
      </c>
      <c r="F21" s="602">
        <f>(117*12)+(15*2)*12</f>
        <v>1764</v>
      </c>
      <c r="G21" s="602">
        <f>(117*12)+(15*2)*12</f>
        <v>1764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487">
        <f t="shared" ref="BA21:BA27" si="24">C21+H21+M21+R21+W21+AB21+AG21+AL21+AQ21+AV21</f>
        <v>1764</v>
      </c>
      <c r="BB21" s="487">
        <f t="shared" si="14"/>
        <v>1764</v>
      </c>
      <c r="BC21" s="487">
        <f t="shared" si="14"/>
        <v>1764</v>
      </c>
      <c r="BD21" s="487">
        <f t="shared" si="14"/>
        <v>1764</v>
      </c>
      <c r="BE21" s="487">
        <f t="shared" si="14"/>
        <v>1764</v>
      </c>
      <c r="BF21" s="301"/>
      <c r="BG21" s="487">
        <v>1764</v>
      </c>
    </row>
    <row r="22" spans="1:66" s="9" customFormat="1" x14ac:dyDescent="0.2">
      <c r="A22" s="58">
        <v>121</v>
      </c>
      <c r="B22" s="8" t="s">
        <v>30</v>
      </c>
      <c r="C22" s="11">
        <v>188</v>
      </c>
      <c r="D22" s="11">
        <v>188</v>
      </c>
      <c r="E22" s="11">
        <v>188</v>
      </c>
      <c r="F22" s="400">
        <v>188</v>
      </c>
      <c r="G22" s="400">
        <v>188</v>
      </c>
      <c r="H22" s="11"/>
      <c r="I22" s="11"/>
      <c r="J22" s="11"/>
      <c r="K22" s="11"/>
      <c r="L22" s="11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487">
        <f t="shared" si="24"/>
        <v>188</v>
      </c>
      <c r="BB22" s="487">
        <f t="shared" si="14"/>
        <v>188</v>
      </c>
      <c r="BC22" s="487">
        <f t="shared" si="14"/>
        <v>188</v>
      </c>
      <c r="BD22" s="487">
        <f t="shared" si="14"/>
        <v>188</v>
      </c>
      <c r="BE22" s="487">
        <f t="shared" si="14"/>
        <v>188</v>
      </c>
      <c r="BF22" s="301"/>
      <c r="BG22" s="487">
        <v>188</v>
      </c>
    </row>
    <row r="23" spans="1:66" s="9" customFormat="1" x14ac:dyDescent="0.2">
      <c r="A23" s="58">
        <v>121</v>
      </c>
      <c r="B23" s="8" t="s">
        <v>422</v>
      </c>
      <c r="C23" s="11">
        <f>6720</f>
        <v>6720</v>
      </c>
      <c r="D23" s="11">
        <f>6720</f>
        <v>6720</v>
      </c>
      <c r="E23" s="11">
        <f>6720</f>
        <v>6720</v>
      </c>
      <c r="F23" s="400">
        <f>6720</f>
        <v>6720</v>
      </c>
      <c r="G23" s="400">
        <f>6720</f>
        <v>6720</v>
      </c>
      <c r="H23" s="11"/>
      <c r="I23" s="11"/>
      <c r="J23" s="11"/>
      <c r="K23" s="11"/>
      <c r="L23" s="11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487">
        <f t="shared" si="24"/>
        <v>6720</v>
      </c>
      <c r="BB23" s="487">
        <f t="shared" si="14"/>
        <v>6720</v>
      </c>
      <c r="BC23" s="487">
        <f t="shared" si="14"/>
        <v>6720</v>
      </c>
      <c r="BD23" s="487">
        <f t="shared" si="14"/>
        <v>6720</v>
      </c>
      <c r="BE23" s="487">
        <f t="shared" si="14"/>
        <v>6720</v>
      </c>
      <c r="BF23" s="301"/>
      <c r="BG23" s="487">
        <v>6720</v>
      </c>
    </row>
    <row r="24" spans="1:66" s="9" customFormat="1" x14ac:dyDescent="0.2">
      <c r="A24" s="58">
        <v>121</v>
      </c>
      <c r="B24" s="8" t="s">
        <v>1180</v>
      </c>
      <c r="C24" s="11">
        <v>100</v>
      </c>
      <c r="D24" s="11">
        <v>100</v>
      </c>
      <c r="E24" s="11">
        <f>100+1200</f>
        <v>1300</v>
      </c>
      <c r="F24" s="400">
        <v>100</v>
      </c>
      <c r="G24" s="400">
        <v>100</v>
      </c>
      <c r="H24" s="11"/>
      <c r="I24" s="11"/>
      <c r="J24" s="11"/>
      <c r="K24" s="11"/>
      <c r="L24" s="11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487">
        <f t="shared" ref="BA24" si="25">C24+H24+M24+R24+W24+AB24+AG24+AL24+AQ24+AV24</f>
        <v>100</v>
      </c>
      <c r="BB24" s="487">
        <f t="shared" ref="BB24" si="26">D24+I24+N24+S24+X24+AC24+AH24+AM24+AR24+AW24</f>
        <v>100</v>
      </c>
      <c r="BC24" s="487">
        <f t="shared" ref="BC24" si="27">E24+J24+O24+T24+Y24+AD24+AI24+AN24+AS24+AX24</f>
        <v>1300</v>
      </c>
      <c r="BD24" s="487">
        <f t="shared" ref="BD24" si="28">F24+K24+P24+U24+Z24+AE24+AJ24+AO24+AT24+AY24</f>
        <v>100</v>
      </c>
      <c r="BE24" s="487">
        <f t="shared" ref="BE24" si="29">G24+L24+Q24+V24+AA24+AF24+AK24+AP24+AU24+AZ24</f>
        <v>100</v>
      </c>
      <c r="BF24" s="301"/>
    </row>
    <row r="25" spans="1:66" s="9" customFormat="1" x14ac:dyDescent="0.2">
      <c r="A25" s="58">
        <v>122</v>
      </c>
      <c r="B25" s="8" t="s">
        <v>925</v>
      </c>
      <c r="C25" s="11">
        <v>5040</v>
      </c>
      <c r="D25" s="11">
        <v>5040</v>
      </c>
      <c r="E25" s="11">
        <v>5040</v>
      </c>
      <c r="F25" s="400">
        <v>5040</v>
      </c>
      <c r="G25" s="400">
        <v>5040</v>
      </c>
      <c r="H25" s="11"/>
      <c r="I25" s="11"/>
      <c r="J25" s="11"/>
      <c r="K25" s="11"/>
      <c r="L25" s="11"/>
      <c r="M25" s="6"/>
      <c r="N25" s="6"/>
      <c r="O25" s="6"/>
      <c r="P25" s="6"/>
      <c r="Q25" s="6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487">
        <f t="shared" si="24"/>
        <v>5040</v>
      </c>
      <c r="BB25" s="487">
        <f t="shared" si="14"/>
        <v>5040</v>
      </c>
      <c r="BC25" s="487">
        <f t="shared" si="14"/>
        <v>5040</v>
      </c>
      <c r="BD25" s="487">
        <f t="shared" si="14"/>
        <v>5040</v>
      </c>
      <c r="BE25" s="487">
        <f t="shared" si="14"/>
        <v>5040</v>
      </c>
      <c r="BF25" s="301"/>
      <c r="BG25" s="487">
        <v>4490</v>
      </c>
    </row>
    <row r="26" spans="1:66" s="9" customFormat="1" x14ac:dyDescent="0.2">
      <c r="A26" s="58">
        <v>122</v>
      </c>
      <c r="B26" s="8" t="s">
        <v>924</v>
      </c>
      <c r="C26" s="80">
        <v>600</v>
      </c>
      <c r="D26" s="80">
        <v>600</v>
      </c>
      <c r="E26" s="80">
        <v>600</v>
      </c>
      <c r="F26" s="603">
        <v>600</v>
      </c>
      <c r="G26" s="603">
        <v>600</v>
      </c>
      <c r="H26" s="11"/>
      <c r="I26" s="11"/>
      <c r="J26" s="11"/>
      <c r="K26" s="11"/>
      <c r="L26" s="11"/>
      <c r="M26" s="6"/>
      <c r="N26" s="6"/>
      <c r="O26" s="6"/>
      <c r="P26" s="6"/>
      <c r="Q26" s="6"/>
      <c r="R26" s="11">
        <v>1440</v>
      </c>
      <c r="S26" s="11">
        <v>1440</v>
      </c>
      <c r="T26" s="11">
        <f>1440-100</f>
        <v>1340</v>
      </c>
      <c r="U26" s="400">
        <v>1440</v>
      </c>
      <c r="V26" s="400">
        <v>1440</v>
      </c>
      <c r="W26" s="11"/>
      <c r="X26" s="11"/>
      <c r="Y26" s="11"/>
      <c r="Z26" s="11"/>
      <c r="AA26" s="11"/>
      <c r="AB26" s="11">
        <v>150</v>
      </c>
      <c r="AC26" s="11">
        <v>150</v>
      </c>
      <c r="AD26" s="11">
        <v>150</v>
      </c>
      <c r="AE26" s="11">
        <v>150</v>
      </c>
      <c r="AF26" s="11">
        <v>150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11">
        <v>400</v>
      </c>
      <c r="AR26" s="11">
        <v>400</v>
      </c>
      <c r="AS26" s="11">
        <f>400+100</f>
        <v>500</v>
      </c>
      <c r="AT26" s="11">
        <v>400</v>
      </c>
      <c r="AU26" s="11">
        <v>400</v>
      </c>
      <c r="AV26" s="6"/>
      <c r="AW26" s="6"/>
      <c r="AX26" s="6"/>
      <c r="AY26" s="6"/>
      <c r="AZ26" s="6"/>
      <c r="BA26" s="487">
        <f t="shared" si="24"/>
        <v>2590</v>
      </c>
      <c r="BB26" s="487">
        <f t="shared" si="14"/>
        <v>2590</v>
      </c>
      <c r="BC26" s="487">
        <f t="shared" si="14"/>
        <v>2590</v>
      </c>
      <c r="BD26" s="487">
        <f t="shared" si="14"/>
        <v>2590</v>
      </c>
      <c r="BE26" s="487">
        <f t="shared" si="14"/>
        <v>2590</v>
      </c>
      <c r="BF26" s="301"/>
      <c r="BG26" s="487">
        <v>600</v>
      </c>
    </row>
    <row r="27" spans="1:66" x14ac:dyDescent="0.2">
      <c r="A27" s="58">
        <v>123</v>
      </c>
      <c r="B27" s="8" t="s">
        <v>846</v>
      </c>
      <c r="C27" s="80">
        <v>1500</v>
      </c>
      <c r="D27" s="80">
        <v>1500</v>
      </c>
      <c r="E27" s="80">
        <v>1500</v>
      </c>
      <c r="F27" s="400">
        <v>1500</v>
      </c>
      <c r="G27" s="400">
        <v>1500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>
        <v>1200</v>
      </c>
      <c r="AW27" s="11">
        <f>1200+257</f>
        <v>1457</v>
      </c>
      <c r="AX27" s="11">
        <f>1200+257</f>
        <v>1457</v>
      </c>
      <c r="AY27" s="400">
        <v>1200</v>
      </c>
      <c r="AZ27" s="400">
        <v>1200</v>
      </c>
      <c r="BA27" s="487">
        <f t="shared" si="24"/>
        <v>2700</v>
      </c>
      <c r="BB27" s="487">
        <f t="shared" si="14"/>
        <v>2957</v>
      </c>
      <c r="BC27" s="487">
        <f t="shared" si="14"/>
        <v>2957</v>
      </c>
      <c r="BD27" s="487">
        <f t="shared" si="14"/>
        <v>2700</v>
      </c>
      <c r="BE27" s="487">
        <f t="shared" si="14"/>
        <v>2700</v>
      </c>
      <c r="BF27" s="301"/>
      <c r="BG27" s="487">
        <v>1500</v>
      </c>
      <c r="BN27" s="9"/>
    </row>
    <row r="28" spans="1:66" ht="12.75" hidden="1" customHeight="1" x14ac:dyDescent="0.2">
      <c r="A28" s="58"/>
      <c r="B28" s="8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487">
        <f t="shared" si="13"/>
        <v>0</v>
      </c>
      <c r="BB28" s="487">
        <f t="shared" si="14"/>
        <v>0</v>
      </c>
      <c r="BC28" s="487">
        <f t="shared" si="14"/>
        <v>0</v>
      </c>
      <c r="BD28" s="487">
        <f t="shared" si="14"/>
        <v>0</v>
      </c>
      <c r="BE28" s="487">
        <f t="shared" si="14"/>
        <v>0</v>
      </c>
      <c r="BF28" s="301"/>
      <c r="BG28" s="487">
        <v>0</v>
      </c>
      <c r="BN28" s="9"/>
    </row>
    <row r="29" spans="1:66" x14ac:dyDescent="0.2">
      <c r="A29" s="270" t="s">
        <v>206</v>
      </c>
      <c r="B29" s="111" t="s">
        <v>266</v>
      </c>
      <c r="C29" s="145">
        <f t="shared" ref="C29:R29" si="30">SUM(C11+C19)</f>
        <v>25272</v>
      </c>
      <c r="D29" s="145">
        <f t="shared" ref="D29:E29" si="31">SUM(D11+D19)</f>
        <v>25272</v>
      </c>
      <c r="E29" s="145">
        <f t="shared" si="31"/>
        <v>34595</v>
      </c>
      <c r="F29" s="145">
        <f t="shared" si="30"/>
        <v>25272</v>
      </c>
      <c r="G29" s="145">
        <f t="shared" si="30"/>
        <v>25272</v>
      </c>
      <c r="H29" s="145">
        <f t="shared" si="30"/>
        <v>0</v>
      </c>
      <c r="I29" s="145">
        <f t="shared" si="30"/>
        <v>0</v>
      </c>
      <c r="J29" s="145">
        <f t="shared" si="30"/>
        <v>0</v>
      </c>
      <c r="K29" s="145">
        <f t="shared" si="30"/>
        <v>0</v>
      </c>
      <c r="L29" s="145">
        <f t="shared" si="30"/>
        <v>0</v>
      </c>
      <c r="M29" s="145">
        <f t="shared" si="30"/>
        <v>0</v>
      </c>
      <c r="N29" s="145">
        <f t="shared" si="30"/>
        <v>0</v>
      </c>
      <c r="O29" s="145">
        <f t="shared" si="30"/>
        <v>0</v>
      </c>
      <c r="P29" s="145">
        <f t="shared" si="30"/>
        <v>0</v>
      </c>
      <c r="Q29" s="145">
        <f t="shared" si="30"/>
        <v>0</v>
      </c>
      <c r="R29" s="145">
        <f t="shared" si="30"/>
        <v>1440</v>
      </c>
      <c r="S29" s="145">
        <f t="shared" ref="S29:T29" si="32">SUM(S11+S19)</f>
        <v>1440</v>
      </c>
      <c r="T29" s="145">
        <f t="shared" si="32"/>
        <v>1340</v>
      </c>
      <c r="U29" s="145">
        <f t="shared" ref="U29:V29" si="33">SUM(U11+U19)</f>
        <v>1440</v>
      </c>
      <c r="V29" s="145">
        <f t="shared" si="33"/>
        <v>1440</v>
      </c>
      <c r="W29" s="145">
        <f t="shared" ref="W29:AZ29" si="34">SUM(W11+W19)</f>
        <v>13583</v>
      </c>
      <c r="X29" s="145">
        <f t="shared" si="34"/>
        <v>13703</v>
      </c>
      <c r="Y29" s="145">
        <f t="shared" ref="Y29" si="35">SUM(Y11+Y19)</f>
        <v>13703</v>
      </c>
      <c r="Z29" s="145">
        <f t="shared" si="34"/>
        <v>13583</v>
      </c>
      <c r="AA29" s="145">
        <f t="shared" si="34"/>
        <v>13583</v>
      </c>
      <c r="AB29" s="145">
        <f t="shared" si="34"/>
        <v>2835</v>
      </c>
      <c r="AC29" s="145">
        <f t="shared" si="34"/>
        <v>2835</v>
      </c>
      <c r="AD29" s="145">
        <f t="shared" ref="AD29" si="36">SUM(AD11+AD19)</f>
        <v>2835</v>
      </c>
      <c r="AE29" s="145">
        <f t="shared" si="34"/>
        <v>2835</v>
      </c>
      <c r="AF29" s="145">
        <f t="shared" si="34"/>
        <v>2835</v>
      </c>
      <c r="AG29" s="145">
        <f t="shared" si="34"/>
        <v>0</v>
      </c>
      <c r="AH29" s="145">
        <f t="shared" si="34"/>
        <v>0</v>
      </c>
      <c r="AI29" s="145">
        <f t="shared" si="34"/>
        <v>0</v>
      </c>
      <c r="AJ29" s="145">
        <f t="shared" si="34"/>
        <v>0</v>
      </c>
      <c r="AK29" s="145">
        <f t="shared" si="34"/>
        <v>0</v>
      </c>
      <c r="AL29" s="145">
        <f t="shared" si="34"/>
        <v>0</v>
      </c>
      <c r="AM29" s="145">
        <f t="shared" si="34"/>
        <v>0</v>
      </c>
      <c r="AN29" s="145">
        <f t="shared" si="34"/>
        <v>0</v>
      </c>
      <c r="AO29" s="145">
        <f t="shared" si="34"/>
        <v>0</v>
      </c>
      <c r="AP29" s="145">
        <f t="shared" si="34"/>
        <v>0</v>
      </c>
      <c r="AQ29" s="145">
        <f t="shared" si="34"/>
        <v>4817</v>
      </c>
      <c r="AR29" s="145">
        <f t="shared" si="34"/>
        <v>4707</v>
      </c>
      <c r="AS29" s="145">
        <f t="shared" ref="AS29" si="37">SUM(AS11+AS19)</f>
        <v>4807</v>
      </c>
      <c r="AT29" s="145">
        <f t="shared" si="34"/>
        <v>4817</v>
      </c>
      <c r="AU29" s="145">
        <f t="shared" si="34"/>
        <v>4817</v>
      </c>
      <c r="AV29" s="145">
        <f t="shared" si="34"/>
        <v>6328</v>
      </c>
      <c r="AW29" s="145">
        <f t="shared" si="34"/>
        <v>6575</v>
      </c>
      <c r="AX29" s="145">
        <f t="shared" ref="AX29" si="38">SUM(AX11+AX19)</f>
        <v>6575</v>
      </c>
      <c r="AY29" s="145">
        <f t="shared" si="34"/>
        <v>6328</v>
      </c>
      <c r="AZ29" s="145">
        <f t="shared" si="34"/>
        <v>6328</v>
      </c>
      <c r="BA29" s="145">
        <f t="shared" si="13"/>
        <v>54275</v>
      </c>
      <c r="BB29" s="145">
        <f t="shared" si="14"/>
        <v>54532</v>
      </c>
      <c r="BC29" s="145">
        <f t="shared" si="14"/>
        <v>63855</v>
      </c>
      <c r="BD29" s="145">
        <f t="shared" si="14"/>
        <v>54275</v>
      </c>
      <c r="BE29" s="145">
        <f t="shared" si="14"/>
        <v>54275</v>
      </c>
      <c r="BF29" s="301">
        <f>SUM(BA11+BA19)</f>
        <v>54275</v>
      </c>
      <c r="BG29" s="145">
        <v>55342</v>
      </c>
      <c r="BN29" s="9"/>
    </row>
    <row r="30" spans="1:66" x14ac:dyDescent="0.2">
      <c r="A30" s="58"/>
      <c r="B30" s="8" t="s">
        <v>27</v>
      </c>
      <c r="C30" s="11">
        <f>590+2830</f>
        <v>3420</v>
      </c>
      <c r="D30" s="11">
        <f>590+2830</f>
        <v>3420</v>
      </c>
      <c r="E30" s="11">
        <f>590+2830+608+78+448</f>
        <v>4554</v>
      </c>
      <c r="F30" s="400">
        <f>590+2830</f>
        <v>3420</v>
      </c>
      <c r="G30" s="400">
        <f>590+2830</f>
        <v>3420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>
        <v>170</v>
      </c>
      <c r="S30" s="11">
        <f>170-15</f>
        <v>155</v>
      </c>
      <c r="T30" s="11">
        <f>170-15</f>
        <v>155</v>
      </c>
      <c r="U30" s="400">
        <v>170</v>
      </c>
      <c r="V30" s="400">
        <v>170</v>
      </c>
      <c r="W30" s="11">
        <v>1240</v>
      </c>
      <c r="X30" s="11">
        <f>1240+15</f>
        <v>1255</v>
      </c>
      <c r="Y30" s="11">
        <f>1240+15</f>
        <v>1255</v>
      </c>
      <c r="Z30" s="400">
        <v>1240</v>
      </c>
      <c r="AA30" s="400">
        <v>1240</v>
      </c>
      <c r="AB30" s="11">
        <v>360</v>
      </c>
      <c r="AC30" s="11">
        <v>360</v>
      </c>
      <c r="AD30" s="11">
        <v>360</v>
      </c>
      <c r="AE30" s="11">
        <v>360</v>
      </c>
      <c r="AF30" s="11">
        <v>360</v>
      </c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>
        <v>620</v>
      </c>
      <c r="AR30" s="11">
        <v>620</v>
      </c>
      <c r="AS30" s="11">
        <v>620</v>
      </c>
      <c r="AT30" s="11">
        <v>620</v>
      </c>
      <c r="AU30" s="11">
        <v>620</v>
      </c>
      <c r="AV30" s="11">
        <v>670</v>
      </c>
      <c r="AW30" s="11">
        <v>670</v>
      </c>
      <c r="AX30" s="11">
        <v>670</v>
      </c>
      <c r="AY30" s="400">
        <v>670</v>
      </c>
      <c r="AZ30" s="400">
        <v>670</v>
      </c>
      <c r="BA30" s="279">
        <f t="shared" si="13"/>
        <v>6480</v>
      </c>
      <c r="BB30" s="279">
        <f t="shared" si="14"/>
        <v>6480</v>
      </c>
      <c r="BC30" s="279">
        <f t="shared" si="14"/>
        <v>7614</v>
      </c>
      <c r="BD30" s="279">
        <f t="shared" si="14"/>
        <v>6480</v>
      </c>
      <c r="BE30" s="279">
        <f t="shared" si="14"/>
        <v>6480</v>
      </c>
      <c r="BF30" s="301"/>
      <c r="BG30" s="279">
        <v>7097</v>
      </c>
      <c r="BN30" s="9"/>
    </row>
    <row r="31" spans="1:66" ht="12.75" hidden="1" customHeight="1" x14ac:dyDescent="0.2">
      <c r="A31" s="58"/>
      <c r="B31" s="8" t="s">
        <v>361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400"/>
      <c r="AA31" s="400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400"/>
      <c r="AZ31" s="400"/>
      <c r="BA31" s="279" t="e">
        <f>C31+H31+M31+R31+W31+AB31+AG31+AL31+AQ31+AV31+#REF!</f>
        <v>#REF!</v>
      </c>
      <c r="BB31" s="279" t="e">
        <f>D31+I31+N31+S31+X31+AC31+AH31+AM31+AR31+AW31+#REF!</f>
        <v>#REF!</v>
      </c>
      <c r="BC31" s="279" t="e">
        <f>E31+J31+O31+T31+Y31+AD31+AI31+AN31+AS31+AX31+#REF!</f>
        <v>#REF!</v>
      </c>
      <c r="BD31" s="279" t="e">
        <f>F31+K31+P31+U31+Z31+AE31+AJ31+AO31+AT31+AY31+#REF!</f>
        <v>#REF!</v>
      </c>
      <c r="BE31" s="279" t="e">
        <f>G31+L31+Q31+V31+AA31+AF31+AK31+AP31+AU31+AZ31+#REF!</f>
        <v>#REF!</v>
      </c>
      <c r="BF31" s="301"/>
      <c r="BG31" s="279" t="e">
        <v>#REF!</v>
      </c>
      <c r="BN31" s="9"/>
    </row>
    <row r="32" spans="1:66" x14ac:dyDescent="0.2">
      <c r="A32" s="58"/>
      <c r="B32" s="8" t="s">
        <v>107</v>
      </c>
      <c r="C32" s="11">
        <f>480</f>
        <v>480</v>
      </c>
      <c r="D32" s="11">
        <f>480</f>
        <v>480</v>
      </c>
      <c r="E32" s="11">
        <f>480</f>
        <v>480</v>
      </c>
      <c r="F32" s="400">
        <f>480</f>
        <v>480</v>
      </c>
      <c r="G32" s="400">
        <f>480</f>
        <v>480</v>
      </c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>
        <v>45</v>
      </c>
      <c r="X32" s="11">
        <v>45</v>
      </c>
      <c r="Y32" s="11">
        <v>45</v>
      </c>
      <c r="Z32" s="400">
        <v>45</v>
      </c>
      <c r="AA32" s="400">
        <v>45</v>
      </c>
      <c r="AB32" s="11">
        <v>11</v>
      </c>
      <c r="AC32" s="11">
        <v>11</v>
      </c>
      <c r="AD32" s="11">
        <v>11</v>
      </c>
      <c r="AE32" s="11">
        <v>11</v>
      </c>
      <c r="AF32" s="11">
        <v>11</v>
      </c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>
        <v>15</v>
      </c>
      <c r="AR32" s="11">
        <v>15</v>
      </c>
      <c r="AS32" s="11">
        <v>15</v>
      </c>
      <c r="AT32" s="11">
        <v>15</v>
      </c>
      <c r="AU32" s="11">
        <v>15</v>
      </c>
      <c r="AV32" s="11">
        <v>15</v>
      </c>
      <c r="AW32" s="11">
        <v>15</v>
      </c>
      <c r="AX32" s="11">
        <v>15</v>
      </c>
      <c r="AY32" s="400">
        <v>15</v>
      </c>
      <c r="AZ32" s="400">
        <v>15</v>
      </c>
      <c r="BA32" s="279">
        <f t="shared" ref="BA32:BA47" si="39">C32+H32+M32+R32+W32+AB32+AG32+AL32+AQ32+AV32</f>
        <v>566</v>
      </c>
      <c r="BB32" s="279">
        <f t="shared" ref="BB32:BE47" si="40">D32+I32+N32+S32+X32+AC32+AH32+AM32+AR32+AW32</f>
        <v>566</v>
      </c>
      <c r="BC32" s="279">
        <f t="shared" si="40"/>
        <v>566</v>
      </c>
      <c r="BD32" s="279">
        <f t="shared" si="40"/>
        <v>566</v>
      </c>
      <c r="BE32" s="279">
        <f t="shared" si="40"/>
        <v>566</v>
      </c>
      <c r="BF32" s="301"/>
      <c r="BG32" s="279">
        <v>367</v>
      </c>
      <c r="BN32" s="9"/>
    </row>
    <row r="33" spans="1:66" x14ac:dyDescent="0.2">
      <c r="A33" s="270" t="s">
        <v>207</v>
      </c>
      <c r="B33" s="111" t="s">
        <v>94</v>
      </c>
      <c r="C33" s="145">
        <f t="shared" ref="C33:W33" si="41">SUM(C30:C32)</f>
        <v>3900</v>
      </c>
      <c r="D33" s="145">
        <f t="shared" ref="D33:E33" si="42">SUM(D30:D32)</f>
        <v>3900</v>
      </c>
      <c r="E33" s="145">
        <f t="shared" si="42"/>
        <v>5034</v>
      </c>
      <c r="F33" s="145">
        <f t="shared" ref="F33:G33" si="43">SUM(F30:F32)</f>
        <v>3900</v>
      </c>
      <c r="G33" s="145">
        <f t="shared" si="43"/>
        <v>3900</v>
      </c>
      <c r="H33" s="145">
        <f t="shared" ref="H33" si="44">SUM(H30:H32)</f>
        <v>0</v>
      </c>
      <c r="I33" s="145">
        <f t="shared" ref="I33:L33" si="45">SUM(I30:I32)</f>
        <v>0</v>
      </c>
      <c r="J33" s="145">
        <f t="shared" si="45"/>
        <v>0</v>
      </c>
      <c r="K33" s="145">
        <f t="shared" si="45"/>
        <v>0</v>
      </c>
      <c r="L33" s="145">
        <f t="shared" si="45"/>
        <v>0</v>
      </c>
      <c r="M33" s="145">
        <f t="shared" si="41"/>
        <v>0</v>
      </c>
      <c r="N33" s="145">
        <f t="shared" si="41"/>
        <v>0</v>
      </c>
      <c r="O33" s="145">
        <f t="shared" si="41"/>
        <v>0</v>
      </c>
      <c r="P33" s="145">
        <f t="shared" si="41"/>
        <v>0</v>
      </c>
      <c r="Q33" s="145">
        <f t="shared" si="41"/>
        <v>0</v>
      </c>
      <c r="R33" s="145">
        <f t="shared" ref="R33" si="46">SUM(R30:R32)</f>
        <v>170</v>
      </c>
      <c r="S33" s="145">
        <f t="shared" ref="S33:T33" si="47">SUM(S30:S32)</f>
        <v>155</v>
      </c>
      <c r="T33" s="145">
        <f t="shared" si="47"/>
        <v>155</v>
      </c>
      <c r="U33" s="145">
        <f t="shared" ref="U33:V33" si="48">SUM(U30:U32)</f>
        <v>170</v>
      </c>
      <c r="V33" s="145">
        <f t="shared" si="48"/>
        <v>170</v>
      </c>
      <c r="W33" s="145">
        <f t="shared" si="41"/>
        <v>1285</v>
      </c>
      <c r="X33" s="145">
        <f t="shared" ref="X33:Y33" si="49">SUM(X30:X32)</f>
        <v>1300</v>
      </c>
      <c r="Y33" s="145">
        <f t="shared" si="49"/>
        <v>1300</v>
      </c>
      <c r="Z33" s="145">
        <f t="shared" ref="Z33:AA33" si="50">SUM(Z30:Z32)</f>
        <v>1285</v>
      </c>
      <c r="AA33" s="145">
        <f t="shared" si="50"/>
        <v>1285</v>
      </c>
      <c r="AB33" s="145">
        <f t="shared" ref="AB33:AU33" si="51">SUM(AB30:AB32)</f>
        <v>371</v>
      </c>
      <c r="AC33" s="145">
        <f t="shared" ref="AC33:AF33" si="52">SUM(AC30:AC32)</f>
        <v>371</v>
      </c>
      <c r="AD33" s="145">
        <f t="shared" ref="AD33" si="53">SUM(AD30:AD32)</f>
        <v>371</v>
      </c>
      <c r="AE33" s="145">
        <f t="shared" si="52"/>
        <v>371</v>
      </c>
      <c r="AF33" s="145">
        <f t="shared" si="52"/>
        <v>371</v>
      </c>
      <c r="AG33" s="145">
        <f t="shared" si="51"/>
        <v>0</v>
      </c>
      <c r="AH33" s="145">
        <f t="shared" si="51"/>
        <v>0</v>
      </c>
      <c r="AI33" s="145">
        <f>SUM(AI30:AI32)</f>
        <v>0</v>
      </c>
      <c r="AJ33" s="145">
        <f t="shared" si="51"/>
        <v>0</v>
      </c>
      <c r="AK33" s="145">
        <f t="shared" si="51"/>
        <v>0</v>
      </c>
      <c r="AL33" s="145">
        <f t="shared" si="51"/>
        <v>0</v>
      </c>
      <c r="AM33" s="145">
        <f>SUM(AM30:AM32)</f>
        <v>0</v>
      </c>
      <c r="AN33" s="145">
        <f>SUM(AN30:AN32)</f>
        <v>0</v>
      </c>
      <c r="AO33" s="145">
        <f>SUM(AO30:AO32)</f>
        <v>0</v>
      </c>
      <c r="AP33" s="145">
        <f t="shared" si="51"/>
        <v>0</v>
      </c>
      <c r="AQ33" s="145">
        <f t="shared" si="51"/>
        <v>635</v>
      </c>
      <c r="AR33" s="145">
        <f t="shared" si="51"/>
        <v>635</v>
      </c>
      <c r="AS33" s="145">
        <f t="shared" ref="AS33" si="54">SUM(AS30:AS32)</f>
        <v>635</v>
      </c>
      <c r="AT33" s="145">
        <f t="shared" si="51"/>
        <v>635</v>
      </c>
      <c r="AU33" s="145">
        <f t="shared" si="51"/>
        <v>635</v>
      </c>
      <c r="AV33" s="145">
        <f>SUM(AV30:AV32)</f>
        <v>685</v>
      </c>
      <c r="AW33" s="145">
        <f>SUM(AW30:AW32)</f>
        <v>685</v>
      </c>
      <c r="AX33" s="145">
        <f>SUM(AX30:AX32)</f>
        <v>685</v>
      </c>
      <c r="AY33" s="145">
        <f>SUM(AY30:AY32)</f>
        <v>685</v>
      </c>
      <c r="AZ33" s="145">
        <f>SUM(AZ30:AZ32)</f>
        <v>685</v>
      </c>
      <c r="BA33" s="145">
        <f t="shared" si="39"/>
        <v>7046</v>
      </c>
      <c r="BB33" s="145">
        <f t="shared" si="40"/>
        <v>7046</v>
      </c>
      <c r="BC33" s="145">
        <f t="shared" si="40"/>
        <v>8180</v>
      </c>
      <c r="BD33" s="145">
        <f t="shared" si="40"/>
        <v>7046</v>
      </c>
      <c r="BE33" s="145">
        <f t="shared" si="40"/>
        <v>7046</v>
      </c>
      <c r="BF33" s="301">
        <f>SUM(BA30+BA32)</f>
        <v>7046</v>
      </c>
      <c r="BG33" s="145">
        <v>7464</v>
      </c>
      <c r="BN33" s="9"/>
    </row>
    <row r="34" spans="1:66" x14ac:dyDescent="0.2">
      <c r="A34" s="270" t="s">
        <v>249</v>
      </c>
      <c r="B34" s="14" t="s">
        <v>255</v>
      </c>
      <c r="C34" s="6">
        <f t="shared" ref="C34:AB34" si="55">SUM(C35:C42)</f>
        <v>1100</v>
      </c>
      <c r="D34" s="6">
        <f t="shared" ref="D34:E34" si="56">SUM(D35:D42)</f>
        <v>1100</v>
      </c>
      <c r="E34" s="6">
        <f t="shared" si="56"/>
        <v>1150</v>
      </c>
      <c r="F34" s="6">
        <f t="shared" ref="F34:G34" si="57">SUM(F35:F42)</f>
        <v>1100</v>
      </c>
      <c r="G34" s="6">
        <f t="shared" si="57"/>
        <v>1100</v>
      </c>
      <c r="H34" s="6">
        <f t="shared" ref="H34" si="58">SUM(H35:H42)</f>
        <v>0</v>
      </c>
      <c r="I34" s="6">
        <f t="shared" ref="I34:L34" si="59">SUM(I35:I42)</f>
        <v>0</v>
      </c>
      <c r="J34" s="6">
        <f t="shared" si="59"/>
        <v>0</v>
      </c>
      <c r="K34" s="6">
        <f t="shared" si="59"/>
        <v>0</v>
      </c>
      <c r="L34" s="6">
        <f t="shared" si="59"/>
        <v>0</v>
      </c>
      <c r="M34" s="6">
        <f t="shared" si="55"/>
        <v>0</v>
      </c>
      <c r="N34" s="6">
        <f t="shared" si="55"/>
        <v>0</v>
      </c>
      <c r="O34" s="6">
        <f t="shared" si="55"/>
        <v>0</v>
      </c>
      <c r="P34" s="6">
        <f t="shared" si="55"/>
        <v>0</v>
      </c>
      <c r="Q34" s="6">
        <f t="shared" si="55"/>
        <v>0</v>
      </c>
      <c r="R34" s="6">
        <f t="shared" ref="R34:V34" si="60">SUM(R35:R42)</f>
        <v>2500</v>
      </c>
      <c r="S34" s="6">
        <f t="shared" ref="S34:T34" si="61">SUM(S35:S42)</f>
        <v>2500</v>
      </c>
      <c r="T34" s="6">
        <f t="shared" si="61"/>
        <v>2515</v>
      </c>
      <c r="U34" s="6">
        <f t="shared" si="60"/>
        <v>2500</v>
      </c>
      <c r="V34" s="6">
        <f t="shared" si="60"/>
        <v>2500</v>
      </c>
      <c r="W34" s="6">
        <f>SUM(W35:W42)</f>
        <v>670</v>
      </c>
      <c r="X34" s="6">
        <f>SUM(X35:X42)</f>
        <v>670</v>
      </c>
      <c r="Y34" s="6">
        <f>SUM(Y35:Y42)</f>
        <v>605</v>
      </c>
      <c r="Z34" s="6">
        <f t="shared" ref="Z34:AA34" si="62">SUM(Z35:Z42)</f>
        <v>670</v>
      </c>
      <c r="AA34" s="6">
        <f t="shared" si="62"/>
        <v>670</v>
      </c>
      <c r="AB34" s="6">
        <f t="shared" si="55"/>
        <v>70</v>
      </c>
      <c r="AC34" s="6">
        <f t="shared" ref="AC34:AF34" si="63">SUM(AC35:AC42)</f>
        <v>70</v>
      </c>
      <c r="AD34" s="6">
        <f t="shared" ref="AD34" si="64">SUM(AD35:AD42)</f>
        <v>2071</v>
      </c>
      <c r="AE34" s="6">
        <f t="shared" si="63"/>
        <v>70</v>
      </c>
      <c r="AF34" s="6">
        <f t="shared" si="63"/>
        <v>70</v>
      </c>
      <c r="AG34" s="6">
        <f t="shared" ref="AG34:AP34" si="65">SUM(AG35:AG42)</f>
        <v>0</v>
      </c>
      <c r="AH34" s="6">
        <f t="shared" si="65"/>
        <v>0</v>
      </c>
      <c r="AI34" s="6">
        <f>SUM(AI35:AI42)</f>
        <v>0</v>
      </c>
      <c r="AJ34" s="6">
        <f t="shared" si="65"/>
        <v>0</v>
      </c>
      <c r="AK34" s="6">
        <f t="shared" si="65"/>
        <v>0</v>
      </c>
      <c r="AL34" s="6">
        <f t="shared" si="65"/>
        <v>0</v>
      </c>
      <c r="AM34" s="6">
        <f>SUM(AM35:AM42)</f>
        <v>0</v>
      </c>
      <c r="AN34" s="6">
        <f>SUM(AN35:AN42)</f>
        <v>0</v>
      </c>
      <c r="AO34" s="6">
        <f>SUM(AO35:AO42)</f>
        <v>0</v>
      </c>
      <c r="AP34" s="6">
        <f t="shared" si="65"/>
        <v>0</v>
      </c>
      <c r="AQ34" s="6">
        <f t="shared" ref="AQ34" si="66">SUM(AQ35:AQ42)</f>
        <v>500</v>
      </c>
      <c r="AR34" s="6">
        <f t="shared" ref="AR34:AU34" si="67">SUM(AR35:AR42)</f>
        <v>500</v>
      </c>
      <c r="AS34" s="6">
        <f t="shared" ref="AS34" si="68">SUM(AS35:AS42)</f>
        <v>500</v>
      </c>
      <c r="AT34" s="6">
        <f t="shared" si="67"/>
        <v>500</v>
      </c>
      <c r="AU34" s="6">
        <f t="shared" si="67"/>
        <v>500</v>
      </c>
      <c r="AV34" s="6">
        <f>SUM(AV35:AV42)</f>
        <v>1470</v>
      </c>
      <c r="AW34" s="6">
        <f>SUM(AW35:AW42)</f>
        <v>1968</v>
      </c>
      <c r="AX34" s="6">
        <f>SUM(AX35:AX42)</f>
        <v>1968</v>
      </c>
      <c r="AY34" s="6">
        <f>SUM(AY35:AY42)</f>
        <v>1470</v>
      </c>
      <c r="AZ34" s="6">
        <f>SUM(AZ35:AZ42)</f>
        <v>1470</v>
      </c>
      <c r="BA34" s="280">
        <f t="shared" si="39"/>
        <v>6310</v>
      </c>
      <c r="BB34" s="280">
        <f t="shared" si="40"/>
        <v>6808</v>
      </c>
      <c r="BC34" s="280">
        <f t="shared" si="40"/>
        <v>8809</v>
      </c>
      <c r="BD34" s="280">
        <f t="shared" si="40"/>
        <v>6310</v>
      </c>
      <c r="BE34" s="280">
        <f t="shared" si="40"/>
        <v>6310</v>
      </c>
      <c r="BF34" s="301">
        <f>SUM(BA35:BA42)</f>
        <v>6310</v>
      </c>
      <c r="BG34" s="280">
        <v>9908</v>
      </c>
      <c r="BN34" s="9"/>
    </row>
    <row r="35" spans="1:66" x14ac:dyDescent="0.2">
      <c r="A35" s="58" t="s">
        <v>690</v>
      </c>
      <c r="B35" s="8" t="s">
        <v>296</v>
      </c>
      <c r="C35" s="11">
        <v>150</v>
      </c>
      <c r="D35" s="11">
        <v>150</v>
      </c>
      <c r="E35" s="11">
        <f>150+50</f>
        <v>200</v>
      </c>
      <c r="F35" s="400">
        <v>150</v>
      </c>
      <c r="G35" s="400">
        <v>150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>
        <v>100</v>
      </c>
      <c r="X35" s="11">
        <v>100</v>
      </c>
      <c r="Y35" s="11">
        <f>100-50</f>
        <v>50</v>
      </c>
      <c r="Z35" s="400">
        <v>100</v>
      </c>
      <c r="AA35" s="400">
        <v>100</v>
      </c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>
        <v>1300</v>
      </c>
      <c r="AW35" s="11">
        <v>1300</v>
      </c>
      <c r="AX35" s="11">
        <v>1300</v>
      </c>
      <c r="AY35" s="400">
        <v>1300</v>
      </c>
      <c r="AZ35" s="400">
        <v>1300</v>
      </c>
      <c r="BA35" s="279">
        <f t="shared" ref="BA35" si="69">C35+H35+M35+R35+W35+AB35+AG35+AL35+AQ35+AV35</f>
        <v>1550</v>
      </c>
      <c r="BB35" s="279">
        <f t="shared" ref="BB35" si="70">D35+I35+N35+S35+X35+AC35+AH35+AM35+AR35+AW35</f>
        <v>1550</v>
      </c>
      <c r="BC35" s="279">
        <f t="shared" ref="BC35" si="71">E35+J35+O35+T35+Y35+AD35+AI35+AN35+AS35+AX35</f>
        <v>1550</v>
      </c>
      <c r="BD35" s="279">
        <f t="shared" si="40"/>
        <v>1550</v>
      </c>
      <c r="BE35" s="279">
        <f t="shared" si="40"/>
        <v>1550</v>
      </c>
      <c r="BF35" s="301"/>
      <c r="BG35" s="279">
        <v>1355</v>
      </c>
      <c r="BN35" s="9"/>
    </row>
    <row r="36" spans="1:66" x14ac:dyDescent="0.2">
      <c r="A36" s="58" t="s">
        <v>564</v>
      </c>
      <c r="B36" s="8" t="s">
        <v>256</v>
      </c>
      <c r="C36" s="11">
        <v>600</v>
      </c>
      <c r="D36" s="11">
        <v>600</v>
      </c>
      <c r="E36" s="11">
        <f>600+100</f>
        <v>700</v>
      </c>
      <c r="F36" s="400">
        <v>600</v>
      </c>
      <c r="G36" s="400">
        <v>600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>
        <v>300</v>
      </c>
      <c r="S36" s="11">
        <v>300</v>
      </c>
      <c r="T36" s="11">
        <v>300</v>
      </c>
      <c r="U36" s="400">
        <v>300</v>
      </c>
      <c r="V36" s="400">
        <v>300</v>
      </c>
      <c r="W36" s="11">
        <v>250</v>
      </c>
      <c r="X36" s="11">
        <v>250</v>
      </c>
      <c r="Y36" s="11">
        <v>250</v>
      </c>
      <c r="Z36" s="400">
        <v>250</v>
      </c>
      <c r="AA36" s="400">
        <v>250</v>
      </c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>
        <v>150</v>
      </c>
      <c r="AR36" s="11">
        <v>150</v>
      </c>
      <c r="AS36" s="11">
        <v>150</v>
      </c>
      <c r="AT36" s="11">
        <v>150</v>
      </c>
      <c r="AU36" s="11">
        <v>150</v>
      </c>
      <c r="AV36" s="11">
        <v>50</v>
      </c>
      <c r="AW36" s="11">
        <f>50+498</f>
        <v>548</v>
      </c>
      <c r="AX36" s="11">
        <f>50+498</f>
        <v>548</v>
      </c>
      <c r="AY36" s="400">
        <v>50</v>
      </c>
      <c r="AZ36" s="400">
        <v>50</v>
      </c>
      <c r="BA36" s="279">
        <f t="shared" si="39"/>
        <v>1350</v>
      </c>
      <c r="BB36" s="279">
        <f t="shared" si="40"/>
        <v>1848</v>
      </c>
      <c r="BC36" s="279">
        <f t="shared" si="40"/>
        <v>1948</v>
      </c>
      <c r="BD36" s="279">
        <f t="shared" si="40"/>
        <v>1350</v>
      </c>
      <c r="BE36" s="279">
        <f t="shared" si="40"/>
        <v>1350</v>
      </c>
      <c r="BF36" s="301"/>
      <c r="BG36" s="279">
        <v>3541</v>
      </c>
      <c r="BN36" s="9"/>
    </row>
    <row r="37" spans="1:66" x14ac:dyDescent="0.2">
      <c r="A37" s="58"/>
      <c r="B37" s="8" t="s">
        <v>402</v>
      </c>
      <c r="C37" s="11">
        <v>150</v>
      </c>
      <c r="D37" s="11">
        <v>150</v>
      </c>
      <c r="E37" s="11">
        <v>150</v>
      </c>
      <c r="F37" s="400">
        <v>150</v>
      </c>
      <c r="G37" s="400">
        <v>150</v>
      </c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>
        <v>20</v>
      </c>
      <c r="X37" s="11">
        <v>20</v>
      </c>
      <c r="Y37" s="11">
        <v>20</v>
      </c>
      <c r="Z37" s="400">
        <v>20</v>
      </c>
      <c r="AA37" s="400">
        <v>20</v>
      </c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>
        <v>50</v>
      </c>
      <c r="AW37" s="11">
        <v>50</v>
      </c>
      <c r="AX37" s="11">
        <v>50</v>
      </c>
      <c r="AY37" s="400">
        <v>50</v>
      </c>
      <c r="AZ37" s="400">
        <v>50</v>
      </c>
      <c r="BA37" s="279">
        <f t="shared" si="39"/>
        <v>220</v>
      </c>
      <c r="BB37" s="279">
        <f t="shared" si="40"/>
        <v>220</v>
      </c>
      <c r="BC37" s="279">
        <f t="shared" si="40"/>
        <v>220</v>
      </c>
      <c r="BD37" s="279">
        <f t="shared" si="40"/>
        <v>220</v>
      </c>
      <c r="BE37" s="279">
        <f t="shared" si="40"/>
        <v>220</v>
      </c>
      <c r="BF37" s="301"/>
      <c r="BG37" s="279">
        <v>270</v>
      </c>
      <c r="BN37" s="9"/>
    </row>
    <row r="38" spans="1:66" x14ac:dyDescent="0.2">
      <c r="A38" s="58"/>
      <c r="B38" s="8" t="s">
        <v>277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>
        <v>70</v>
      </c>
      <c r="AW38" s="11">
        <v>70</v>
      </c>
      <c r="AX38" s="11">
        <v>70</v>
      </c>
      <c r="AY38" s="400">
        <v>70</v>
      </c>
      <c r="AZ38" s="400">
        <v>70</v>
      </c>
      <c r="BA38" s="279">
        <f t="shared" si="39"/>
        <v>70</v>
      </c>
      <c r="BB38" s="279">
        <f t="shared" si="40"/>
        <v>70</v>
      </c>
      <c r="BC38" s="279">
        <f t="shared" si="40"/>
        <v>70</v>
      </c>
      <c r="BD38" s="279">
        <f t="shared" si="40"/>
        <v>70</v>
      </c>
      <c r="BE38" s="279">
        <f t="shared" si="40"/>
        <v>70</v>
      </c>
      <c r="BF38" s="301"/>
      <c r="BG38" s="279">
        <v>170</v>
      </c>
      <c r="BN38" s="9"/>
    </row>
    <row r="39" spans="1:66" x14ac:dyDescent="0.2">
      <c r="A39" s="58"/>
      <c r="B39" s="8" t="s">
        <v>278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>
        <v>2200</v>
      </c>
      <c r="S39" s="11">
        <v>2200</v>
      </c>
      <c r="T39" s="11">
        <v>2200</v>
      </c>
      <c r="U39" s="400">
        <v>2200</v>
      </c>
      <c r="V39" s="400">
        <v>2200</v>
      </c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279">
        <f t="shared" si="39"/>
        <v>2200</v>
      </c>
      <c r="BB39" s="279">
        <f t="shared" si="40"/>
        <v>2200</v>
      </c>
      <c r="BC39" s="279">
        <f t="shared" si="40"/>
        <v>2200</v>
      </c>
      <c r="BD39" s="279">
        <f t="shared" si="40"/>
        <v>2200</v>
      </c>
      <c r="BE39" s="279">
        <f t="shared" si="40"/>
        <v>2200</v>
      </c>
      <c r="BF39" s="301"/>
      <c r="BG39" s="279">
        <v>2000</v>
      </c>
      <c r="BN39" s="9"/>
    </row>
    <row r="40" spans="1:66" x14ac:dyDescent="0.2">
      <c r="A40" s="58"/>
      <c r="B40" s="8" t="s">
        <v>401</v>
      </c>
      <c r="C40" s="11">
        <v>200</v>
      </c>
      <c r="D40" s="11">
        <v>200</v>
      </c>
      <c r="E40" s="11">
        <f>200-100</f>
        <v>100</v>
      </c>
      <c r="F40" s="400">
        <v>200</v>
      </c>
      <c r="G40" s="400">
        <v>200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>
        <v>300</v>
      </c>
      <c r="X40" s="11">
        <v>300</v>
      </c>
      <c r="Y40" s="11">
        <f>300-15</f>
        <v>285</v>
      </c>
      <c r="Z40" s="400">
        <v>300</v>
      </c>
      <c r="AA40" s="400">
        <v>300</v>
      </c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>
        <v>350</v>
      </c>
      <c r="AR40" s="11">
        <v>350</v>
      </c>
      <c r="AS40" s="11">
        <v>350</v>
      </c>
      <c r="AT40" s="11">
        <v>350</v>
      </c>
      <c r="AU40" s="11">
        <v>350</v>
      </c>
      <c r="AV40" s="11"/>
      <c r="AW40" s="11"/>
      <c r="AX40" s="11"/>
      <c r="AY40" s="11"/>
      <c r="AZ40" s="11"/>
      <c r="BA40" s="279">
        <f t="shared" si="39"/>
        <v>850</v>
      </c>
      <c r="BB40" s="279">
        <f t="shared" si="40"/>
        <v>850</v>
      </c>
      <c r="BC40" s="279">
        <f t="shared" si="40"/>
        <v>735</v>
      </c>
      <c r="BD40" s="279">
        <f t="shared" si="40"/>
        <v>850</v>
      </c>
      <c r="BE40" s="279">
        <f t="shared" si="40"/>
        <v>850</v>
      </c>
      <c r="BF40" s="301"/>
      <c r="BG40" s="279">
        <v>675</v>
      </c>
      <c r="BN40" s="9"/>
    </row>
    <row r="41" spans="1:66" x14ac:dyDescent="0.2">
      <c r="A41" s="58"/>
      <c r="B41" s="8" t="s">
        <v>288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>
        <v>0</v>
      </c>
      <c r="S41" s="11">
        <v>0</v>
      </c>
      <c r="T41" s="11">
        <v>15</v>
      </c>
      <c r="U41" s="11"/>
      <c r="V41" s="11"/>
      <c r="W41" s="11"/>
      <c r="X41" s="11"/>
      <c r="Y41" s="11"/>
      <c r="Z41" s="11"/>
      <c r="AA41" s="11"/>
      <c r="AB41" s="11">
        <v>70</v>
      </c>
      <c r="AC41" s="11">
        <v>70</v>
      </c>
      <c r="AD41" s="11">
        <v>70</v>
      </c>
      <c r="AE41" s="11">
        <v>70</v>
      </c>
      <c r="AF41" s="11">
        <v>70</v>
      </c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279">
        <f t="shared" si="39"/>
        <v>70</v>
      </c>
      <c r="BB41" s="279">
        <f t="shared" si="40"/>
        <v>70</v>
      </c>
      <c r="BC41" s="279">
        <f t="shared" si="40"/>
        <v>85</v>
      </c>
      <c r="BD41" s="279">
        <f t="shared" si="40"/>
        <v>70</v>
      </c>
      <c r="BE41" s="279">
        <f t="shared" si="40"/>
        <v>70</v>
      </c>
      <c r="BF41" s="301"/>
      <c r="BG41" s="279">
        <v>80</v>
      </c>
      <c r="BN41" s="9"/>
    </row>
    <row r="42" spans="1:66" x14ac:dyDescent="0.2">
      <c r="A42" s="58"/>
      <c r="B42" s="8" t="s">
        <v>630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>
        <v>0</v>
      </c>
      <c r="AC42" s="11">
        <v>0</v>
      </c>
      <c r="AD42" s="11">
        <v>2001</v>
      </c>
      <c r="AE42" s="11"/>
      <c r="AF42" s="11"/>
      <c r="AG42" s="11"/>
      <c r="AH42" s="11"/>
      <c r="AI42" s="11"/>
      <c r="AJ42" s="11">
        <v>0</v>
      </c>
      <c r="AK42" s="11">
        <v>0</v>
      </c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279">
        <f t="shared" si="39"/>
        <v>0</v>
      </c>
      <c r="BB42" s="279">
        <f t="shared" si="40"/>
        <v>0</v>
      </c>
      <c r="BC42" s="279">
        <f t="shared" si="40"/>
        <v>2001</v>
      </c>
      <c r="BD42" s="279">
        <f t="shared" si="40"/>
        <v>0</v>
      </c>
      <c r="BE42" s="279">
        <f t="shared" si="40"/>
        <v>0</v>
      </c>
      <c r="BF42" s="416">
        <f>BC42-BB42</f>
        <v>2001</v>
      </c>
      <c r="BG42" s="279">
        <v>1817</v>
      </c>
      <c r="BN42" s="9"/>
    </row>
    <row r="43" spans="1:66" x14ac:dyDescent="0.2">
      <c r="A43" s="270" t="s">
        <v>250</v>
      </c>
      <c r="B43" s="14" t="s">
        <v>257</v>
      </c>
      <c r="C43" s="6">
        <f t="shared" ref="C43:AB43" si="72">SUM(C44:C45)</f>
        <v>650</v>
      </c>
      <c r="D43" s="6">
        <f t="shared" ref="D43:E43" si="73">SUM(D44:D45)</f>
        <v>3570</v>
      </c>
      <c r="E43" s="6">
        <f t="shared" si="73"/>
        <v>3570</v>
      </c>
      <c r="F43" s="6">
        <f t="shared" ref="F43:G43" si="74">SUM(F44:F45)</f>
        <v>650</v>
      </c>
      <c r="G43" s="6">
        <f t="shared" si="74"/>
        <v>650</v>
      </c>
      <c r="H43" s="6">
        <f t="shared" ref="H43" si="75">SUM(H44:H45)</f>
        <v>0</v>
      </c>
      <c r="I43" s="6">
        <f t="shared" ref="I43:L43" si="76">SUM(I44:I45)</f>
        <v>0</v>
      </c>
      <c r="J43" s="6">
        <f t="shared" ref="J43" si="77">SUM(J44:J45)</f>
        <v>0</v>
      </c>
      <c r="K43" s="6">
        <f t="shared" si="76"/>
        <v>0</v>
      </c>
      <c r="L43" s="6">
        <f t="shared" si="76"/>
        <v>0</v>
      </c>
      <c r="M43" s="6">
        <f t="shared" si="72"/>
        <v>0</v>
      </c>
      <c r="N43" s="6">
        <f t="shared" si="72"/>
        <v>0</v>
      </c>
      <c r="O43" s="6">
        <f t="shared" ref="O43" si="78">SUM(O44:O45)</f>
        <v>0</v>
      </c>
      <c r="P43" s="6">
        <f t="shared" si="72"/>
        <v>0</v>
      </c>
      <c r="Q43" s="6">
        <f t="shared" si="72"/>
        <v>0</v>
      </c>
      <c r="R43" s="6">
        <f t="shared" ref="R43:S43" si="79">SUM(R44:R45)</f>
        <v>600</v>
      </c>
      <c r="S43" s="6">
        <f t="shared" si="79"/>
        <v>600</v>
      </c>
      <c r="T43" s="6">
        <f t="shared" ref="T43" si="80">SUM(T44:T45)</f>
        <v>600</v>
      </c>
      <c r="U43" s="6">
        <f t="shared" ref="U43:V43" si="81">SUM(U44:U45)</f>
        <v>600</v>
      </c>
      <c r="V43" s="6">
        <f t="shared" si="81"/>
        <v>600</v>
      </c>
      <c r="W43" s="6">
        <f t="shared" si="72"/>
        <v>450</v>
      </c>
      <c r="X43" s="6">
        <f t="shared" ref="X43:Y43" si="82">SUM(X44:X45)</f>
        <v>450</v>
      </c>
      <c r="Y43" s="6">
        <f t="shared" si="82"/>
        <v>450</v>
      </c>
      <c r="Z43" s="6">
        <f t="shared" ref="Z43:AA43" si="83">SUM(Z44:Z45)</f>
        <v>450</v>
      </c>
      <c r="AA43" s="6">
        <f t="shared" si="83"/>
        <v>450</v>
      </c>
      <c r="AB43" s="6">
        <f t="shared" si="72"/>
        <v>0</v>
      </c>
      <c r="AC43" s="6">
        <f>SUM(AC44:AC45)</f>
        <v>0</v>
      </c>
      <c r="AD43" s="6">
        <f>SUM(AD44:AD45)</f>
        <v>0</v>
      </c>
      <c r="AE43" s="6">
        <f t="shared" ref="AE43:AV43" si="84">SUM(AE44:AE45)</f>
        <v>0</v>
      </c>
      <c r="AF43" s="6">
        <f t="shared" si="84"/>
        <v>0</v>
      </c>
      <c r="AG43" s="6">
        <f t="shared" si="84"/>
        <v>0</v>
      </c>
      <c r="AH43" s="6">
        <f t="shared" si="84"/>
        <v>0</v>
      </c>
      <c r="AI43" s="6">
        <f>SUM(AI44:AI45)</f>
        <v>0</v>
      </c>
      <c r="AJ43" s="6">
        <f t="shared" si="84"/>
        <v>0</v>
      </c>
      <c r="AK43" s="6">
        <f t="shared" si="84"/>
        <v>0</v>
      </c>
      <c r="AL43" s="6">
        <f t="shared" si="84"/>
        <v>0</v>
      </c>
      <c r="AM43" s="6">
        <f t="shared" si="84"/>
        <v>0</v>
      </c>
      <c r="AN43" s="6">
        <f t="shared" si="84"/>
        <v>0</v>
      </c>
      <c r="AO43" s="6">
        <f t="shared" si="84"/>
        <v>0</v>
      </c>
      <c r="AP43" s="6">
        <f t="shared" si="84"/>
        <v>0</v>
      </c>
      <c r="AQ43" s="6">
        <f t="shared" ref="AQ43" si="85">SUM(AQ44:AQ45)</f>
        <v>170</v>
      </c>
      <c r="AR43" s="6">
        <f t="shared" ref="AR43:AU43" si="86">SUM(AR44:AR45)</f>
        <v>170</v>
      </c>
      <c r="AS43" s="6">
        <f t="shared" ref="AS43" si="87">SUM(AS44:AS45)</f>
        <v>170</v>
      </c>
      <c r="AT43" s="6">
        <f t="shared" si="86"/>
        <v>170</v>
      </c>
      <c r="AU43" s="6">
        <f t="shared" si="86"/>
        <v>170</v>
      </c>
      <c r="AV43" s="6">
        <f t="shared" si="84"/>
        <v>400</v>
      </c>
      <c r="AW43" s="6">
        <f t="shared" ref="AW43:AX43" si="88">SUM(AW44:AW45)</f>
        <v>400</v>
      </c>
      <c r="AX43" s="6">
        <f t="shared" si="88"/>
        <v>400</v>
      </c>
      <c r="AY43" s="6">
        <f>SUM(AY44:AY45)</f>
        <v>400</v>
      </c>
      <c r="AZ43" s="6">
        <f>SUM(AZ44:AZ45)</f>
        <v>400</v>
      </c>
      <c r="BA43" s="486">
        <f t="shared" si="39"/>
        <v>2270</v>
      </c>
      <c r="BB43" s="486">
        <f t="shared" si="40"/>
        <v>5190</v>
      </c>
      <c r="BC43" s="486">
        <f t="shared" si="40"/>
        <v>5190</v>
      </c>
      <c r="BD43" s="486">
        <f t="shared" si="40"/>
        <v>2270</v>
      </c>
      <c r="BE43" s="486">
        <f t="shared" si="40"/>
        <v>2270</v>
      </c>
      <c r="BF43" s="301">
        <f>SUM(BA44:BA45)</f>
        <v>2270</v>
      </c>
      <c r="BG43" s="486">
        <v>2220</v>
      </c>
      <c r="BN43" s="9"/>
    </row>
    <row r="44" spans="1:66" ht="15" customHeight="1" x14ac:dyDescent="0.2">
      <c r="A44" s="58" t="s">
        <v>782</v>
      </c>
      <c r="B44" s="8" t="s">
        <v>987</v>
      </c>
      <c r="C44" s="11">
        <v>300</v>
      </c>
      <c r="D44" s="11">
        <f>300+2920</f>
        <v>3220</v>
      </c>
      <c r="E44" s="11">
        <f>300+2920</f>
        <v>3220</v>
      </c>
      <c r="F44" s="400">
        <v>300</v>
      </c>
      <c r="G44" s="400">
        <v>300</v>
      </c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>
        <v>600</v>
      </c>
      <c r="S44" s="11">
        <v>600</v>
      </c>
      <c r="T44" s="11">
        <v>600</v>
      </c>
      <c r="U44" s="400">
        <v>600</v>
      </c>
      <c r="V44" s="400">
        <v>600</v>
      </c>
      <c r="W44" s="11">
        <v>450</v>
      </c>
      <c r="X44" s="11">
        <v>450</v>
      </c>
      <c r="Y44" s="11">
        <v>450</v>
      </c>
      <c r="Z44" s="400">
        <v>450</v>
      </c>
      <c r="AA44" s="400">
        <v>450</v>
      </c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>
        <v>300</v>
      </c>
      <c r="AW44" s="11">
        <v>300</v>
      </c>
      <c r="AX44" s="11">
        <v>300</v>
      </c>
      <c r="AY44" s="400">
        <v>300</v>
      </c>
      <c r="AZ44" s="400">
        <v>300</v>
      </c>
      <c r="BA44" s="279">
        <f t="shared" si="39"/>
        <v>1650</v>
      </c>
      <c r="BB44" s="279">
        <f t="shared" si="40"/>
        <v>4570</v>
      </c>
      <c r="BC44" s="279">
        <f t="shared" si="40"/>
        <v>4570</v>
      </c>
      <c r="BD44" s="279">
        <f t="shared" si="40"/>
        <v>1650</v>
      </c>
      <c r="BE44" s="279">
        <f t="shared" si="40"/>
        <v>1650</v>
      </c>
      <c r="BF44" s="301"/>
      <c r="BG44" s="279">
        <v>1480</v>
      </c>
      <c r="BN44" s="9"/>
    </row>
    <row r="45" spans="1:66" x14ac:dyDescent="0.2">
      <c r="A45" s="58" t="s">
        <v>691</v>
      </c>
      <c r="B45" s="8" t="s">
        <v>850</v>
      </c>
      <c r="C45" s="11">
        <v>350</v>
      </c>
      <c r="D45" s="11">
        <v>350</v>
      </c>
      <c r="E45" s="11">
        <v>350</v>
      </c>
      <c r="F45" s="400">
        <v>350</v>
      </c>
      <c r="G45" s="400">
        <v>350</v>
      </c>
      <c r="H45" s="191"/>
      <c r="I45" s="191"/>
      <c r="J45" s="191"/>
      <c r="K45" s="191"/>
      <c r="L45" s="19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>
        <v>170</v>
      </c>
      <c r="AR45" s="11">
        <v>170</v>
      </c>
      <c r="AS45" s="11">
        <v>170</v>
      </c>
      <c r="AT45" s="11">
        <v>170</v>
      </c>
      <c r="AU45" s="11">
        <v>170</v>
      </c>
      <c r="AV45" s="11">
        <v>100</v>
      </c>
      <c r="AW45" s="11">
        <v>100</v>
      </c>
      <c r="AX45" s="11">
        <v>100</v>
      </c>
      <c r="AY45" s="400">
        <v>100</v>
      </c>
      <c r="AZ45" s="400">
        <v>100</v>
      </c>
      <c r="BA45" s="279">
        <f t="shared" si="39"/>
        <v>620</v>
      </c>
      <c r="BB45" s="279">
        <f t="shared" si="40"/>
        <v>620</v>
      </c>
      <c r="BC45" s="279">
        <f t="shared" si="40"/>
        <v>620</v>
      </c>
      <c r="BD45" s="279">
        <f t="shared" si="40"/>
        <v>620</v>
      </c>
      <c r="BE45" s="279">
        <f t="shared" si="40"/>
        <v>620</v>
      </c>
      <c r="BF45" s="301"/>
      <c r="BG45" s="279">
        <v>740</v>
      </c>
      <c r="BN45" s="9"/>
    </row>
    <row r="46" spans="1:66" x14ac:dyDescent="0.2">
      <c r="A46" s="270" t="s">
        <v>839</v>
      </c>
      <c r="B46" s="14" t="s">
        <v>259</v>
      </c>
      <c r="C46" s="6">
        <f t="shared" ref="C46:R46" si="89">SUM(C47:C83)</f>
        <v>33560</v>
      </c>
      <c r="D46" s="6">
        <f t="shared" ref="D46:E46" si="90">SUM(D47:D83)</f>
        <v>33560</v>
      </c>
      <c r="E46" s="6">
        <f t="shared" si="90"/>
        <v>34760</v>
      </c>
      <c r="F46" s="6">
        <f t="shared" si="89"/>
        <v>30960</v>
      </c>
      <c r="G46" s="6">
        <f t="shared" si="89"/>
        <v>30960</v>
      </c>
      <c r="H46" s="6">
        <f t="shared" si="89"/>
        <v>0</v>
      </c>
      <c r="I46" s="6">
        <f t="shared" si="89"/>
        <v>0</v>
      </c>
      <c r="J46" s="6">
        <f t="shared" si="89"/>
        <v>0</v>
      </c>
      <c r="K46" s="6">
        <f t="shared" si="89"/>
        <v>0</v>
      </c>
      <c r="L46" s="6">
        <f t="shared" si="89"/>
        <v>0</v>
      </c>
      <c r="M46" s="6">
        <f t="shared" si="89"/>
        <v>54450</v>
      </c>
      <c r="N46" s="6">
        <f t="shared" si="89"/>
        <v>54450</v>
      </c>
      <c r="O46" s="6">
        <f t="shared" ref="O46" si="91">SUM(O47:O83)</f>
        <v>71450</v>
      </c>
      <c r="P46" s="6">
        <f t="shared" si="89"/>
        <v>54450</v>
      </c>
      <c r="Q46" s="6">
        <f t="shared" si="89"/>
        <v>54450</v>
      </c>
      <c r="R46" s="6">
        <f t="shared" si="89"/>
        <v>5850</v>
      </c>
      <c r="S46" s="6">
        <f t="shared" ref="S46:T46" si="92">SUM(S47:S83)</f>
        <v>6350</v>
      </c>
      <c r="T46" s="6">
        <f t="shared" si="92"/>
        <v>6350</v>
      </c>
      <c r="U46" s="6">
        <f t="shared" ref="U46:V46" si="93">SUM(U47:U83)</f>
        <v>5850</v>
      </c>
      <c r="V46" s="6">
        <f t="shared" si="93"/>
        <v>5850</v>
      </c>
      <c r="W46" s="6">
        <f>SUM(W47:W83)</f>
        <v>188526</v>
      </c>
      <c r="X46" s="6">
        <f t="shared" ref="X46:Y46" si="94">SUM(X47:X83)</f>
        <v>218789</v>
      </c>
      <c r="Y46" s="6">
        <f t="shared" si="94"/>
        <v>210703</v>
      </c>
      <c r="Z46" s="6">
        <f t="shared" ref="Z46:AA46" si="95">SUM(Z47:Z83)</f>
        <v>149597</v>
      </c>
      <c r="AA46" s="6">
        <f t="shared" si="95"/>
        <v>149597</v>
      </c>
      <c r="AB46" s="6">
        <f>SUM(AB47:AB83)</f>
        <v>24388</v>
      </c>
      <c r="AC46" s="6">
        <f>SUM(AC47:AC83)</f>
        <v>24254</v>
      </c>
      <c r="AD46" s="6">
        <f t="shared" ref="AD46" si="96">SUM(AD47:AD83)</f>
        <v>25476</v>
      </c>
      <c r="AE46" s="6">
        <f t="shared" ref="AE46:AR46" si="97">SUM(AE47:AE83)</f>
        <v>24388</v>
      </c>
      <c r="AF46" s="6">
        <f t="shared" si="97"/>
        <v>24388</v>
      </c>
      <c r="AG46" s="6">
        <f t="shared" si="97"/>
        <v>0</v>
      </c>
      <c r="AH46" s="6">
        <f t="shared" si="97"/>
        <v>0</v>
      </c>
      <c r="AI46" s="6">
        <f t="shared" si="97"/>
        <v>0</v>
      </c>
      <c r="AJ46" s="6">
        <f t="shared" si="97"/>
        <v>0</v>
      </c>
      <c r="AK46" s="6">
        <f t="shared" si="97"/>
        <v>0</v>
      </c>
      <c r="AL46" s="6">
        <f t="shared" si="97"/>
        <v>0</v>
      </c>
      <c r="AM46" s="6">
        <f t="shared" si="97"/>
        <v>0</v>
      </c>
      <c r="AN46" s="6">
        <f t="shared" si="97"/>
        <v>0</v>
      </c>
      <c r="AO46" s="6">
        <f t="shared" si="97"/>
        <v>0</v>
      </c>
      <c r="AP46" s="6">
        <f t="shared" si="97"/>
        <v>0</v>
      </c>
      <c r="AQ46" s="6">
        <f t="shared" si="97"/>
        <v>29835</v>
      </c>
      <c r="AR46" s="6">
        <f t="shared" si="97"/>
        <v>29835</v>
      </c>
      <c r="AS46" s="6">
        <f t="shared" ref="AS46" si="98">SUM(AS47:AS83)</f>
        <v>26835</v>
      </c>
      <c r="AT46" s="6">
        <f>SUM(AT47:AT83)</f>
        <v>29835</v>
      </c>
      <c r="AU46" s="6">
        <f>SUM(AU47:AU83)</f>
        <v>29835</v>
      </c>
      <c r="AV46" s="6">
        <f>SUM(AV47:AV83)</f>
        <v>8920</v>
      </c>
      <c r="AW46" s="6">
        <f t="shared" ref="AW46:AX46" si="99">SUM(AW47:AW83)</f>
        <v>8953</v>
      </c>
      <c r="AX46" s="6">
        <f t="shared" si="99"/>
        <v>11153</v>
      </c>
      <c r="AY46" s="6">
        <f>SUM(AY47:AY83)</f>
        <v>8920</v>
      </c>
      <c r="AZ46" s="6">
        <f>SUM(AZ47:AZ83)</f>
        <v>8920</v>
      </c>
      <c r="BA46" s="486">
        <f t="shared" si="39"/>
        <v>345529</v>
      </c>
      <c r="BB46" s="486">
        <f t="shared" si="40"/>
        <v>376191</v>
      </c>
      <c r="BC46" s="486">
        <f t="shared" si="40"/>
        <v>386727</v>
      </c>
      <c r="BD46" s="486">
        <f t="shared" si="40"/>
        <v>304000</v>
      </c>
      <c r="BE46" s="486">
        <f t="shared" si="40"/>
        <v>304000</v>
      </c>
      <c r="BF46" s="301">
        <f>SUM(BA47:BA83)</f>
        <v>397135</v>
      </c>
      <c r="BG46" s="486">
        <v>285010</v>
      </c>
      <c r="BN46" s="9"/>
    </row>
    <row r="47" spans="1:66" s="9" customFormat="1" x14ac:dyDescent="0.2">
      <c r="A47" s="58" t="s">
        <v>495</v>
      </c>
      <c r="B47" s="8" t="s">
        <v>276</v>
      </c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1">
        <v>32000</v>
      </c>
      <c r="N47" s="11">
        <v>32000</v>
      </c>
      <c r="O47" s="11">
        <f>32000+12000+2000+3000</f>
        <v>49000</v>
      </c>
      <c r="P47" s="400">
        <v>32000</v>
      </c>
      <c r="Q47" s="400">
        <v>32000</v>
      </c>
      <c r="R47" s="11">
        <v>1000</v>
      </c>
      <c r="S47" s="11">
        <v>1000</v>
      </c>
      <c r="T47" s="11">
        <v>1000</v>
      </c>
      <c r="U47" s="400">
        <v>1000</v>
      </c>
      <c r="V47" s="400">
        <v>1000</v>
      </c>
      <c r="W47" s="11">
        <v>17000</v>
      </c>
      <c r="X47" s="11">
        <v>17000</v>
      </c>
      <c r="Y47" s="11">
        <f>17000-2000</f>
        <v>15000</v>
      </c>
      <c r="Z47" s="400">
        <v>17000</v>
      </c>
      <c r="AA47" s="400">
        <v>17000</v>
      </c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>
        <v>10000</v>
      </c>
      <c r="AR47" s="11">
        <v>10000</v>
      </c>
      <c r="AS47" s="11">
        <f>10000-3000</f>
        <v>7000</v>
      </c>
      <c r="AT47" s="11">
        <v>10000</v>
      </c>
      <c r="AU47" s="11">
        <v>10000</v>
      </c>
      <c r="AV47" s="11"/>
      <c r="AW47" s="11"/>
      <c r="AX47" s="11"/>
      <c r="AY47" s="11"/>
      <c r="AZ47" s="11"/>
      <c r="BA47" s="279">
        <f t="shared" si="39"/>
        <v>60000</v>
      </c>
      <c r="BB47" s="279">
        <f t="shared" si="40"/>
        <v>60000</v>
      </c>
      <c r="BC47" s="279">
        <f t="shared" si="40"/>
        <v>72000</v>
      </c>
      <c r="BD47" s="279">
        <f t="shared" si="40"/>
        <v>60000</v>
      </c>
      <c r="BE47" s="279">
        <f t="shared" si="40"/>
        <v>60000</v>
      </c>
      <c r="BF47" s="301"/>
      <c r="BG47" s="279">
        <v>80000</v>
      </c>
    </row>
    <row r="48" spans="1:66" s="9" customFormat="1" x14ac:dyDescent="0.2">
      <c r="A48" s="58" t="s">
        <v>688</v>
      </c>
      <c r="B48" s="8" t="s">
        <v>287</v>
      </c>
      <c r="C48" s="11"/>
      <c r="D48" s="11"/>
      <c r="E48" s="11"/>
      <c r="F48" s="11"/>
      <c r="G48" s="11"/>
      <c r="H48" s="191"/>
      <c r="I48" s="191"/>
      <c r="J48" s="191"/>
      <c r="K48" s="191"/>
      <c r="L48" s="19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>
        <v>24388</v>
      </c>
      <c r="AC48" s="11">
        <f>24388-134</f>
        <v>24254</v>
      </c>
      <c r="AD48" s="11">
        <f>24388-134+700</f>
        <v>24954</v>
      </c>
      <c r="AE48" s="11">
        <v>24388</v>
      </c>
      <c r="AF48" s="11">
        <v>24388</v>
      </c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279">
        <f>C48+H48+M48+R48+W48+AB48+AG48+AL48+AQ48+AV48+25803*2</f>
        <v>75994</v>
      </c>
      <c r="BB48" s="279">
        <f t="shared" ref="BB48:BB64" si="100">D48+I48+N48+S48+X48+AC48+AH48+AM48+AR48+AW48</f>
        <v>24254</v>
      </c>
      <c r="BC48" s="279">
        <f t="shared" ref="BC48:BC64" si="101">E48+J48+O48+T48+Y48+AD48+AI48+AN48+AS48+AX48</f>
        <v>24954</v>
      </c>
      <c r="BD48" s="279">
        <f t="shared" ref="BD48:BD64" si="102">F48+K48+P48+U48+Z48+AE48+AJ48+AO48+AT48+AY48</f>
        <v>24388</v>
      </c>
      <c r="BE48" s="279">
        <f t="shared" ref="BE48:BE64" si="103">G48+L48+Q48+V48+AA48+AF48+AK48+AP48+AU48+AZ48</f>
        <v>24388</v>
      </c>
      <c r="BF48" s="301"/>
      <c r="BG48" s="279">
        <v>26044</v>
      </c>
      <c r="BH48" s="9">
        <f>110*249*622.05+110*320*249</f>
        <v>25802749.5</v>
      </c>
      <c r="BK48" s="9">
        <f>110*249*622.05+110*320*249</f>
        <v>25802749.5</v>
      </c>
    </row>
    <row r="49" spans="1:64" s="9" customFormat="1" x14ac:dyDescent="0.2">
      <c r="A49" s="58" t="s">
        <v>772</v>
      </c>
      <c r="B49" s="8" t="s">
        <v>275</v>
      </c>
      <c r="C49" s="11">
        <v>120</v>
      </c>
      <c r="D49" s="11">
        <v>120</v>
      </c>
      <c r="E49" s="11">
        <v>120</v>
      </c>
      <c r="F49" s="400">
        <v>120</v>
      </c>
      <c r="G49" s="400">
        <v>120</v>
      </c>
      <c r="H49" s="191"/>
      <c r="I49" s="191"/>
      <c r="J49" s="191"/>
      <c r="K49" s="191"/>
      <c r="L49" s="191"/>
      <c r="M49" s="11">
        <v>19628</v>
      </c>
      <c r="N49" s="11">
        <v>19628</v>
      </c>
      <c r="O49" s="11">
        <v>19628</v>
      </c>
      <c r="P49" s="400">
        <v>19628</v>
      </c>
      <c r="Q49" s="400">
        <v>19628</v>
      </c>
      <c r="R49" s="11"/>
      <c r="S49" s="11"/>
      <c r="T49" s="11"/>
      <c r="U49" s="11"/>
      <c r="V49" s="11"/>
      <c r="W49" s="11">
        <v>900</v>
      </c>
      <c r="X49" s="11">
        <v>900</v>
      </c>
      <c r="Y49" s="11">
        <v>900</v>
      </c>
      <c r="Z49" s="400">
        <v>900</v>
      </c>
      <c r="AA49" s="400">
        <v>900</v>
      </c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279">
        <f t="shared" ref="BA49:BA64" si="104">C49+H49+M49+R49+W49+AB49+AG49+AL49+AQ49+AV49</f>
        <v>20648</v>
      </c>
      <c r="BB49" s="279">
        <f t="shared" si="100"/>
        <v>20648</v>
      </c>
      <c r="BC49" s="279">
        <f t="shared" si="101"/>
        <v>20648</v>
      </c>
      <c r="BD49" s="279">
        <f t="shared" si="102"/>
        <v>20648</v>
      </c>
      <c r="BE49" s="279">
        <f t="shared" si="103"/>
        <v>20648</v>
      </c>
      <c r="BF49" s="301"/>
      <c r="BG49" s="279">
        <v>16965</v>
      </c>
    </row>
    <row r="50" spans="1:64" s="9" customFormat="1" x14ac:dyDescent="0.2">
      <c r="A50" s="58" t="s">
        <v>692</v>
      </c>
      <c r="B50" s="8" t="s">
        <v>274</v>
      </c>
      <c r="C50" s="11">
        <v>500</v>
      </c>
      <c r="D50" s="11">
        <v>500</v>
      </c>
      <c r="E50" s="11">
        <v>500</v>
      </c>
      <c r="F50" s="400">
        <v>500</v>
      </c>
      <c r="G50" s="400">
        <v>500</v>
      </c>
      <c r="H50" s="11"/>
      <c r="I50" s="11"/>
      <c r="J50" s="11"/>
      <c r="K50" s="191"/>
      <c r="L50" s="191"/>
      <c r="M50" s="11"/>
      <c r="N50" s="11"/>
      <c r="O50" s="11"/>
      <c r="P50" s="11"/>
      <c r="Q50" s="11"/>
      <c r="R50" s="11">
        <v>1000</v>
      </c>
      <c r="S50" s="11">
        <f>1000+500</f>
        <v>1500</v>
      </c>
      <c r="T50" s="11">
        <f>1000+500</f>
        <v>1500</v>
      </c>
      <c r="U50" s="400">
        <v>1000</v>
      </c>
      <c r="V50" s="400">
        <v>1000</v>
      </c>
      <c r="W50" s="11">
        <f>2800+2480+500</f>
        <v>5780</v>
      </c>
      <c r="X50" s="11">
        <f>2480+(3300+550)+2980+5334+880+1950+3500</f>
        <v>20974</v>
      </c>
      <c r="Y50" s="11">
        <f>(2480+(3300+550-3850)+2980+5334+880+1950+3500)+3993+10806+1500</f>
        <v>33423</v>
      </c>
      <c r="Z50" s="400">
        <f t="shared" ref="Z50:AA50" si="105">2800+2480</f>
        <v>5280</v>
      </c>
      <c r="AA50" s="400">
        <f t="shared" si="105"/>
        <v>5280</v>
      </c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>
        <v>200</v>
      </c>
      <c r="AR50" s="11">
        <v>200</v>
      </c>
      <c r="AS50" s="11">
        <v>200</v>
      </c>
      <c r="AT50" s="11">
        <v>200</v>
      </c>
      <c r="AU50" s="11">
        <v>200</v>
      </c>
      <c r="AV50" s="11">
        <v>100</v>
      </c>
      <c r="AW50" s="11">
        <v>100</v>
      </c>
      <c r="AX50" s="11">
        <v>100</v>
      </c>
      <c r="AY50" s="400">
        <v>100</v>
      </c>
      <c r="AZ50" s="400">
        <v>100</v>
      </c>
      <c r="BA50" s="279">
        <f t="shared" si="104"/>
        <v>7580</v>
      </c>
      <c r="BB50" s="279">
        <f t="shared" si="100"/>
        <v>23274</v>
      </c>
      <c r="BC50" s="279">
        <f t="shared" si="101"/>
        <v>35723</v>
      </c>
      <c r="BD50" s="279">
        <f t="shared" si="102"/>
        <v>7080</v>
      </c>
      <c r="BE50" s="279">
        <f t="shared" si="103"/>
        <v>7080</v>
      </c>
      <c r="BF50" s="301"/>
      <c r="BG50" s="279">
        <v>5468</v>
      </c>
      <c r="BH50" s="9">
        <f>110*249*622.05+110*252*249</f>
        <v>23940229.5</v>
      </c>
      <c r="BK50" s="9">
        <f>110*249*622.05+110*268.35*249</f>
        <v>24388056</v>
      </c>
    </row>
    <row r="51" spans="1:64" s="9" customFormat="1" hidden="1" x14ac:dyDescent="0.2">
      <c r="A51" s="58"/>
      <c r="B51" s="8" t="s">
        <v>367</v>
      </c>
      <c r="C51" s="11"/>
      <c r="D51" s="11"/>
      <c r="E51" s="11"/>
      <c r="F51" s="11"/>
      <c r="G51" s="11"/>
      <c r="H51" s="191"/>
      <c r="I51" s="191"/>
      <c r="J51" s="191"/>
      <c r="K51" s="191"/>
      <c r="L51" s="19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279">
        <f t="shared" si="104"/>
        <v>0</v>
      </c>
      <c r="BB51" s="279">
        <f t="shared" si="100"/>
        <v>0</v>
      </c>
      <c r="BC51" s="279">
        <f t="shared" si="101"/>
        <v>0</v>
      </c>
      <c r="BD51" s="279">
        <f t="shared" si="102"/>
        <v>0</v>
      </c>
      <c r="BE51" s="279">
        <f t="shared" si="103"/>
        <v>0</v>
      </c>
      <c r="BF51" s="301"/>
      <c r="BG51" s="279">
        <v>796</v>
      </c>
    </row>
    <row r="52" spans="1:64" s="9" customFormat="1" ht="12.75" customHeight="1" x14ac:dyDescent="0.2">
      <c r="A52" s="58" t="s">
        <v>707</v>
      </c>
      <c r="B52" s="8" t="s">
        <v>273</v>
      </c>
      <c r="C52" s="11"/>
      <c r="D52" s="11"/>
      <c r="E52" s="11"/>
      <c r="F52" s="11"/>
      <c r="G52" s="11"/>
      <c r="H52" s="191"/>
      <c r="I52" s="191"/>
      <c r="J52" s="191"/>
      <c r="K52" s="191"/>
      <c r="L52" s="19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>
        <v>11000</v>
      </c>
      <c r="X52" s="11">
        <v>11000</v>
      </c>
      <c r="Y52" s="11">
        <v>11000</v>
      </c>
      <c r="Z52" s="400">
        <v>11000</v>
      </c>
      <c r="AA52" s="400">
        <v>11000</v>
      </c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>
        <v>1600</v>
      </c>
      <c r="AR52" s="11">
        <v>1600</v>
      </c>
      <c r="AS52" s="11">
        <v>1600</v>
      </c>
      <c r="AT52" s="11">
        <v>1600</v>
      </c>
      <c r="AU52" s="11">
        <v>1600</v>
      </c>
      <c r="AV52" s="11"/>
      <c r="AW52" s="11"/>
      <c r="AX52" s="11"/>
      <c r="AY52" s="11"/>
      <c r="AZ52" s="11"/>
      <c r="BA52" s="279">
        <f t="shared" si="104"/>
        <v>12600</v>
      </c>
      <c r="BB52" s="279">
        <f t="shared" si="100"/>
        <v>12600</v>
      </c>
      <c r="BC52" s="279">
        <f t="shared" si="101"/>
        <v>12600</v>
      </c>
      <c r="BD52" s="279">
        <f t="shared" si="102"/>
        <v>12600</v>
      </c>
      <c r="BE52" s="279">
        <f t="shared" si="103"/>
        <v>12600</v>
      </c>
      <c r="BF52" s="301"/>
      <c r="BG52" s="279">
        <v>15000</v>
      </c>
    </row>
    <row r="53" spans="1:64" s="9" customFormat="1" x14ac:dyDescent="0.2">
      <c r="A53" s="58" t="s">
        <v>496</v>
      </c>
      <c r="B53" s="8" t="s">
        <v>272</v>
      </c>
      <c r="C53" s="11"/>
      <c r="D53" s="11"/>
      <c r="E53" s="11"/>
      <c r="F53" s="11"/>
      <c r="G53" s="11"/>
      <c r="H53" s="191"/>
      <c r="I53" s="191"/>
      <c r="J53" s="191"/>
      <c r="K53" s="191"/>
      <c r="L53" s="19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279">
        <f t="shared" si="104"/>
        <v>0</v>
      </c>
      <c r="BB53" s="279">
        <f t="shared" si="100"/>
        <v>0</v>
      </c>
      <c r="BC53" s="279">
        <f t="shared" si="101"/>
        <v>0</v>
      </c>
      <c r="BD53" s="279">
        <f t="shared" si="102"/>
        <v>0</v>
      </c>
      <c r="BE53" s="279">
        <f t="shared" si="103"/>
        <v>0</v>
      </c>
      <c r="BF53" s="301"/>
      <c r="BG53" s="279">
        <v>0</v>
      </c>
      <c r="BH53" s="9">
        <f>110*249*622.05</f>
        <v>17037949.5</v>
      </c>
      <c r="BK53" s="9">
        <f>110*249*622.05</f>
        <v>17037949.5</v>
      </c>
    </row>
    <row r="54" spans="1:64" s="9" customFormat="1" x14ac:dyDescent="0.2">
      <c r="A54" s="58"/>
      <c r="B54" s="8" t="s">
        <v>280</v>
      </c>
      <c r="C54" s="11">
        <v>1620</v>
      </c>
      <c r="D54" s="11">
        <v>1620</v>
      </c>
      <c r="E54" s="11">
        <v>1620</v>
      </c>
      <c r="F54" s="400">
        <v>1620</v>
      </c>
      <c r="G54" s="400">
        <v>1620</v>
      </c>
      <c r="H54" s="191"/>
      <c r="I54" s="191"/>
      <c r="J54" s="191"/>
      <c r="K54" s="191"/>
      <c r="L54" s="19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279">
        <f t="shared" si="104"/>
        <v>1620</v>
      </c>
      <c r="BB54" s="279">
        <f t="shared" si="100"/>
        <v>1620</v>
      </c>
      <c r="BC54" s="279">
        <f t="shared" si="101"/>
        <v>1620</v>
      </c>
      <c r="BD54" s="279">
        <f t="shared" si="102"/>
        <v>1620</v>
      </c>
      <c r="BE54" s="279">
        <f t="shared" si="103"/>
        <v>1620</v>
      </c>
      <c r="BF54" s="301"/>
      <c r="BG54" s="279">
        <v>1620</v>
      </c>
      <c r="BH54" s="611">
        <f>BH53*0.27</f>
        <v>4600246.3650000002</v>
      </c>
      <c r="BK54" s="611">
        <f>BK53*0.27</f>
        <v>4600246.3650000002</v>
      </c>
    </row>
    <row r="55" spans="1:64" s="9" customFormat="1" x14ac:dyDescent="0.2">
      <c r="A55" s="58"/>
      <c r="B55" s="8" t="s">
        <v>281</v>
      </c>
      <c r="C55" s="11">
        <v>1920</v>
      </c>
      <c r="D55" s="11">
        <v>1920</v>
      </c>
      <c r="E55" s="11">
        <v>1920</v>
      </c>
      <c r="F55" s="400">
        <v>1920</v>
      </c>
      <c r="G55" s="400">
        <v>1920</v>
      </c>
      <c r="H55" s="191"/>
      <c r="I55" s="191"/>
      <c r="J55" s="191"/>
      <c r="K55" s="191"/>
      <c r="L55" s="19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279">
        <f t="shared" si="104"/>
        <v>1920</v>
      </c>
      <c r="BB55" s="279">
        <f t="shared" si="100"/>
        <v>1920</v>
      </c>
      <c r="BC55" s="279">
        <f t="shared" si="101"/>
        <v>1920</v>
      </c>
      <c r="BD55" s="279">
        <f t="shared" si="102"/>
        <v>1920</v>
      </c>
      <c r="BE55" s="279">
        <f t="shared" si="103"/>
        <v>1920</v>
      </c>
      <c r="BF55" s="301"/>
      <c r="BG55" s="279">
        <v>1920</v>
      </c>
      <c r="BH55" s="611">
        <f>110*68*249</f>
        <v>1862520</v>
      </c>
      <c r="BI55" s="9" t="s">
        <v>976</v>
      </c>
      <c r="BK55" s="611">
        <f>110*72.45*249</f>
        <v>1984405.5</v>
      </c>
      <c r="BL55" s="9" t="s">
        <v>976</v>
      </c>
    </row>
    <row r="56" spans="1:64" s="9" customFormat="1" x14ac:dyDescent="0.2">
      <c r="A56" s="58"/>
      <c r="B56" s="8" t="s">
        <v>293</v>
      </c>
      <c r="C56" s="11">
        <f>2500+7500+5000+1800+800</f>
        <v>17600</v>
      </c>
      <c r="D56" s="11">
        <f>2500+7500+5000+1800+800</f>
        <v>17600</v>
      </c>
      <c r="E56" s="11">
        <f>2500+7500+5000+1800+800</f>
        <v>17600</v>
      </c>
      <c r="F56" s="400">
        <f t="shared" ref="F56:G56" si="106">2500+7500+5000</f>
        <v>15000</v>
      </c>
      <c r="G56" s="400">
        <f t="shared" si="106"/>
        <v>15000</v>
      </c>
      <c r="H56" s="191"/>
      <c r="I56" s="191"/>
      <c r="J56" s="191"/>
      <c r="K56" s="191"/>
      <c r="L56" s="19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279">
        <f t="shared" si="104"/>
        <v>17600</v>
      </c>
      <c r="BB56" s="279">
        <f t="shared" si="100"/>
        <v>17600</v>
      </c>
      <c r="BC56" s="279">
        <f t="shared" si="101"/>
        <v>17600</v>
      </c>
      <c r="BD56" s="279">
        <f t="shared" si="102"/>
        <v>15000</v>
      </c>
      <c r="BE56" s="279">
        <f t="shared" si="103"/>
        <v>15000</v>
      </c>
      <c r="BF56" s="301"/>
      <c r="BG56" s="279">
        <v>14672</v>
      </c>
    </row>
    <row r="57" spans="1:64" s="9" customFormat="1" x14ac:dyDescent="0.2">
      <c r="A57" s="58"/>
      <c r="B57" s="8" t="s">
        <v>517</v>
      </c>
      <c r="C57" s="11">
        <v>2500</v>
      </c>
      <c r="D57" s="11">
        <v>2500</v>
      </c>
      <c r="E57" s="11">
        <v>2500</v>
      </c>
      <c r="F57" s="400">
        <v>2500</v>
      </c>
      <c r="G57" s="400">
        <v>2500</v>
      </c>
      <c r="H57" s="191"/>
      <c r="I57" s="191"/>
      <c r="J57" s="191"/>
      <c r="K57" s="191"/>
      <c r="L57" s="19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279">
        <f t="shared" si="104"/>
        <v>2500</v>
      </c>
      <c r="BB57" s="279">
        <f t="shared" si="100"/>
        <v>2500</v>
      </c>
      <c r="BC57" s="279">
        <f t="shared" si="101"/>
        <v>2500</v>
      </c>
      <c r="BD57" s="279">
        <f t="shared" si="102"/>
        <v>2500</v>
      </c>
      <c r="BE57" s="279">
        <f t="shared" si="103"/>
        <v>2500</v>
      </c>
      <c r="BF57" s="301"/>
      <c r="BG57" s="279">
        <v>2680</v>
      </c>
    </row>
    <row r="58" spans="1:64" s="9" customFormat="1" x14ac:dyDescent="0.2">
      <c r="A58" s="58"/>
      <c r="B58" s="8" t="s">
        <v>291</v>
      </c>
      <c r="C58" s="8"/>
      <c r="D58" s="8"/>
      <c r="E58" s="8"/>
      <c r="F58" s="8"/>
      <c r="G58" s="8"/>
      <c r="H58" s="11"/>
      <c r="I58" s="11"/>
      <c r="J58" s="11"/>
      <c r="K58" s="191"/>
      <c r="L58" s="19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>
        <v>200</v>
      </c>
      <c r="AR58" s="11">
        <v>200</v>
      </c>
      <c r="AS58" s="11">
        <v>200</v>
      </c>
      <c r="AT58" s="11">
        <v>200</v>
      </c>
      <c r="AU58" s="11">
        <v>200</v>
      </c>
      <c r="AV58" s="11"/>
      <c r="AW58" s="11"/>
      <c r="AX58" s="11"/>
      <c r="AY58" s="11"/>
      <c r="AZ58" s="11"/>
      <c r="BA58" s="279">
        <f t="shared" si="104"/>
        <v>200</v>
      </c>
      <c r="BB58" s="279">
        <f t="shared" si="100"/>
        <v>200</v>
      </c>
      <c r="BC58" s="279">
        <f t="shared" si="101"/>
        <v>200</v>
      </c>
      <c r="BD58" s="279">
        <f t="shared" si="102"/>
        <v>200</v>
      </c>
      <c r="BE58" s="279">
        <f t="shared" si="103"/>
        <v>200</v>
      </c>
      <c r="BF58" s="301"/>
      <c r="BG58" s="279">
        <v>128</v>
      </c>
    </row>
    <row r="59" spans="1:64" s="9" customFormat="1" x14ac:dyDescent="0.2">
      <c r="A59" s="58"/>
      <c r="B59" s="8" t="s">
        <v>942</v>
      </c>
      <c r="C59" s="8"/>
      <c r="D59" s="8"/>
      <c r="E59" s="8"/>
      <c r="F59" s="8"/>
      <c r="G59" s="8"/>
      <c r="H59" s="191"/>
      <c r="I59" s="191"/>
      <c r="J59" s="191"/>
      <c r="K59" s="191"/>
      <c r="L59" s="19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>
        <f>1115+1683</f>
        <v>2798</v>
      </c>
      <c r="AR59" s="11">
        <f t="shared" ref="AR59:AU59" si="107">1115+1683</f>
        <v>2798</v>
      </c>
      <c r="AS59" s="11">
        <f t="shared" si="107"/>
        <v>2798</v>
      </c>
      <c r="AT59" s="11">
        <f t="shared" si="107"/>
        <v>2798</v>
      </c>
      <c r="AU59" s="11">
        <f t="shared" si="107"/>
        <v>2798</v>
      </c>
      <c r="AV59" s="11"/>
      <c r="AW59" s="11"/>
      <c r="AX59" s="11"/>
      <c r="AY59" s="11"/>
      <c r="AZ59" s="11"/>
      <c r="BA59" s="279">
        <f t="shared" si="104"/>
        <v>2798</v>
      </c>
      <c r="BB59" s="279">
        <f t="shared" si="100"/>
        <v>2798</v>
      </c>
      <c r="BC59" s="279">
        <f t="shared" si="101"/>
        <v>2798</v>
      </c>
      <c r="BD59" s="279">
        <f t="shared" si="102"/>
        <v>2798</v>
      </c>
      <c r="BE59" s="279">
        <f t="shared" si="103"/>
        <v>2798</v>
      </c>
      <c r="BF59" s="301"/>
      <c r="BG59" s="279">
        <v>1022</v>
      </c>
    </row>
    <row r="60" spans="1:64" s="9" customFormat="1" x14ac:dyDescent="0.2">
      <c r="A60" s="58"/>
      <c r="B60" s="8" t="s">
        <v>518</v>
      </c>
      <c r="C60" s="8"/>
      <c r="D60" s="8"/>
      <c r="E60" s="8"/>
      <c r="F60" s="8"/>
      <c r="G60" s="8"/>
      <c r="H60" s="191"/>
      <c r="I60" s="191"/>
      <c r="J60" s="191"/>
      <c r="K60" s="191"/>
      <c r="L60" s="19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>
        <v>3310</v>
      </c>
      <c r="AR60" s="11">
        <v>3310</v>
      </c>
      <c r="AS60" s="11">
        <v>3310</v>
      </c>
      <c r="AT60" s="11">
        <v>3310</v>
      </c>
      <c r="AU60" s="11">
        <v>3310</v>
      </c>
      <c r="AV60" s="11"/>
      <c r="AW60" s="11"/>
      <c r="AX60" s="11"/>
      <c r="AY60" s="11"/>
      <c r="AZ60" s="11"/>
      <c r="BA60" s="279">
        <f t="shared" si="104"/>
        <v>3310</v>
      </c>
      <c r="BB60" s="279">
        <f t="shared" si="100"/>
        <v>3310</v>
      </c>
      <c r="BC60" s="279">
        <f t="shared" si="101"/>
        <v>3310</v>
      </c>
      <c r="BD60" s="279">
        <f t="shared" si="102"/>
        <v>3310</v>
      </c>
      <c r="BE60" s="279">
        <f t="shared" si="103"/>
        <v>3310</v>
      </c>
      <c r="BF60" s="301"/>
      <c r="BG60" s="279">
        <v>2815</v>
      </c>
    </row>
    <row r="61" spans="1:64" s="9" customFormat="1" x14ac:dyDescent="0.2">
      <c r="A61" s="58"/>
      <c r="B61" s="8" t="s">
        <v>370</v>
      </c>
      <c r="C61" s="8"/>
      <c r="D61" s="8"/>
      <c r="E61" s="8"/>
      <c r="F61" s="8"/>
      <c r="G61" s="8"/>
      <c r="H61" s="191"/>
      <c r="I61" s="191"/>
      <c r="J61" s="191"/>
      <c r="K61" s="191"/>
      <c r="L61" s="19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>
        <v>10400</v>
      </c>
      <c r="AR61" s="11">
        <v>10400</v>
      </c>
      <c r="AS61" s="11">
        <v>10400</v>
      </c>
      <c r="AT61" s="11">
        <v>10400</v>
      </c>
      <c r="AU61" s="11">
        <v>10400</v>
      </c>
      <c r="AV61" s="11"/>
      <c r="AW61" s="11"/>
      <c r="AX61" s="11"/>
      <c r="AY61" s="11"/>
      <c r="AZ61" s="11"/>
      <c r="BA61" s="279">
        <f t="shared" si="104"/>
        <v>10400</v>
      </c>
      <c r="BB61" s="279">
        <f t="shared" si="100"/>
        <v>10400</v>
      </c>
      <c r="BC61" s="279">
        <f t="shared" si="101"/>
        <v>10400</v>
      </c>
      <c r="BD61" s="279">
        <f t="shared" si="102"/>
        <v>10400</v>
      </c>
      <c r="BE61" s="279">
        <f t="shared" si="103"/>
        <v>10400</v>
      </c>
      <c r="BF61" s="301"/>
      <c r="BG61" s="279">
        <v>8683</v>
      </c>
    </row>
    <row r="62" spans="1:64" s="9" customFormat="1" x14ac:dyDescent="0.2">
      <c r="A62" s="58"/>
      <c r="B62" s="8" t="s">
        <v>283</v>
      </c>
      <c r="C62" s="8"/>
      <c r="D62" s="8"/>
      <c r="E62" s="8"/>
      <c r="F62" s="8"/>
      <c r="G62" s="8"/>
      <c r="H62" s="191"/>
      <c r="I62" s="191"/>
      <c r="J62" s="191"/>
      <c r="K62" s="191"/>
      <c r="L62" s="19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>
        <v>857</v>
      </c>
      <c r="AR62" s="11">
        <v>857</v>
      </c>
      <c r="AS62" s="11">
        <v>857</v>
      </c>
      <c r="AT62" s="11">
        <v>857</v>
      </c>
      <c r="AU62" s="11">
        <v>857</v>
      </c>
      <c r="AV62" s="11"/>
      <c r="AW62" s="11"/>
      <c r="AX62" s="11"/>
      <c r="AY62" s="11"/>
      <c r="AZ62" s="11"/>
      <c r="BA62" s="279">
        <f t="shared" si="104"/>
        <v>857</v>
      </c>
      <c r="BB62" s="279">
        <f t="shared" si="100"/>
        <v>857</v>
      </c>
      <c r="BC62" s="279">
        <f t="shared" si="101"/>
        <v>857</v>
      </c>
      <c r="BD62" s="279">
        <f t="shared" si="102"/>
        <v>857</v>
      </c>
      <c r="BE62" s="279">
        <f t="shared" si="103"/>
        <v>857</v>
      </c>
      <c r="BF62" s="301"/>
      <c r="BG62" s="279">
        <v>728</v>
      </c>
    </row>
    <row r="63" spans="1:64" s="9" customFormat="1" x14ac:dyDescent="0.2">
      <c r="A63" s="58"/>
      <c r="B63" s="8" t="s">
        <v>646</v>
      </c>
      <c r="C63" s="8"/>
      <c r="D63" s="8"/>
      <c r="E63" s="8"/>
      <c r="F63" s="8"/>
      <c r="G63" s="8"/>
      <c r="H63" s="191"/>
      <c r="I63" s="191"/>
      <c r="J63" s="191"/>
      <c r="K63" s="191"/>
      <c r="L63" s="19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>
        <v>4320</v>
      </c>
      <c r="AW63" s="11">
        <v>4320</v>
      </c>
      <c r="AX63" s="11">
        <v>4320</v>
      </c>
      <c r="AY63" s="400">
        <v>4320</v>
      </c>
      <c r="AZ63" s="400">
        <v>4320</v>
      </c>
      <c r="BA63" s="279">
        <f t="shared" si="104"/>
        <v>4320</v>
      </c>
      <c r="BB63" s="279">
        <f t="shared" si="100"/>
        <v>4320</v>
      </c>
      <c r="BC63" s="279">
        <f t="shared" si="101"/>
        <v>4320</v>
      </c>
      <c r="BD63" s="279">
        <f t="shared" si="102"/>
        <v>4320</v>
      </c>
      <c r="BE63" s="279">
        <f t="shared" si="103"/>
        <v>4320</v>
      </c>
      <c r="BF63" s="301"/>
      <c r="BG63" s="279">
        <v>3120</v>
      </c>
      <c r="BH63" s="35">
        <f>BC54+BC55+BC57+BC63+BC66</f>
        <v>41791</v>
      </c>
    </row>
    <row r="64" spans="1:64" s="9" customFormat="1" ht="12.75" customHeight="1" x14ac:dyDescent="0.2">
      <c r="A64" s="58"/>
      <c r="B64" s="8" t="s">
        <v>861</v>
      </c>
      <c r="C64" s="11">
        <v>700</v>
      </c>
      <c r="D64" s="11">
        <v>700</v>
      </c>
      <c r="E64" s="11">
        <f>700+5</f>
        <v>705</v>
      </c>
      <c r="F64" s="400">
        <v>700</v>
      </c>
      <c r="G64" s="400">
        <v>700</v>
      </c>
      <c r="H64" s="191"/>
      <c r="I64" s="191"/>
      <c r="J64" s="191"/>
      <c r="K64" s="191"/>
      <c r="L64" s="19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279">
        <f t="shared" si="104"/>
        <v>700</v>
      </c>
      <c r="BB64" s="279">
        <f t="shared" si="100"/>
        <v>700</v>
      </c>
      <c r="BC64" s="279">
        <f t="shared" si="101"/>
        <v>705</v>
      </c>
      <c r="BD64" s="279">
        <f t="shared" si="102"/>
        <v>700</v>
      </c>
      <c r="BE64" s="279">
        <f t="shared" si="103"/>
        <v>700</v>
      </c>
      <c r="BF64" s="301"/>
      <c r="BG64" s="279">
        <v>605</v>
      </c>
    </row>
    <row r="65" spans="1:59" s="9" customFormat="1" ht="12.75" hidden="1" customHeight="1" x14ac:dyDescent="0.2">
      <c r="A65" s="58"/>
      <c r="B65" s="8"/>
      <c r="C65" s="11"/>
      <c r="D65" s="11"/>
      <c r="E65" s="11"/>
      <c r="F65" s="11"/>
      <c r="G65" s="11"/>
      <c r="H65" s="191"/>
      <c r="I65" s="191"/>
      <c r="J65" s="191"/>
      <c r="K65" s="191"/>
      <c r="L65" s="19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279">
        <f t="shared" ref="BA65:BA79" si="108">C65+H65+M65+R65+W65+AB65+AG65+AL65+AQ65+AV65</f>
        <v>0</v>
      </c>
      <c r="BB65" s="279">
        <f t="shared" ref="BB65:BB79" si="109">D65+I65+N65+S65+X65+AC65+AH65+AM65+AR65+AW65</f>
        <v>0</v>
      </c>
      <c r="BC65" s="279">
        <f t="shared" ref="BC65:BC79" si="110">E65+J65+O65+T65+Y65+AD65+AI65+AN65+AS65+AX65</f>
        <v>0</v>
      </c>
      <c r="BD65" s="279">
        <f t="shared" ref="BD65:BD79" si="111">F65+K65+P65+U65+Z65+AE65+AJ65+AO65+AT65+AY65</f>
        <v>0</v>
      </c>
      <c r="BE65" s="279">
        <f t="shared" ref="BE65:BE79" si="112">G65+L65+Q65+V65+AA65+AF65+AK65+AP65+AU65+AZ65</f>
        <v>0</v>
      </c>
      <c r="BF65" s="301"/>
      <c r="BG65" s="279">
        <v>0</v>
      </c>
    </row>
    <row r="66" spans="1:59" s="9" customFormat="1" ht="15.75" thickBot="1" x14ac:dyDescent="0.3">
      <c r="A66" s="58"/>
      <c r="B66" s="19" t="s">
        <v>1016</v>
      </c>
      <c r="C66" s="11">
        <v>2000</v>
      </c>
      <c r="D66" s="11">
        <v>2000</v>
      </c>
      <c r="E66" s="11">
        <f>2000-5</f>
        <v>1995</v>
      </c>
      <c r="F66" s="400">
        <v>2000</v>
      </c>
      <c r="G66" s="400">
        <v>2000</v>
      </c>
      <c r="H66" s="191"/>
      <c r="I66" s="191"/>
      <c r="J66" s="191"/>
      <c r="K66" s="191"/>
      <c r="L66" s="19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>
        <f>5000+7500+868+2500+(2200+200+200)+2000+900+450+182</f>
        <v>22000</v>
      </c>
      <c r="X66" s="11">
        <f>5000+7500+868+2500+(2200+200+200)+2000+900+450+182+440</f>
        <v>22440</v>
      </c>
      <c r="Y66" s="11">
        <f>(5000+7500+868+2500+(2200+200+200)+2000+900+450+182+440)+6996</f>
        <v>29436</v>
      </c>
      <c r="Z66" s="600">
        <f t="shared" ref="Z66:AA66" si="113">5000+7500+868+2500+(2200+200+200)+2000+900</f>
        <v>21368</v>
      </c>
      <c r="AA66" s="600">
        <f t="shared" si="113"/>
        <v>21368</v>
      </c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279">
        <f t="shared" si="108"/>
        <v>24000</v>
      </c>
      <c r="BB66" s="279">
        <f t="shared" si="109"/>
        <v>24440</v>
      </c>
      <c r="BC66" s="279">
        <f t="shared" si="110"/>
        <v>31431</v>
      </c>
      <c r="BD66" s="279">
        <f t="shared" si="111"/>
        <v>23368</v>
      </c>
      <c r="BE66" s="279">
        <f t="shared" si="112"/>
        <v>23368</v>
      </c>
      <c r="BF66" s="519">
        <f>BC66-BB66</f>
        <v>6991</v>
      </c>
      <c r="BG66" s="279">
        <v>21015</v>
      </c>
    </row>
    <row r="67" spans="1:59" s="9" customFormat="1" ht="15" hidden="1" customHeight="1" x14ac:dyDescent="0.25">
      <c r="A67" s="58"/>
      <c r="B67" s="19" t="s">
        <v>759</v>
      </c>
      <c r="C67" s="11"/>
      <c r="D67" s="11"/>
      <c r="E67" s="11"/>
      <c r="F67" s="11"/>
      <c r="G67" s="11"/>
      <c r="H67" s="191"/>
      <c r="I67" s="191"/>
      <c r="J67" s="191"/>
      <c r="K67" s="191"/>
      <c r="L67" s="19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279">
        <f t="shared" si="108"/>
        <v>0</v>
      </c>
      <c r="BB67" s="279">
        <f t="shared" si="109"/>
        <v>0</v>
      </c>
      <c r="BC67" s="279">
        <f t="shared" si="110"/>
        <v>0</v>
      </c>
      <c r="BD67" s="279">
        <f t="shared" si="111"/>
        <v>0</v>
      </c>
      <c r="BE67" s="279">
        <f t="shared" si="112"/>
        <v>0</v>
      </c>
      <c r="BF67" s="519">
        <f t="shared" ref="BF67:BF79" si="114">BC67-BB67</f>
        <v>0</v>
      </c>
      <c r="BG67" s="279">
        <v>2190</v>
      </c>
    </row>
    <row r="68" spans="1:59" s="9" customFormat="1" ht="15.75" hidden="1" customHeight="1" x14ac:dyDescent="0.25">
      <c r="A68" s="58"/>
      <c r="B68" s="19" t="s">
        <v>811</v>
      </c>
      <c r="C68" s="11"/>
      <c r="D68" s="11"/>
      <c r="E68" s="11"/>
      <c r="F68" s="11"/>
      <c r="G68" s="11"/>
      <c r="H68" s="191"/>
      <c r="I68" s="191"/>
      <c r="J68" s="191"/>
      <c r="K68" s="191"/>
      <c r="L68" s="19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279">
        <f t="shared" si="108"/>
        <v>0</v>
      </c>
      <c r="BB68" s="279">
        <f t="shared" si="109"/>
        <v>0</v>
      </c>
      <c r="BC68" s="279">
        <f t="shared" si="110"/>
        <v>0</v>
      </c>
      <c r="BD68" s="279">
        <f t="shared" si="111"/>
        <v>0</v>
      </c>
      <c r="BE68" s="279">
        <f t="shared" si="112"/>
        <v>0</v>
      </c>
      <c r="BF68" s="519">
        <v>0</v>
      </c>
      <c r="BG68" s="279">
        <v>0</v>
      </c>
    </row>
    <row r="69" spans="1:59" s="9" customFormat="1" ht="15.75" hidden="1" customHeight="1" x14ac:dyDescent="0.25">
      <c r="A69" s="58"/>
      <c r="B69" s="19"/>
      <c r="C69" s="11"/>
      <c r="D69" s="11"/>
      <c r="E69" s="11"/>
      <c r="F69" s="11">
        <v>0</v>
      </c>
      <c r="G69" s="11">
        <v>0</v>
      </c>
      <c r="H69" s="191"/>
      <c r="I69" s="191"/>
      <c r="J69" s="191"/>
      <c r="K69" s="191"/>
      <c r="L69" s="19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279">
        <f t="shared" si="108"/>
        <v>0</v>
      </c>
      <c r="BB69" s="279">
        <f t="shared" si="109"/>
        <v>0</v>
      </c>
      <c r="BC69" s="279">
        <f t="shared" si="110"/>
        <v>0</v>
      </c>
      <c r="BD69" s="279">
        <f t="shared" si="111"/>
        <v>0</v>
      </c>
      <c r="BE69" s="279">
        <f t="shared" si="112"/>
        <v>0</v>
      </c>
      <c r="BF69" s="519">
        <f t="shared" si="114"/>
        <v>0</v>
      </c>
      <c r="BG69" s="279">
        <v>0</v>
      </c>
    </row>
    <row r="70" spans="1:59" s="9" customFormat="1" ht="15.75" hidden="1" customHeight="1" thickBot="1" x14ac:dyDescent="0.3">
      <c r="A70" s="58"/>
      <c r="B70" s="19"/>
      <c r="C70" s="11"/>
      <c r="D70" s="11"/>
      <c r="E70" s="11"/>
      <c r="F70" s="11"/>
      <c r="G70" s="11"/>
      <c r="H70" s="191"/>
      <c r="I70" s="191"/>
      <c r="J70" s="191"/>
      <c r="K70" s="191"/>
      <c r="L70" s="19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279">
        <f t="shared" si="108"/>
        <v>0</v>
      </c>
      <c r="BB70" s="279">
        <f t="shared" si="109"/>
        <v>0</v>
      </c>
      <c r="BC70" s="279">
        <f t="shared" si="110"/>
        <v>0</v>
      </c>
      <c r="BD70" s="279">
        <f t="shared" si="111"/>
        <v>0</v>
      </c>
      <c r="BE70" s="279">
        <f t="shared" si="112"/>
        <v>0</v>
      </c>
      <c r="BF70" s="519">
        <f t="shared" si="114"/>
        <v>0</v>
      </c>
      <c r="BG70" s="279">
        <v>0</v>
      </c>
    </row>
    <row r="71" spans="1:59" s="9" customFormat="1" ht="27" thickBot="1" x14ac:dyDescent="0.3">
      <c r="A71" s="271"/>
      <c r="B71" s="258" t="s">
        <v>522</v>
      </c>
      <c r="C71" s="11"/>
      <c r="D71" s="11"/>
      <c r="E71" s="11"/>
      <c r="F71" s="11"/>
      <c r="G71" s="11"/>
      <c r="H71" s="250"/>
      <c r="I71" s="250"/>
      <c r="J71" s="250"/>
      <c r="K71" s="250"/>
      <c r="L71" s="250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613">
        <v>115396</v>
      </c>
      <c r="X71" s="613">
        <v>115396</v>
      </c>
      <c r="Y71" s="613">
        <f>C147</f>
        <v>83685</v>
      </c>
      <c r="Z71" s="259">
        <f>C147</f>
        <v>83685</v>
      </c>
      <c r="AA71" s="259">
        <f>C147</f>
        <v>83685</v>
      </c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631">
        <f t="shared" si="108"/>
        <v>115396</v>
      </c>
      <c r="BB71" s="631">
        <f t="shared" si="109"/>
        <v>115396</v>
      </c>
      <c r="BC71" s="279">
        <f t="shared" si="110"/>
        <v>83685</v>
      </c>
      <c r="BD71" s="279">
        <f t="shared" si="111"/>
        <v>83685</v>
      </c>
      <c r="BE71" s="279">
        <f t="shared" si="112"/>
        <v>83685</v>
      </c>
      <c r="BF71" s="519">
        <f t="shared" si="114"/>
        <v>-31711</v>
      </c>
      <c r="BG71" s="279">
        <v>56734</v>
      </c>
    </row>
    <row r="72" spans="1:59" s="9" customFormat="1" ht="15" x14ac:dyDescent="0.25">
      <c r="A72" s="58" t="s">
        <v>497</v>
      </c>
      <c r="B72" s="159" t="s">
        <v>271</v>
      </c>
      <c r="C72" s="80"/>
      <c r="D72" s="80"/>
      <c r="E72" s="80"/>
      <c r="F72" s="80"/>
      <c r="G72" s="80"/>
      <c r="H72" s="191"/>
      <c r="I72" s="191"/>
      <c r="J72" s="191"/>
      <c r="K72" s="191"/>
      <c r="L72" s="19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279">
        <f t="shared" si="108"/>
        <v>0</v>
      </c>
      <c r="BB72" s="279">
        <f t="shared" si="109"/>
        <v>0</v>
      </c>
      <c r="BC72" s="279">
        <f t="shared" si="110"/>
        <v>0</v>
      </c>
      <c r="BD72" s="279">
        <f t="shared" si="111"/>
        <v>0</v>
      </c>
      <c r="BE72" s="279">
        <f t="shared" si="112"/>
        <v>0</v>
      </c>
      <c r="BF72" s="519">
        <f t="shared" si="114"/>
        <v>0</v>
      </c>
      <c r="BG72" s="279">
        <v>0</v>
      </c>
    </row>
    <row r="73" spans="1:59" s="9" customFormat="1" ht="15" x14ac:dyDescent="0.25">
      <c r="A73" s="58"/>
      <c r="B73" s="8" t="s">
        <v>308</v>
      </c>
      <c r="C73" s="11">
        <v>100</v>
      </c>
      <c r="D73" s="11">
        <v>100</v>
      </c>
      <c r="E73" s="11">
        <v>100</v>
      </c>
      <c r="F73" s="400">
        <v>100</v>
      </c>
      <c r="G73" s="400">
        <v>100</v>
      </c>
      <c r="H73" s="191"/>
      <c r="I73" s="191"/>
      <c r="J73" s="191"/>
      <c r="K73" s="191"/>
      <c r="L73" s="19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279">
        <f t="shared" si="108"/>
        <v>100</v>
      </c>
      <c r="BB73" s="279">
        <f t="shared" si="109"/>
        <v>100</v>
      </c>
      <c r="BC73" s="279">
        <f t="shared" si="110"/>
        <v>100</v>
      </c>
      <c r="BD73" s="279">
        <f t="shared" si="111"/>
        <v>100</v>
      </c>
      <c r="BE73" s="279">
        <f t="shared" si="112"/>
        <v>100</v>
      </c>
      <c r="BF73" s="519">
        <f t="shared" si="114"/>
        <v>0</v>
      </c>
      <c r="BG73" s="279">
        <v>100</v>
      </c>
    </row>
    <row r="74" spans="1:59" s="9" customFormat="1" ht="15" x14ac:dyDescent="0.25">
      <c r="A74" s="58"/>
      <c r="B74" s="8" t="s">
        <v>407</v>
      </c>
      <c r="C74" s="11">
        <v>5500</v>
      </c>
      <c r="D74" s="11">
        <v>5500</v>
      </c>
      <c r="E74" s="11">
        <f>5500+1200</f>
        <v>6700</v>
      </c>
      <c r="F74" s="400">
        <v>5500</v>
      </c>
      <c r="G74" s="400">
        <v>5500</v>
      </c>
      <c r="H74" s="191"/>
      <c r="I74" s="191"/>
      <c r="J74" s="191"/>
      <c r="K74" s="191"/>
      <c r="L74" s="19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279">
        <f t="shared" si="108"/>
        <v>5500</v>
      </c>
      <c r="BB74" s="279">
        <f t="shared" si="109"/>
        <v>5500</v>
      </c>
      <c r="BC74" s="279">
        <f t="shared" si="110"/>
        <v>6700</v>
      </c>
      <c r="BD74" s="279">
        <f t="shared" si="111"/>
        <v>5500</v>
      </c>
      <c r="BE74" s="279">
        <f t="shared" si="112"/>
        <v>5500</v>
      </c>
      <c r="BF74" s="519">
        <f t="shared" si="114"/>
        <v>1200</v>
      </c>
      <c r="BG74" s="279">
        <v>5500</v>
      </c>
    </row>
    <row r="75" spans="1:59" s="9" customFormat="1" ht="15" x14ac:dyDescent="0.25">
      <c r="A75" s="58"/>
      <c r="B75" s="8" t="s">
        <v>699</v>
      </c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>
        <v>2700</v>
      </c>
      <c r="X75" s="11">
        <v>2700</v>
      </c>
      <c r="Y75" s="11">
        <v>2700</v>
      </c>
      <c r="Z75" s="400">
        <v>2500</v>
      </c>
      <c r="AA75" s="400">
        <v>2500</v>
      </c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>
        <v>20</v>
      </c>
      <c r="AR75" s="11">
        <v>20</v>
      </c>
      <c r="AS75" s="11">
        <v>20</v>
      </c>
      <c r="AT75" s="11">
        <v>20</v>
      </c>
      <c r="AU75" s="11">
        <v>20</v>
      </c>
      <c r="AV75" s="11"/>
      <c r="AW75" s="11"/>
      <c r="AX75" s="11"/>
      <c r="AY75" s="11"/>
      <c r="AZ75" s="11"/>
      <c r="BA75" s="279">
        <f t="shared" si="108"/>
        <v>2720</v>
      </c>
      <c r="BB75" s="279">
        <f t="shared" si="109"/>
        <v>2720</v>
      </c>
      <c r="BC75" s="279">
        <f t="shared" si="110"/>
        <v>2720</v>
      </c>
      <c r="BD75" s="279">
        <f t="shared" si="111"/>
        <v>2520</v>
      </c>
      <c r="BE75" s="279">
        <f t="shared" si="112"/>
        <v>2520</v>
      </c>
      <c r="BF75" s="519">
        <f t="shared" si="114"/>
        <v>0</v>
      </c>
      <c r="BG75" s="279">
        <v>2310</v>
      </c>
    </row>
    <row r="76" spans="1:59" s="9" customFormat="1" ht="15" x14ac:dyDescent="0.25">
      <c r="A76" s="58"/>
      <c r="B76" s="8" t="s">
        <v>842</v>
      </c>
      <c r="C76" s="11"/>
      <c r="D76" s="11"/>
      <c r="E76" s="11"/>
      <c r="F76" s="11"/>
      <c r="G76" s="11"/>
      <c r="H76" s="191"/>
      <c r="I76" s="191"/>
      <c r="J76" s="191"/>
      <c r="K76" s="191"/>
      <c r="L76" s="191"/>
      <c r="M76" s="11"/>
      <c r="N76" s="11"/>
      <c r="O76" s="11"/>
      <c r="P76" s="11"/>
      <c r="Q76" s="11"/>
      <c r="R76" s="11">
        <v>1150</v>
      </c>
      <c r="S76" s="11">
        <v>1150</v>
      </c>
      <c r="T76" s="11">
        <v>1150</v>
      </c>
      <c r="U76" s="400">
        <v>1150</v>
      </c>
      <c r="V76" s="400">
        <v>1150</v>
      </c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279">
        <f t="shared" si="108"/>
        <v>1150</v>
      </c>
      <c r="BB76" s="279">
        <f t="shared" si="109"/>
        <v>1150</v>
      </c>
      <c r="BC76" s="279">
        <f t="shared" si="110"/>
        <v>1150</v>
      </c>
      <c r="BD76" s="279">
        <f t="shared" si="111"/>
        <v>1150</v>
      </c>
      <c r="BE76" s="279">
        <f t="shared" si="112"/>
        <v>1150</v>
      </c>
      <c r="BF76" s="519">
        <f t="shared" si="114"/>
        <v>0</v>
      </c>
      <c r="BG76" s="279">
        <v>1100</v>
      </c>
    </row>
    <row r="77" spans="1:59" s="9" customFormat="1" ht="15" x14ac:dyDescent="0.25">
      <c r="A77" s="58"/>
      <c r="B77" s="8" t="s">
        <v>843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>
        <v>250</v>
      </c>
      <c r="X77" s="11">
        <v>250</v>
      </c>
      <c r="Y77" s="11">
        <v>250</v>
      </c>
      <c r="Z77" s="400">
        <v>250</v>
      </c>
      <c r="AA77" s="400">
        <v>250</v>
      </c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>
        <v>300</v>
      </c>
      <c r="AR77" s="11">
        <v>300</v>
      </c>
      <c r="AS77" s="11">
        <v>300</v>
      </c>
      <c r="AT77" s="11">
        <v>300</v>
      </c>
      <c r="AU77" s="11">
        <v>300</v>
      </c>
      <c r="AV77" s="11"/>
      <c r="AW77" s="11"/>
      <c r="AX77" s="11"/>
      <c r="AY77" s="11"/>
      <c r="AZ77" s="11"/>
      <c r="BA77" s="279">
        <f t="shared" si="108"/>
        <v>550</v>
      </c>
      <c r="BB77" s="279">
        <f t="shared" si="109"/>
        <v>550</v>
      </c>
      <c r="BC77" s="279">
        <f t="shared" si="110"/>
        <v>550</v>
      </c>
      <c r="BD77" s="279">
        <f t="shared" si="111"/>
        <v>550</v>
      </c>
      <c r="BE77" s="279">
        <f t="shared" si="112"/>
        <v>550</v>
      </c>
      <c r="BF77" s="519">
        <f t="shared" si="114"/>
        <v>0</v>
      </c>
      <c r="BG77" s="279">
        <v>780</v>
      </c>
    </row>
    <row r="78" spans="1:59" s="9" customFormat="1" ht="15" x14ac:dyDescent="0.25">
      <c r="A78" s="58"/>
      <c r="B78" s="8" t="s">
        <v>773</v>
      </c>
      <c r="C78" s="11"/>
      <c r="D78" s="11"/>
      <c r="E78" s="11"/>
      <c r="F78" s="11"/>
      <c r="G78" s="11"/>
      <c r="H78" s="191"/>
      <c r="I78" s="191"/>
      <c r="J78" s="191"/>
      <c r="K78" s="191"/>
      <c r="L78" s="191"/>
      <c r="M78" s="11"/>
      <c r="N78" s="11"/>
      <c r="O78" s="11"/>
      <c r="P78" s="11"/>
      <c r="Q78" s="11"/>
      <c r="R78" s="11">
        <v>500</v>
      </c>
      <c r="S78" s="11">
        <v>500</v>
      </c>
      <c r="T78" s="11">
        <v>500</v>
      </c>
      <c r="U78" s="400">
        <v>500</v>
      </c>
      <c r="V78" s="400">
        <v>500</v>
      </c>
      <c r="W78" s="11">
        <v>150</v>
      </c>
      <c r="X78" s="11">
        <v>150</v>
      </c>
      <c r="Y78" s="11">
        <v>150</v>
      </c>
      <c r="Z78" s="400">
        <v>150</v>
      </c>
      <c r="AA78" s="400">
        <v>150</v>
      </c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>
        <v>100</v>
      </c>
      <c r="AR78" s="11">
        <v>100</v>
      </c>
      <c r="AS78" s="11">
        <v>100</v>
      </c>
      <c r="AT78" s="11">
        <v>100</v>
      </c>
      <c r="AU78" s="11">
        <v>100</v>
      </c>
      <c r="AV78" s="11"/>
      <c r="AW78" s="11"/>
      <c r="AX78" s="11"/>
      <c r="AY78" s="11"/>
      <c r="AZ78" s="11"/>
      <c r="BA78" s="279">
        <f t="shared" si="108"/>
        <v>750</v>
      </c>
      <c r="BB78" s="279">
        <f t="shared" si="109"/>
        <v>750</v>
      </c>
      <c r="BC78" s="279">
        <f t="shared" si="110"/>
        <v>750</v>
      </c>
      <c r="BD78" s="279">
        <f t="shared" si="111"/>
        <v>750</v>
      </c>
      <c r="BE78" s="279">
        <f t="shared" si="112"/>
        <v>750</v>
      </c>
      <c r="BF78" s="519">
        <f t="shared" si="114"/>
        <v>0</v>
      </c>
      <c r="BG78" s="279">
        <v>700</v>
      </c>
    </row>
    <row r="79" spans="1:59" s="9" customFormat="1" ht="15" x14ac:dyDescent="0.25">
      <c r="A79" s="58"/>
      <c r="B79" s="8" t="s">
        <v>1015</v>
      </c>
      <c r="C79" s="11">
        <v>1000</v>
      </c>
      <c r="D79" s="11">
        <v>1000</v>
      </c>
      <c r="E79" s="11">
        <v>1000</v>
      </c>
      <c r="F79" s="400">
        <v>1000</v>
      </c>
      <c r="G79" s="400">
        <v>1000</v>
      </c>
      <c r="H79" s="191"/>
      <c r="I79" s="191"/>
      <c r="J79" s="191"/>
      <c r="K79" s="191"/>
      <c r="L79" s="191"/>
      <c r="M79" s="11">
        <v>2822</v>
      </c>
      <c r="N79" s="11">
        <v>2822</v>
      </c>
      <c r="O79" s="11">
        <v>2822</v>
      </c>
      <c r="P79" s="400">
        <v>2822</v>
      </c>
      <c r="Q79" s="400">
        <v>2822</v>
      </c>
      <c r="R79" s="11">
        <v>1000</v>
      </c>
      <c r="S79" s="11">
        <v>1000</v>
      </c>
      <c r="T79" s="11">
        <v>1000</v>
      </c>
      <c r="U79" s="400">
        <v>1000</v>
      </c>
      <c r="V79" s="400">
        <v>1000</v>
      </c>
      <c r="W79" s="11">
        <v>1500</v>
      </c>
      <c r="X79" s="11">
        <f>1500+1420</f>
        <v>2920</v>
      </c>
      <c r="Y79" s="11">
        <f>1500+1420+4000+1990</f>
        <v>8910</v>
      </c>
      <c r="Z79" s="400">
        <f t="shared" ref="Z79:AA79" si="115">3200+3544</f>
        <v>6744</v>
      </c>
      <c r="AA79" s="400">
        <f t="shared" si="115"/>
        <v>6744</v>
      </c>
      <c r="AB79" s="11">
        <v>0</v>
      </c>
      <c r="AC79" s="11">
        <v>0</v>
      </c>
      <c r="AD79" s="11">
        <v>522</v>
      </c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>
        <v>50</v>
      </c>
      <c r="AR79" s="11">
        <v>50</v>
      </c>
      <c r="AS79" s="11">
        <v>50</v>
      </c>
      <c r="AT79" s="11">
        <v>50</v>
      </c>
      <c r="AU79" s="11">
        <v>50</v>
      </c>
      <c r="AV79" s="11">
        <v>4500</v>
      </c>
      <c r="AW79" s="11">
        <f>4500+33</f>
        <v>4533</v>
      </c>
      <c r="AX79" s="11">
        <f>4500+33+2200</f>
        <v>6733</v>
      </c>
      <c r="AY79" s="400">
        <v>4500</v>
      </c>
      <c r="AZ79" s="400">
        <v>4500</v>
      </c>
      <c r="BA79" s="279">
        <f t="shared" si="108"/>
        <v>10872</v>
      </c>
      <c r="BB79" s="279">
        <f t="shared" si="109"/>
        <v>12325</v>
      </c>
      <c r="BC79" s="279">
        <f t="shared" si="110"/>
        <v>21037</v>
      </c>
      <c r="BD79" s="279">
        <f t="shared" si="111"/>
        <v>16116</v>
      </c>
      <c r="BE79" s="279">
        <f t="shared" si="112"/>
        <v>16116</v>
      </c>
      <c r="BF79" s="519">
        <f t="shared" si="114"/>
        <v>8712</v>
      </c>
      <c r="BG79" s="279">
        <v>11336</v>
      </c>
    </row>
    <row r="80" spans="1:59" s="9" customFormat="1" ht="15" x14ac:dyDescent="0.25">
      <c r="A80" s="58"/>
      <c r="B80" s="8" t="s">
        <v>479</v>
      </c>
      <c r="C80" s="11"/>
      <c r="D80" s="11"/>
      <c r="E80" s="11"/>
      <c r="F80" s="11"/>
      <c r="G80" s="11"/>
      <c r="H80" s="191"/>
      <c r="I80" s="191"/>
      <c r="J80" s="191"/>
      <c r="K80" s="191"/>
      <c r="L80" s="191"/>
      <c r="M80" s="11"/>
      <c r="N80" s="11"/>
      <c r="O80" s="11"/>
      <c r="P80" s="11"/>
      <c r="Q80" s="11"/>
      <c r="R80" s="11">
        <v>1200</v>
      </c>
      <c r="S80" s="11">
        <v>1200</v>
      </c>
      <c r="T80" s="11">
        <v>1200</v>
      </c>
      <c r="U80" s="400">
        <v>1200</v>
      </c>
      <c r="V80" s="400">
        <v>1200</v>
      </c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279">
        <f t="shared" ref="BA80:BA83" si="116">C80+H80+M80+R80+W80+AB80+AG80+AL80+AQ80+AV80</f>
        <v>1200</v>
      </c>
      <c r="BB80" s="279">
        <f t="shared" ref="BB80:BB82" si="117">D80+I80+N80+S80+X80+AC80+AH80+AM80+AR80+AW80</f>
        <v>1200</v>
      </c>
      <c r="BC80" s="279">
        <f t="shared" ref="BC80" si="118">E80+J80+O80+T80+Y80+AD80+AI80+AN80+AS80+AX80</f>
        <v>1200</v>
      </c>
      <c r="BD80" s="279">
        <f t="shared" ref="BD80" si="119">F80+K80+P80+U80+Z80+AE80+AJ80+AO80+AT80+AY80</f>
        <v>1200</v>
      </c>
      <c r="BE80" s="279">
        <f t="shared" ref="BE80" si="120">G80+L80+Q80+V80+AA80+AF80+AK80+AP80+AU80+AZ80</f>
        <v>1200</v>
      </c>
      <c r="BF80" s="519">
        <f t="shared" ref="BF80" si="121">BC80-BB80</f>
        <v>0</v>
      </c>
      <c r="BG80" s="279">
        <v>979</v>
      </c>
    </row>
    <row r="81" spans="1:66" s="9" customFormat="1" ht="15" x14ac:dyDescent="0.25">
      <c r="A81" s="58"/>
      <c r="B81" s="8" t="s">
        <v>1017</v>
      </c>
      <c r="C81" s="11"/>
      <c r="D81" s="11"/>
      <c r="E81" s="11"/>
      <c r="F81" s="11"/>
      <c r="G81" s="11"/>
      <c r="H81" s="191"/>
      <c r="I81" s="191"/>
      <c r="J81" s="191"/>
      <c r="K81" s="191"/>
      <c r="L81" s="19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>
        <v>11850</v>
      </c>
      <c r="X81" s="11">
        <v>11850</v>
      </c>
      <c r="Y81" s="11">
        <f>11850-1990</f>
        <v>9860</v>
      </c>
      <c r="Z81" s="400">
        <v>360</v>
      </c>
      <c r="AA81" s="400">
        <v>360</v>
      </c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279">
        <f t="shared" si="116"/>
        <v>11850</v>
      </c>
      <c r="BB81" s="279">
        <f t="shared" si="117"/>
        <v>11850</v>
      </c>
      <c r="BC81" s="279"/>
      <c r="BD81" s="279"/>
      <c r="BE81" s="279"/>
      <c r="BF81" s="519"/>
      <c r="BG81" s="650"/>
    </row>
    <row r="82" spans="1:66" s="9" customFormat="1" ht="15" x14ac:dyDescent="0.25">
      <c r="A82" s="58"/>
      <c r="B82" s="8" t="s">
        <v>1123</v>
      </c>
      <c r="C82" s="11"/>
      <c r="D82" s="11"/>
      <c r="E82" s="11"/>
      <c r="F82" s="11"/>
      <c r="G82" s="11"/>
      <c r="H82" s="191"/>
      <c r="I82" s="191"/>
      <c r="J82" s="191"/>
      <c r="K82" s="191"/>
      <c r="L82" s="19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>
        <v>0</v>
      </c>
      <c r="X82" s="11">
        <f>6350+6859</f>
        <v>13209</v>
      </c>
      <c r="Y82" s="11">
        <f>6350+6859-2809</f>
        <v>10400</v>
      </c>
      <c r="Z82" s="400">
        <v>360</v>
      </c>
      <c r="AA82" s="400">
        <v>360</v>
      </c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279">
        <f t="shared" si="116"/>
        <v>0</v>
      </c>
      <c r="BB82" s="279">
        <f t="shared" si="117"/>
        <v>13209</v>
      </c>
      <c r="BC82" s="279">
        <f t="shared" ref="BC82" si="122">E82+J82+O82+T82+Y82+AD82+AI82+AN82+AS82+AX82</f>
        <v>10400</v>
      </c>
      <c r="BD82" s="279">
        <f t="shared" ref="BD82" si="123">F82+K82+P82+U82+Z82+AE82+AJ82+AO82+AT82+AY82</f>
        <v>360</v>
      </c>
      <c r="BE82" s="279">
        <f t="shared" ref="BE82" si="124">G82+L82+Q82+V82+AA82+AF82+AK82+AP82+AU82+AZ82</f>
        <v>360</v>
      </c>
      <c r="BF82" s="519">
        <f t="shared" ref="BF82" si="125">BC82-BB82</f>
        <v>-2809</v>
      </c>
    </row>
    <row r="83" spans="1:66" s="9" customFormat="1" ht="15" x14ac:dyDescent="0.25">
      <c r="A83" s="58"/>
      <c r="B83" s="8" t="s">
        <v>1140</v>
      </c>
      <c r="C83" s="11"/>
      <c r="D83" s="11"/>
      <c r="E83" s="11"/>
      <c r="F83" s="11"/>
      <c r="G83" s="11"/>
      <c r="H83" s="191"/>
      <c r="I83" s="191"/>
      <c r="J83" s="191"/>
      <c r="K83" s="191"/>
      <c r="L83" s="19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>
        <v>0</v>
      </c>
      <c r="X83" s="11">
        <v>0</v>
      </c>
      <c r="Y83" s="11">
        <v>4989</v>
      </c>
      <c r="Z83" s="400"/>
      <c r="AA83" s="400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279">
        <f t="shared" si="116"/>
        <v>0</v>
      </c>
      <c r="BB83" s="279"/>
      <c r="BC83" s="279"/>
      <c r="BD83" s="279"/>
      <c r="BE83" s="279"/>
      <c r="BF83" s="519"/>
    </row>
    <row r="84" spans="1:66" s="9" customFormat="1" x14ac:dyDescent="0.2">
      <c r="A84" s="270" t="s">
        <v>840</v>
      </c>
      <c r="B84" s="14" t="s">
        <v>247</v>
      </c>
      <c r="C84" s="6">
        <f t="shared" ref="C84:AC84" si="126">SUM(C85:C86)</f>
        <v>0</v>
      </c>
      <c r="D84" s="6">
        <f t="shared" ref="D84:E84" si="127">SUM(D85:D86)</f>
        <v>0</v>
      </c>
      <c r="E84" s="6">
        <f t="shared" si="127"/>
        <v>0</v>
      </c>
      <c r="F84" s="6">
        <f t="shared" ref="F84:G84" si="128">SUM(F85:F86)</f>
        <v>0</v>
      </c>
      <c r="G84" s="6">
        <f t="shared" si="128"/>
        <v>0</v>
      </c>
      <c r="H84" s="6">
        <f t="shared" ref="H84" si="129">SUM(H85:H86)</f>
        <v>0</v>
      </c>
      <c r="I84" s="6">
        <f t="shared" ref="I84:L84" si="130">SUM(I85:I86)</f>
        <v>0</v>
      </c>
      <c r="J84" s="6">
        <f t="shared" si="130"/>
        <v>0</v>
      </c>
      <c r="K84" s="6">
        <f t="shared" si="130"/>
        <v>0</v>
      </c>
      <c r="L84" s="6">
        <f t="shared" si="130"/>
        <v>0</v>
      </c>
      <c r="M84" s="6">
        <f t="shared" si="126"/>
        <v>0</v>
      </c>
      <c r="N84" s="6">
        <f t="shared" ref="N84:O84" si="131">SUM(N85:N86)</f>
        <v>0</v>
      </c>
      <c r="O84" s="6">
        <f t="shared" si="131"/>
        <v>0</v>
      </c>
      <c r="P84" s="6">
        <f>SUM(P85:P86)</f>
        <v>0</v>
      </c>
      <c r="Q84" s="6">
        <f>SUM(Q85:Q86)</f>
        <v>0</v>
      </c>
      <c r="R84" s="6">
        <f t="shared" ref="R84" si="132">SUM(R85:R86)</f>
        <v>0</v>
      </c>
      <c r="S84" s="6">
        <f t="shared" ref="S84:T84" si="133">SUM(S85:S86)</f>
        <v>0</v>
      </c>
      <c r="T84" s="6">
        <f t="shared" si="133"/>
        <v>0</v>
      </c>
      <c r="U84" s="6"/>
      <c r="V84" s="6"/>
      <c r="W84" s="6">
        <f t="shared" si="126"/>
        <v>1100</v>
      </c>
      <c r="X84" s="6">
        <f t="shared" ref="X84:Y84" si="134">SUM(X85:X86)</f>
        <v>2100</v>
      </c>
      <c r="Y84" s="6">
        <f t="shared" si="134"/>
        <v>2100</v>
      </c>
      <c r="Z84" s="6">
        <f>SUM(Z85:Z86)</f>
        <v>1100</v>
      </c>
      <c r="AA84" s="6">
        <f>SUM(AA85:AA86)</f>
        <v>1100</v>
      </c>
      <c r="AB84" s="6">
        <f t="shared" si="126"/>
        <v>0</v>
      </c>
      <c r="AC84" s="6">
        <f t="shared" si="126"/>
        <v>0</v>
      </c>
      <c r="AD84" s="6">
        <f t="shared" ref="AD84" si="135">SUM(AD85:AD86)</f>
        <v>0</v>
      </c>
      <c r="AE84" s="6">
        <f t="shared" ref="AE84:AZ84" si="136">SUM(AE85:AE86)</f>
        <v>0</v>
      </c>
      <c r="AF84" s="6">
        <f t="shared" si="136"/>
        <v>0</v>
      </c>
      <c r="AG84" s="6">
        <f t="shared" si="136"/>
        <v>0</v>
      </c>
      <c r="AH84" s="6">
        <f t="shared" si="136"/>
        <v>0</v>
      </c>
      <c r="AI84" s="6">
        <f>SUM(AI85:AI86)</f>
        <v>0</v>
      </c>
      <c r="AJ84" s="6">
        <f t="shared" si="136"/>
        <v>0</v>
      </c>
      <c r="AK84" s="6">
        <f t="shared" si="136"/>
        <v>0</v>
      </c>
      <c r="AL84" s="6">
        <f t="shared" si="136"/>
        <v>0</v>
      </c>
      <c r="AM84" s="6">
        <f>SUM(AM85:AM86)</f>
        <v>0</v>
      </c>
      <c r="AN84" s="6">
        <f>SUM(AN85:AN86)</f>
        <v>0</v>
      </c>
      <c r="AO84" s="6">
        <f>SUM(AO85:AO86)</f>
        <v>0</v>
      </c>
      <c r="AP84" s="6">
        <f t="shared" si="136"/>
        <v>0</v>
      </c>
      <c r="AQ84" s="6">
        <f t="shared" ref="AQ84" si="137">SUM(AQ85:AQ86)</f>
        <v>0</v>
      </c>
      <c r="AR84" s="6">
        <f t="shared" ref="AR84:AU84" si="138">SUM(AR85:AR86)</f>
        <v>0</v>
      </c>
      <c r="AS84" s="6">
        <f t="shared" ref="AS84" si="139">SUM(AS85:AS86)</f>
        <v>0</v>
      </c>
      <c r="AT84" s="6">
        <f t="shared" si="138"/>
        <v>0</v>
      </c>
      <c r="AU84" s="6">
        <f t="shared" si="138"/>
        <v>0</v>
      </c>
      <c r="AV84" s="6">
        <f t="shared" si="136"/>
        <v>2700</v>
      </c>
      <c r="AW84" s="6">
        <f t="shared" ref="AW84:AX84" si="140">SUM(AW85:AW86)</f>
        <v>2700</v>
      </c>
      <c r="AX84" s="6">
        <f t="shared" si="140"/>
        <v>2700</v>
      </c>
      <c r="AY84" s="6">
        <f t="shared" si="136"/>
        <v>2700</v>
      </c>
      <c r="AZ84" s="6">
        <f t="shared" si="136"/>
        <v>2700</v>
      </c>
      <c r="BA84" s="486">
        <f t="shared" ref="BA84:BA94" si="141">C84+H84+M84+R84+W84+AB84+AG84+AL84+AQ84+AV84</f>
        <v>3800</v>
      </c>
      <c r="BB84" s="486">
        <f t="shared" ref="BB84:BE101" si="142">D84+I84+N84+S84+X84+AC84+AH84+AM84+AR84+AW84</f>
        <v>4800</v>
      </c>
      <c r="BC84" s="486">
        <f t="shared" si="142"/>
        <v>4800</v>
      </c>
      <c r="BD84" s="486">
        <f t="shared" si="142"/>
        <v>3800</v>
      </c>
      <c r="BE84" s="486">
        <f t="shared" si="142"/>
        <v>3800</v>
      </c>
      <c r="BF84" s="301">
        <f>SUM(BA85:BA86)</f>
        <v>3800</v>
      </c>
      <c r="BG84" s="486">
        <v>4410</v>
      </c>
    </row>
    <row r="85" spans="1:66" s="9" customFormat="1" x14ac:dyDescent="0.2">
      <c r="A85" s="58" t="s">
        <v>573</v>
      </c>
      <c r="B85" s="8" t="s">
        <v>270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>
        <v>100</v>
      </c>
      <c r="X85" s="11">
        <v>100</v>
      </c>
      <c r="Y85" s="11">
        <v>100</v>
      </c>
      <c r="Z85" s="400">
        <v>100</v>
      </c>
      <c r="AA85" s="400">
        <v>100</v>
      </c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279">
        <f t="shared" si="141"/>
        <v>100</v>
      </c>
      <c r="BB85" s="279">
        <f t="shared" si="142"/>
        <v>100</v>
      </c>
      <c r="BC85" s="279">
        <f t="shared" si="142"/>
        <v>100</v>
      </c>
      <c r="BD85" s="279">
        <f t="shared" si="142"/>
        <v>100</v>
      </c>
      <c r="BE85" s="279">
        <f t="shared" si="142"/>
        <v>100</v>
      </c>
      <c r="BF85" s="301"/>
      <c r="BG85" s="279">
        <v>100</v>
      </c>
    </row>
    <row r="86" spans="1:66" s="9" customFormat="1" x14ac:dyDescent="0.2">
      <c r="A86" s="58" t="s">
        <v>761</v>
      </c>
      <c r="B86" s="8" t="s">
        <v>282</v>
      </c>
      <c r="C86" s="11"/>
      <c r="D86" s="11"/>
      <c r="E86" s="11"/>
      <c r="F86" s="11"/>
      <c r="G86" s="11"/>
      <c r="H86" s="191"/>
      <c r="I86" s="191"/>
      <c r="J86" s="191"/>
      <c r="K86" s="191"/>
      <c r="L86" s="19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>
        <v>1000</v>
      </c>
      <c r="X86" s="11">
        <f>1000+1000</f>
        <v>2000</v>
      </c>
      <c r="Y86" s="11">
        <f>1000+1000</f>
        <v>2000</v>
      </c>
      <c r="Z86" s="400">
        <v>1000</v>
      </c>
      <c r="AA86" s="400">
        <v>1000</v>
      </c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>
        <v>2700</v>
      </c>
      <c r="AW86" s="11">
        <v>2700</v>
      </c>
      <c r="AX86" s="11">
        <v>2700</v>
      </c>
      <c r="AY86" s="400">
        <v>2700</v>
      </c>
      <c r="AZ86" s="400">
        <v>2700</v>
      </c>
      <c r="BA86" s="279">
        <f t="shared" si="141"/>
        <v>3700</v>
      </c>
      <c r="BB86" s="279">
        <f t="shared" si="142"/>
        <v>4700</v>
      </c>
      <c r="BC86" s="279">
        <f t="shared" si="142"/>
        <v>4700</v>
      </c>
      <c r="BD86" s="279">
        <f t="shared" si="142"/>
        <v>3700</v>
      </c>
      <c r="BE86" s="279">
        <f t="shared" si="142"/>
        <v>3700</v>
      </c>
      <c r="BF86" s="301"/>
      <c r="BG86" s="279">
        <v>4310</v>
      </c>
    </row>
    <row r="87" spans="1:66" x14ac:dyDescent="0.2">
      <c r="A87" s="270" t="s">
        <v>841</v>
      </c>
      <c r="B87" s="14" t="s">
        <v>248</v>
      </c>
      <c r="C87" s="6">
        <f t="shared" ref="C87:AH87" si="143">SUM(C88:C95)</f>
        <v>86762</v>
      </c>
      <c r="D87" s="6">
        <f t="shared" ref="D87:E87" si="144">SUM(D88:D95)</f>
        <v>85800</v>
      </c>
      <c r="E87" s="6">
        <f t="shared" si="144"/>
        <v>60220</v>
      </c>
      <c r="F87" s="6">
        <f t="shared" ref="F87:G87" si="145">SUM(F88:F95)</f>
        <v>82760</v>
      </c>
      <c r="G87" s="6">
        <f t="shared" si="145"/>
        <v>82760</v>
      </c>
      <c r="H87" s="6">
        <f t="shared" si="143"/>
        <v>0</v>
      </c>
      <c r="I87" s="6">
        <f t="shared" ref="I87:L87" si="146">SUM(I88:I95)</f>
        <v>0</v>
      </c>
      <c r="J87" s="6">
        <f t="shared" si="146"/>
        <v>0</v>
      </c>
      <c r="K87" s="6">
        <f t="shared" si="146"/>
        <v>0</v>
      </c>
      <c r="L87" s="6">
        <f t="shared" si="146"/>
        <v>0</v>
      </c>
      <c r="M87" s="6">
        <f t="shared" si="143"/>
        <v>14705</v>
      </c>
      <c r="N87" s="6">
        <f t="shared" ref="N87:O87" si="147">SUM(N88:N95)</f>
        <v>14705</v>
      </c>
      <c r="O87" s="6">
        <f t="shared" si="147"/>
        <v>14705</v>
      </c>
      <c r="P87" s="6">
        <f t="shared" si="143"/>
        <v>14705</v>
      </c>
      <c r="Q87" s="6">
        <f t="shared" si="143"/>
        <v>14705</v>
      </c>
      <c r="R87" s="6">
        <f t="shared" ref="R87:V87" si="148">SUM(R88:R95)</f>
        <v>2030</v>
      </c>
      <c r="S87" s="6">
        <f t="shared" ref="S87:T87" si="149">SUM(S88:S95)</f>
        <v>2030</v>
      </c>
      <c r="T87" s="6">
        <f t="shared" si="149"/>
        <v>2030</v>
      </c>
      <c r="U87" s="6">
        <f t="shared" si="148"/>
        <v>2030</v>
      </c>
      <c r="V87" s="6">
        <f t="shared" si="148"/>
        <v>2030</v>
      </c>
      <c r="W87" s="6">
        <f t="shared" si="143"/>
        <v>131892</v>
      </c>
      <c r="X87" s="6">
        <f t="shared" ref="X87:Y87" si="150">SUM(X88:X95)</f>
        <v>138673</v>
      </c>
      <c r="Y87" s="6">
        <f t="shared" si="150"/>
        <v>141960</v>
      </c>
      <c r="Z87" s="6">
        <f t="shared" si="143"/>
        <v>130227</v>
      </c>
      <c r="AA87" s="6">
        <f t="shared" si="143"/>
        <v>130227</v>
      </c>
      <c r="AB87" s="6">
        <f t="shared" si="143"/>
        <v>6600</v>
      </c>
      <c r="AC87" s="6">
        <f t="shared" si="143"/>
        <v>6564</v>
      </c>
      <c r="AD87" s="6">
        <f t="shared" ref="AD87" si="151">SUM(AD88:AD95)</f>
        <v>7434</v>
      </c>
      <c r="AE87" s="6">
        <f t="shared" si="143"/>
        <v>6585</v>
      </c>
      <c r="AF87" s="6">
        <f t="shared" si="143"/>
        <v>6585</v>
      </c>
      <c r="AG87" s="6">
        <f t="shared" si="143"/>
        <v>0</v>
      </c>
      <c r="AH87" s="6">
        <f t="shared" si="143"/>
        <v>0</v>
      </c>
      <c r="AI87" s="6">
        <f t="shared" ref="AI87:AZ87" si="152">SUM(AI88:AI95)</f>
        <v>0</v>
      </c>
      <c r="AJ87" s="6">
        <f t="shared" si="152"/>
        <v>0</v>
      </c>
      <c r="AK87" s="6">
        <f t="shared" si="152"/>
        <v>0</v>
      </c>
      <c r="AL87" s="6">
        <f t="shared" si="152"/>
        <v>0</v>
      </c>
      <c r="AM87" s="6">
        <f t="shared" si="152"/>
        <v>0</v>
      </c>
      <c r="AN87" s="6">
        <f t="shared" si="152"/>
        <v>0</v>
      </c>
      <c r="AO87" s="6">
        <f t="shared" si="152"/>
        <v>0</v>
      </c>
      <c r="AP87" s="6">
        <f t="shared" si="152"/>
        <v>0</v>
      </c>
      <c r="AQ87" s="6">
        <f t="shared" si="152"/>
        <v>3490</v>
      </c>
      <c r="AR87" s="6">
        <f t="shared" si="152"/>
        <v>3490</v>
      </c>
      <c r="AS87" s="6">
        <f t="shared" ref="AS87" si="153">SUM(AS88:AS95)</f>
        <v>3490</v>
      </c>
      <c r="AT87" s="6">
        <f t="shared" si="152"/>
        <v>3490</v>
      </c>
      <c r="AU87" s="6">
        <f t="shared" si="152"/>
        <v>3490</v>
      </c>
      <c r="AV87" s="6">
        <f t="shared" si="152"/>
        <v>2305</v>
      </c>
      <c r="AW87" s="6">
        <f t="shared" ref="AW87:AX87" si="154">SUM(AW88:AW95)</f>
        <v>2517</v>
      </c>
      <c r="AX87" s="6">
        <f t="shared" si="154"/>
        <v>3417</v>
      </c>
      <c r="AY87" s="6">
        <f t="shared" si="152"/>
        <v>2303</v>
      </c>
      <c r="AZ87" s="6">
        <f t="shared" si="152"/>
        <v>2303</v>
      </c>
      <c r="BA87" s="486">
        <f t="shared" si="141"/>
        <v>247784</v>
      </c>
      <c r="BB87" s="486">
        <f t="shared" si="142"/>
        <v>253779</v>
      </c>
      <c r="BC87" s="486">
        <f t="shared" si="142"/>
        <v>233256</v>
      </c>
      <c r="BD87" s="486">
        <f t="shared" si="142"/>
        <v>242100</v>
      </c>
      <c r="BE87" s="486">
        <f t="shared" si="142"/>
        <v>242100</v>
      </c>
      <c r="BF87" s="301">
        <f>SUM(BA88:BA95)</f>
        <v>247784</v>
      </c>
      <c r="BG87" s="486">
        <v>211122</v>
      </c>
      <c r="BN87" s="9"/>
    </row>
    <row r="88" spans="1:66" ht="15" x14ac:dyDescent="0.25">
      <c r="A88" s="58" t="s">
        <v>498</v>
      </c>
      <c r="B88" s="8" t="s">
        <v>260</v>
      </c>
      <c r="C88" s="11">
        <v>7062</v>
      </c>
      <c r="D88" s="11">
        <f>7062+788</f>
        <v>7850</v>
      </c>
      <c r="E88" s="11">
        <f>7062+788</f>
        <v>7850</v>
      </c>
      <c r="F88" s="400">
        <v>3110</v>
      </c>
      <c r="G88" s="400">
        <v>3110</v>
      </c>
      <c r="H88" s="11"/>
      <c r="I88" s="11"/>
      <c r="J88" s="11"/>
      <c r="K88" s="11"/>
      <c r="L88" s="11"/>
      <c r="M88" s="11">
        <v>14705</v>
      </c>
      <c r="N88" s="11">
        <v>14705</v>
      </c>
      <c r="O88" s="11">
        <v>14705</v>
      </c>
      <c r="P88" s="400">
        <v>14705</v>
      </c>
      <c r="Q88" s="400">
        <v>14705</v>
      </c>
      <c r="R88" s="11">
        <v>1830</v>
      </c>
      <c r="S88" s="11">
        <v>1830</v>
      </c>
      <c r="T88" s="11">
        <v>1830</v>
      </c>
      <c r="U88" s="400">
        <v>1830</v>
      </c>
      <c r="V88" s="400">
        <v>1830</v>
      </c>
      <c r="W88" s="11">
        <f>50000-35</f>
        <v>49965</v>
      </c>
      <c r="X88" s="11">
        <f>50000-35+805+1440+238+383+270</f>
        <v>53101</v>
      </c>
      <c r="Y88" s="11">
        <f>(50000-35+805+1440+238+383+270)-189+1078+1347+2918+1889+1080+2809-1040-831-7585-189</f>
        <v>54388</v>
      </c>
      <c r="Z88" s="600">
        <v>49000</v>
      </c>
      <c r="AA88" s="600">
        <v>49000</v>
      </c>
      <c r="AB88" s="11">
        <v>6600</v>
      </c>
      <c r="AC88" s="11">
        <f>6600-36</f>
        <v>6564</v>
      </c>
      <c r="AD88" s="11">
        <f>6600-36+681+189</f>
        <v>7434</v>
      </c>
      <c r="AE88" s="11">
        <v>6585</v>
      </c>
      <c r="AF88" s="11">
        <v>6585</v>
      </c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>
        <v>3490</v>
      </c>
      <c r="AR88" s="11">
        <v>3490</v>
      </c>
      <c r="AS88" s="11">
        <v>3490</v>
      </c>
      <c r="AT88" s="11">
        <v>3490</v>
      </c>
      <c r="AU88" s="11">
        <v>3490</v>
      </c>
      <c r="AV88" s="11">
        <v>2005</v>
      </c>
      <c r="AW88" s="11">
        <f>2005+212</f>
        <v>2217</v>
      </c>
      <c r="AX88" s="11">
        <f>2005+212</f>
        <v>2217</v>
      </c>
      <c r="AY88" s="400">
        <v>2003</v>
      </c>
      <c r="AZ88" s="400">
        <v>2003</v>
      </c>
      <c r="BA88" s="279">
        <f t="shared" si="141"/>
        <v>85657</v>
      </c>
      <c r="BB88" s="279">
        <f t="shared" si="142"/>
        <v>89757</v>
      </c>
      <c r="BC88" s="279">
        <f t="shared" si="142"/>
        <v>91914</v>
      </c>
      <c r="BD88" s="279">
        <f t="shared" si="142"/>
        <v>80723</v>
      </c>
      <c r="BE88" s="279">
        <f t="shared" si="142"/>
        <v>80723</v>
      </c>
      <c r="BF88" s="519">
        <f t="shared" ref="BF88" si="155">BC88-BB88</f>
        <v>2157</v>
      </c>
      <c r="BN88" s="9"/>
    </row>
    <row r="89" spans="1:66" ht="15" x14ac:dyDescent="0.25">
      <c r="A89" s="58" t="s">
        <v>513</v>
      </c>
      <c r="B89" s="14" t="s">
        <v>539</v>
      </c>
      <c r="C89" s="11"/>
      <c r="D89" s="11"/>
      <c r="E89" s="11"/>
      <c r="F89" s="11"/>
      <c r="G89" s="11"/>
      <c r="H89" s="191"/>
      <c r="I89" s="191"/>
      <c r="J89" s="191"/>
      <c r="K89" s="191"/>
      <c r="L89" s="19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>
        <v>80027</v>
      </c>
      <c r="X89" s="11">
        <v>80027</v>
      </c>
      <c r="Y89" s="11">
        <f>AQ118</f>
        <v>80027</v>
      </c>
      <c r="Z89" s="400">
        <f>AQ118</f>
        <v>80027</v>
      </c>
      <c r="AA89" s="400">
        <f>AQ118</f>
        <v>80027</v>
      </c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279">
        <f t="shared" si="141"/>
        <v>80027</v>
      </c>
      <c r="BB89" s="279">
        <f t="shared" si="142"/>
        <v>80027</v>
      </c>
      <c r="BC89" s="279">
        <f t="shared" si="142"/>
        <v>80027</v>
      </c>
      <c r="BD89" s="279">
        <f t="shared" si="142"/>
        <v>80027</v>
      </c>
      <c r="BE89" s="279">
        <f t="shared" si="142"/>
        <v>80027</v>
      </c>
      <c r="BF89" s="519">
        <f>BF88+BF79+BF71+BF66+BF42</f>
        <v>-11850</v>
      </c>
      <c r="BN89" s="9"/>
    </row>
    <row r="90" spans="1:66" x14ac:dyDescent="0.2">
      <c r="A90" s="58" t="s">
        <v>771</v>
      </c>
      <c r="B90" s="8" t="s">
        <v>537</v>
      </c>
      <c r="C90" s="11">
        <f>500+75000</f>
        <v>75500</v>
      </c>
      <c r="D90" s="11">
        <f>75000+(500+250)</f>
        <v>75750</v>
      </c>
      <c r="E90" s="11">
        <f>75000+(500+250)-700-1500-12000-1200-5080-2200-2000-900</f>
        <v>50170</v>
      </c>
      <c r="F90" s="400">
        <f t="shared" ref="F90:G90" si="156">100+75000+350</f>
        <v>75450</v>
      </c>
      <c r="G90" s="400">
        <f t="shared" si="156"/>
        <v>75450</v>
      </c>
      <c r="H90" s="191"/>
      <c r="I90" s="191"/>
      <c r="J90" s="191"/>
      <c r="K90" s="191"/>
      <c r="L90" s="19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279">
        <f t="shared" si="141"/>
        <v>75500</v>
      </c>
      <c r="BB90" s="279">
        <f t="shared" si="142"/>
        <v>75750</v>
      </c>
      <c r="BC90" s="279">
        <f t="shared" si="142"/>
        <v>50170</v>
      </c>
      <c r="BD90" s="279">
        <f t="shared" si="142"/>
        <v>75450</v>
      </c>
      <c r="BE90" s="279">
        <f t="shared" si="142"/>
        <v>75450</v>
      </c>
      <c r="BF90" s="301"/>
      <c r="BN90" s="9"/>
    </row>
    <row r="91" spans="1:66" x14ac:dyDescent="0.2">
      <c r="A91" s="58" t="s">
        <v>499</v>
      </c>
      <c r="B91" s="8" t="s">
        <v>55</v>
      </c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279">
        <f t="shared" si="141"/>
        <v>0</v>
      </c>
      <c r="BB91" s="279">
        <f t="shared" si="142"/>
        <v>0</v>
      </c>
      <c r="BC91" s="279">
        <f t="shared" si="142"/>
        <v>0</v>
      </c>
      <c r="BD91" s="279">
        <f t="shared" si="142"/>
        <v>0</v>
      </c>
      <c r="BE91" s="279">
        <f t="shared" si="142"/>
        <v>0</v>
      </c>
      <c r="BF91" s="301"/>
      <c r="BG91" s="279">
        <v>67828</v>
      </c>
      <c r="BN91" s="9"/>
    </row>
    <row r="92" spans="1:66" ht="12.75" hidden="1" customHeight="1" x14ac:dyDescent="0.2">
      <c r="A92" s="58"/>
      <c r="B92" s="8"/>
      <c r="C92" s="11"/>
      <c r="D92" s="11"/>
      <c r="E92" s="11"/>
      <c r="F92" s="11"/>
      <c r="G92" s="11"/>
      <c r="H92" s="191"/>
      <c r="I92" s="191"/>
      <c r="J92" s="191"/>
      <c r="K92" s="191"/>
      <c r="L92" s="19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279"/>
      <c r="BB92" s="279"/>
      <c r="BC92" s="279"/>
      <c r="BD92" s="279"/>
      <c r="BE92" s="279"/>
      <c r="BF92" s="301"/>
      <c r="BG92" s="279">
        <v>95490</v>
      </c>
      <c r="BN92" s="9"/>
    </row>
    <row r="93" spans="1:66" ht="12.75" hidden="1" customHeight="1" x14ac:dyDescent="0.2">
      <c r="A93" s="58"/>
      <c r="B93" s="8"/>
      <c r="C93" s="11"/>
      <c r="D93" s="11"/>
      <c r="E93" s="11"/>
      <c r="F93" s="11"/>
      <c r="G93" s="11"/>
      <c r="H93" s="191"/>
      <c r="I93" s="191"/>
      <c r="J93" s="191"/>
      <c r="K93" s="191"/>
      <c r="L93" s="19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279">
        <f t="shared" si="141"/>
        <v>0</v>
      </c>
      <c r="BB93" s="279">
        <f t="shared" si="142"/>
        <v>0</v>
      </c>
      <c r="BC93" s="279">
        <f t="shared" si="142"/>
        <v>0</v>
      </c>
      <c r="BD93" s="279">
        <f t="shared" si="142"/>
        <v>0</v>
      </c>
      <c r="BE93" s="279">
        <f t="shared" si="142"/>
        <v>0</v>
      </c>
      <c r="BF93" s="301"/>
      <c r="BG93" s="279">
        <v>41604</v>
      </c>
      <c r="BN93" s="9"/>
    </row>
    <row r="94" spans="1:66" x14ac:dyDescent="0.2">
      <c r="A94" s="58"/>
      <c r="B94" s="8" t="s">
        <v>540</v>
      </c>
      <c r="C94" s="11">
        <f>2200+2000</f>
        <v>4200</v>
      </c>
      <c r="D94" s="11">
        <f>2200+2000-2000</f>
        <v>2200</v>
      </c>
      <c r="E94" s="11">
        <f>2200+2000-2000</f>
        <v>2200</v>
      </c>
      <c r="F94" s="400">
        <f t="shared" ref="F94:G94" si="157">2200+2000</f>
        <v>4200</v>
      </c>
      <c r="G94" s="400">
        <f t="shared" si="157"/>
        <v>4200</v>
      </c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>
        <v>200</v>
      </c>
      <c r="S94" s="11">
        <v>200</v>
      </c>
      <c r="T94" s="11">
        <v>200</v>
      </c>
      <c r="U94" s="400">
        <v>200</v>
      </c>
      <c r="V94" s="400">
        <v>200</v>
      </c>
      <c r="W94" s="11">
        <f>1200+700</f>
        <v>1900</v>
      </c>
      <c r="X94" s="11">
        <f>1200+700+3645</f>
        <v>5545</v>
      </c>
      <c r="Y94" s="11">
        <f>1200+700+3645+2000</f>
        <v>7545</v>
      </c>
      <c r="Z94" s="400">
        <f>1200</f>
        <v>1200</v>
      </c>
      <c r="AA94" s="400">
        <f>1200</f>
        <v>1200</v>
      </c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>
        <v>300</v>
      </c>
      <c r="AW94" s="11">
        <v>300</v>
      </c>
      <c r="AX94" s="11">
        <f>300+900</f>
        <v>1200</v>
      </c>
      <c r="AY94" s="400">
        <v>300</v>
      </c>
      <c r="AZ94" s="400">
        <v>300</v>
      </c>
      <c r="BA94" s="279">
        <f t="shared" si="141"/>
        <v>6600</v>
      </c>
      <c r="BB94" s="279">
        <f t="shared" si="142"/>
        <v>8245</v>
      </c>
      <c r="BC94" s="279">
        <f t="shared" si="142"/>
        <v>11145</v>
      </c>
      <c r="BD94" s="279">
        <f t="shared" si="142"/>
        <v>5900</v>
      </c>
      <c r="BE94" s="279">
        <f t="shared" si="142"/>
        <v>5900</v>
      </c>
      <c r="BF94" s="301"/>
      <c r="BG94" s="279">
        <v>0</v>
      </c>
      <c r="BN94" s="9"/>
    </row>
    <row r="95" spans="1:66" ht="12.75" hidden="1" customHeight="1" x14ac:dyDescent="0.2">
      <c r="A95" s="58"/>
      <c r="B95" s="8" t="s">
        <v>408</v>
      </c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279">
        <f t="shared" ref="BA95:BA103" si="158">C95+H95+M95+R95+W95+AB95+AG95+AL95+AQ95+AV95</f>
        <v>0</v>
      </c>
      <c r="BB95" s="279">
        <f t="shared" si="142"/>
        <v>0</v>
      </c>
      <c r="BC95" s="279">
        <f t="shared" si="142"/>
        <v>0</v>
      </c>
      <c r="BD95" s="279">
        <f t="shared" si="142"/>
        <v>0</v>
      </c>
      <c r="BE95" s="279">
        <f t="shared" si="142"/>
        <v>0</v>
      </c>
      <c r="BF95" s="301"/>
      <c r="BG95" s="279"/>
      <c r="BN95" s="9"/>
    </row>
    <row r="96" spans="1:66" x14ac:dyDescent="0.2">
      <c r="A96" s="270" t="s">
        <v>265</v>
      </c>
      <c r="B96" s="111" t="s">
        <v>28</v>
      </c>
      <c r="C96" s="145">
        <f t="shared" ref="C96:AH96" si="159">SUM(C34+C43+C46+C84+C87)</f>
        <v>122072</v>
      </c>
      <c r="D96" s="145">
        <f t="shared" ref="D96:E96" si="160">SUM(D34+D43+D46+D84+D87)</f>
        <v>124030</v>
      </c>
      <c r="E96" s="145">
        <f t="shared" si="160"/>
        <v>99700</v>
      </c>
      <c r="F96" s="145">
        <f t="shared" si="159"/>
        <v>115470</v>
      </c>
      <c r="G96" s="145">
        <f t="shared" si="159"/>
        <v>115470</v>
      </c>
      <c r="H96" s="145">
        <f t="shared" si="159"/>
        <v>0</v>
      </c>
      <c r="I96" s="145">
        <f t="shared" si="159"/>
        <v>0</v>
      </c>
      <c r="J96" s="145">
        <f t="shared" si="159"/>
        <v>0</v>
      </c>
      <c r="K96" s="145">
        <f t="shared" si="159"/>
        <v>0</v>
      </c>
      <c r="L96" s="145">
        <f t="shared" si="159"/>
        <v>0</v>
      </c>
      <c r="M96" s="145">
        <f t="shared" si="159"/>
        <v>69155</v>
      </c>
      <c r="N96" s="145">
        <f t="shared" si="159"/>
        <v>69155</v>
      </c>
      <c r="O96" s="145">
        <f t="shared" ref="O96" si="161">SUM(O34+O43+O46+O84+O87)</f>
        <v>86155</v>
      </c>
      <c r="P96" s="145">
        <f t="shared" si="159"/>
        <v>69155</v>
      </c>
      <c r="Q96" s="145">
        <f t="shared" si="159"/>
        <v>69155</v>
      </c>
      <c r="R96" s="145">
        <f t="shared" si="159"/>
        <v>10980</v>
      </c>
      <c r="S96" s="145">
        <f t="shared" si="159"/>
        <v>11480</v>
      </c>
      <c r="T96" s="145">
        <f t="shared" ref="T96" si="162">SUM(T34+T43+T46+T84+T87)</f>
        <v>11495</v>
      </c>
      <c r="U96" s="145">
        <f t="shared" si="159"/>
        <v>10980</v>
      </c>
      <c r="V96" s="145">
        <f t="shared" si="159"/>
        <v>10980</v>
      </c>
      <c r="W96" s="145">
        <f t="shared" si="159"/>
        <v>322638</v>
      </c>
      <c r="X96" s="145">
        <f t="shared" si="159"/>
        <v>360682</v>
      </c>
      <c r="Y96" s="145">
        <f t="shared" ref="Y96" si="163">SUM(Y34+Y43+Y46+Y84+Y87)</f>
        <v>355818</v>
      </c>
      <c r="Z96" s="145">
        <f t="shared" si="159"/>
        <v>282044</v>
      </c>
      <c r="AA96" s="145">
        <f t="shared" si="159"/>
        <v>282044</v>
      </c>
      <c r="AB96" s="145">
        <f t="shared" si="159"/>
        <v>31058</v>
      </c>
      <c r="AC96" s="145">
        <f t="shared" si="159"/>
        <v>30888</v>
      </c>
      <c r="AD96" s="145">
        <f t="shared" ref="AD96" si="164">SUM(AD34+AD43+AD46+AD84+AD87)</f>
        <v>34981</v>
      </c>
      <c r="AE96" s="145">
        <f t="shared" si="159"/>
        <v>31043</v>
      </c>
      <c r="AF96" s="145">
        <f t="shared" si="159"/>
        <v>31043</v>
      </c>
      <c r="AG96" s="145">
        <f t="shared" si="159"/>
        <v>0</v>
      </c>
      <c r="AH96" s="145">
        <f t="shared" si="159"/>
        <v>0</v>
      </c>
      <c r="AI96" s="145">
        <f t="shared" ref="AI96:AR96" si="165">SUM(AI34+AI43+AI46+AI84+AI87)</f>
        <v>0</v>
      </c>
      <c r="AJ96" s="145">
        <f t="shared" si="165"/>
        <v>0</v>
      </c>
      <c r="AK96" s="145">
        <f t="shared" si="165"/>
        <v>0</v>
      </c>
      <c r="AL96" s="145">
        <f t="shared" si="165"/>
        <v>0</v>
      </c>
      <c r="AM96" s="145">
        <f t="shared" si="165"/>
        <v>0</v>
      </c>
      <c r="AN96" s="145">
        <f t="shared" si="165"/>
        <v>0</v>
      </c>
      <c r="AO96" s="145">
        <f t="shared" si="165"/>
        <v>0</v>
      </c>
      <c r="AP96" s="145">
        <f t="shared" si="165"/>
        <v>0</v>
      </c>
      <c r="AQ96" s="145">
        <f t="shared" si="165"/>
        <v>33995</v>
      </c>
      <c r="AR96" s="145">
        <f t="shared" si="165"/>
        <v>33995</v>
      </c>
      <c r="AS96" s="145">
        <f t="shared" ref="AS96" si="166">SUM(AS34+AS43+AS46+AS84+AS87)</f>
        <v>30995</v>
      </c>
      <c r="AT96" s="145">
        <f>SUM(AT34+AT43+AT46+AT84+AT87)</f>
        <v>33995</v>
      </c>
      <c r="AU96" s="145">
        <f>SUM(AU34+AU43+AU46+AU84+AU87)</f>
        <v>33995</v>
      </c>
      <c r="AV96" s="145">
        <f>SUM(AV34+AV43+AV46+AV84+AV87)</f>
        <v>15795</v>
      </c>
      <c r="AW96" s="145">
        <f>SUM(AW34+AW43+AW46+AW84+AW87)</f>
        <v>16538</v>
      </c>
      <c r="AX96" s="145">
        <f t="shared" ref="AX96" si="167">SUM(AX34+AX43+AX46+AX84+AX87)</f>
        <v>19638</v>
      </c>
      <c r="AY96" s="145">
        <f>SUM(AY34+AY43+AY46+AY84+AY87)</f>
        <v>15793</v>
      </c>
      <c r="AZ96" s="145">
        <f>SUM(AZ34+AZ43+AZ46+AZ84+AZ87)</f>
        <v>15793</v>
      </c>
      <c r="BA96" s="145">
        <f>C96+H96+M96+R96+W96+AB96+AG96+AL96+AQ96+AV96+25803*2</f>
        <v>657299</v>
      </c>
      <c r="BB96" s="145">
        <f t="shared" si="142"/>
        <v>646768</v>
      </c>
      <c r="BC96" s="145">
        <f t="shared" si="142"/>
        <v>638782</v>
      </c>
      <c r="BD96" s="145">
        <f t="shared" si="142"/>
        <v>558480</v>
      </c>
      <c r="BE96" s="145">
        <f t="shared" si="142"/>
        <v>558480</v>
      </c>
      <c r="BF96" s="301">
        <f>SUM(BA34+BA43+BA46+BA84+BA87)</f>
        <v>605693</v>
      </c>
      <c r="BG96" s="279">
        <v>0</v>
      </c>
      <c r="BH96" s="74">
        <f>BC96-260957-20104</f>
        <v>357721</v>
      </c>
      <c r="BN96" s="9"/>
    </row>
    <row r="97" spans="1:66" x14ac:dyDescent="0.2">
      <c r="A97" s="272" t="s">
        <v>264</v>
      </c>
      <c r="B97" s="111" t="s">
        <v>438</v>
      </c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5"/>
      <c r="Q97" s="145"/>
      <c r="R97" s="145"/>
      <c r="S97" s="145"/>
      <c r="T97" s="145"/>
      <c r="U97" s="145"/>
      <c r="V97" s="145"/>
      <c r="W97" s="145"/>
      <c r="X97" s="145"/>
      <c r="Y97" s="145"/>
      <c r="Z97" s="145"/>
      <c r="AA97" s="145"/>
      <c r="AB97" s="145">
        <f>11500</f>
        <v>11500</v>
      </c>
      <c r="AC97" s="145">
        <v>11500</v>
      </c>
      <c r="AD97" s="145">
        <v>11500</v>
      </c>
      <c r="AE97" s="145">
        <f>11500</f>
        <v>11500</v>
      </c>
      <c r="AF97" s="145">
        <v>11500</v>
      </c>
      <c r="AG97" s="145"/>
      <c r="AH97" s="145"/>
      <c r="AI97" s="145"/>
      <c r="AJ97" s="145"/>
      <c r="AK97" s="145"/>
      <c r="AL97" s="145"/>
      <c r="AM97" s="145"/>
      <c r="AN97" s="145"/>
      <c r="AO97" s="145"/>
      <c r="AP97" s="145"/>
      <c r="AQ97" s="145"/>
      <c r="AR97" s="145"/>
      <c r="AS97" s="145"/>
      <c r="AT97" s="145"/>
      <c r="AU97" s="145"/>
      <c r="AV97" s="145"/>
      <c r="AW97" s="145"/>
      <c r="AX97" s="145"/>
      <c r="AY97" s="145"/>
      <c r="AZ97" s="145"/>
      <c r="BA97" s="145">
        <f t="shared" si="158"/>
        <v>11500</v>
      </c>
      <c r="BB97" s="145">
        <f t="shared" si="142"/>
        <v>11500</v>
      </c>
      <c r="BC97" s="145">
        <f t="shared" si="142"/>
        <v>11500</v>
      </c>
      <c r="BD97" s="145">
        <f t="shared" si="142"/>
        <v>11500</v>
      </c>
      <c r="BE97" s="145">
        <f t="shared" si="142"/>
        <v>11500</v>
      </c>
      <c r="BF97" s="301"/>
      <c r="BG97" s="279">
        <v>6200</v>
      </c>
      <c r="BN97" s="9"/>
    </row>
    <row r="98" spans="1:66" s="385" customFormat="1" ht="13.5" x14ac:dyDescent="0.25">
      <c r="A98" s="531"/>
      <c r="B98" s="532" t="s">
        <v>1020</v>
      </c>
      <c r="C98" s="533"/>
      <c r="D98" s="533"/>
      <c r="E98" s="533"/>
      <c r="F98" s="533"/>
      <c r="G98" s="533"/>
      <c r="H98" s="534"/>
      <c r="I98" s="534"/>
      <c r="J98" s="534"/>
      <c r="K98" s="534"/>
      <c r="L98" s="534"/>
      <c r="M98" s="534"/>
      <c r="N98" s="534"/>
      <c r="O98" s="534"/>
      <c r="P98" s="534"/>
      <c r="Q98" s="534"/>
      <c r="R98" s="534"/>
      <c r="S98" s="534"/>
      <c r="T98" s="534"/>
      <c r="U98" s="534"/>
      <c r="V98" s="534"/>
      <c r="W98" s="534"/>
      <c r="X98" s="534"/>
      <c r="Y98" s="534"/>
      <c r="Z98" s="534"/>
      <c r="AA98" s="534"/>
      <c r="AB98" s="534">
        <v>339</v>
      </c>
      <c r="AC98" s="534">
        <v>339</v>
      </c>
      <c r="AD98" s="534">
        <v>339</v>
      </c>
      <c r="AE98" s="534">
        <v>3640</v>
      </c>
      <c r="AF98" s="534">
        <v>3640</v>
      </c>
      <c r="AG98" s="534"/>
      <c r="AH98" s="534"/>
      <c r="AI98" s="534"/>
      <c r="AJ98" s="534"/>
      <c r="AK98" s="534"/>
      <c r="AL98" s="534"/>
      <c r="AM98" s="534"/>
      <c r="AN98" s="534"/>
      <c r="AO98" s="534"/>
      <c r="AP98" s="534"/>
      <c r="AQ98" s="534"/>
      <c r="AR98" s="534"/>
      <c r="AS98" s="534"/>
      <c r="AT98" s="534"/>
      <c r="AU98" s="534"/>
      <c r="AV98" s="534"/>
      <c r="AW98" s="534"/>
      <c r="AX98" s="534"/>
      <c r="AY98" s="534"/>
      <c r="AZ98" s="534"/>
      <c r="BA98" s="533">
        <f t="shared" si="158"/>
        <v>339</v>
      </c>
      <c r="BB98" s="533"/>
      <c r="BC98" s="533"/>
      <c r="BD98" s="533"/>
      <c r="BE98" s="533"/>
      <c r="BF98" s="535"/>
      <c r="BG98" s="279">
        <v>0</v>
      </c>
      <c r="BN98" s="9"/>
    </row>
    <row r="99" spans="1:66" ht="13.5" thickBot="1" x14ac:dyDescent="0.25">
      <c r="A99" s="272" t="s">
        <v>289</v>
      </c>
      <c r="B99" s="148" t="s">
        <v>373</v>
      </c>
      <c r="C99" s="145">
        <f>SUM('4. Átadott p.eszk.'!B64)</f>
        <v>588928</v>
      </c>
      <c r="D99" s="145">
        <f>SUM('4. Átadott p.eszk.'!C64)</f>
        <v>599399</v>
      </c>
      <c r="E99" s="145">
        <f>SUM('4. Átadott p.eszk.'!D64)</f>
        <v>635812</v>
      </c>
      <c r="F99" s="145" t="e">
        <f>SUM('4. Átadott p.eszk.'!E64)</f>
        <v>#REF!</v>
      </c>
      <c r="G99" s="145" t="e">
        <f>SUM('4. Átadott p.eszk.'!F64)</f>
        <v>#REF!</v>
      </c>
      <c r="H99" s="112"/>
      <c r="I99" s="112"/>
      <c r="J99" s="112"/>
      <c r="K99" s="112"/>
      <c r="L99" s="112"/>
      <c r="M99" s="112"/>
      <c r="N99" s="112"/>
      <c r="O99" s="112"/>
      <c r="P99" s="112"/>
      <c r="Q99" s="112"/>
      <c r="R99" s="112"/>
      <c r="S99" s="112"/>
      <c r="T99" s="112"/>
      <c r="U99" s="112"/>
      <c r="V99" s="112"/>
      <c r="W99" s="112"/>
      <c r="X99" s="112"/>
      <c r="Y99" s="112"/>
      <c r="Z99" s="112"/>
      <c r="AA99" s="112"/>
      <c r="AB99" s="112"/>
      <c r="AC99" s="112"/>
      <c r="AD99" s="112"/>
      <c r="AE99" s="112"/>
      <c r="AF99" s="112"/>
      <c r="AG99" s="112"/>
      <c r="AH99" s="112"/>
      <c r="AI99" s="112"/>
      <c r="AJ99" s="112"/>
      <c r="AK99" s="112"/>
      <c r="AL99" s="112"/>
      <c r="AM99" s="112"/>
      <c r="AN99" s="112"/>
      <c r="AO99" s="112"/>
      <c r="AP99" s="112"/>
      <c r="AQ99" s="112"/>
      <c r="AR99" s="112"/>
      <c r="AS99" s="112"/>
      <c r="AT99" s="112"/>
      <c r="AU99" s="112"/>
      <c r="AV99" s="112"/>
      <c r="AW99" s="112"/>
      <c r="AX99" s="112"/>
      <c r="AY99" s="112"/>
      <c r="AZ99" s="112"/>
      <c r="BA99" s="145">
        <f t="shared" si="158"/>
        <v>588928</v>
      </c>
      <c r="BB99" s="145">
        <f t="shared" si="142"/>
        <v>599399</v>
      </c>
      <c r="BC99" s="145">
        <f t="shared" si="142"/>
        <v>635812</v>
      </c>
      <c r="BD99" s="145" t="e">
        <f t="shared" si="142"/>
        <v>#REF!</v>
      </c>
      <c r="BE99" s="145" t="e">
        <f t="shared" si="142"/>
        <v>#REF!</v>
      </c>
      <c r="BF99" s="301"/>
      <c r="BG99" s="145">
        <v>512670</v>
      </c>
      <c r="BN99" s="9"/>
    </row>
    <row r="100" spans="1:66" ht="15.75" customHeight="1" thickBot="1" x14ac:dyDescent="0.3">
      <c r="A100" s="272"/>
      <c r="B100" s="206" t="s">
        <v>9</v>
      </c>
      <c r="C100" s="151">
        <f t="shared" ref="C100:AH100" si="168">SUM(C29+C33+C96+C97+C99)</f>
        <v>740172</v>
      </c>
      <c r="D100" s="151">
        <f t="shared" si="168"/>
        <v>752601</v>
      </c>
      <c r="E100" s="151">
        <f t="shared" ref="E100" si="169">SUM(E29+E33+E96+E97+E99)</f>
        <v>775141</v>
      </c>
      <c r="F100" s="151" t="e">
        <f t="shared" si="168"/>
        <v>#REF!</v>
      </c>
      <c r="G100" s="151" t="e">
        <f t="shared" si="168"/>
        <v>#REF!</v>
      </c>
      <c r="H100" s="151">
        <f t="shared" si="168"/>
        <v>0</v>
      </c>
      <c r="I100" s="151">
        <f t="shared" si="168"/>
        <v>0</v>
      </c>
      <c r="J100" s="151">
        <f t="shared" si="168"/>
        <v>0</v>
      </c>
      <c r="K100" s="151">
        <f t="shared" si="168"/>
        <v>0</v>
      </c>
      <c r="L100" s="151">
        <f t="shared" si="168"/>
        <v>0</v>
      </c>
      <c r="M100" s="151">
        <f t="shared" si="168"/>
        <v>69155</v>
      </c>
      <c r="N100" s="151">
        <f t="shared" si="168"/>
        <v>69155</v>
      </c>
      <c r="O100" s="151">
        <f t="shared" ref="O100" si="170">SUM(O29+O33+O96+O97+O99)</f>
        <v>86155</v>
      </c>
      <c r="P100" s="151">
        <f t="shared" si="168"/>
        <v>69155</v>
      </c>
      <c r="Q100" s="151">
        <f t="shared" si="168"/>
        <v>69155</v>
      </c>
      <c r="R100" s="151">
        <f t="shared" si="168"/>
        <v>12590</v>
      </c>
      <c r="S100" s="151">
        <f t="shared" si="168"/>
        <v>13075</v>
      </c>
      <c r="T100" s="151">
        <f t="shared" ref="T100" si="171">SUM(T29+T33+T96+T97+T99)</f>
        <v>12990</v>
      </c>
      <c r="U100" s="151">
        <f t="shared" si="168"/>
        <v>12590</v>
      </c>
      <c r="V100" s="151">
        <f t="shared" si="168"/>
        <v>12590</v>
      </c>
      <c r="W100" s="151">
        <f t="shared" si="168"/>
        <v>337506</v>
      </c>
      <c r="X100" s="151">
        <f t="shared" si="168"/>
        <v>375685</v>
      </c>
      <c r="Y100" s="151">
        <f t="shared" si="168"/>
        <v>370821</v>
      </c>
      <c r="Z100" s="151">
        <f t="shared" si="168"/>
        <v>296912</v>
      </c>
      <c r="AA100" s="151">
        <f t="shared" si="168"/>
        <v>296912</v>
      </c>
      <c r="AB100" s="151">
        <f t="shared" si="168"/>
        <v>45764</v>
      </c>
      <c r="AC100" s="151">
        <f t="shared" si="168"/>
        <v>45594</v>
      </c>
      <c r="AD100" s="151">
        <f t="shared" ref="AD100" si="172">SUM(AD29+AD33+AD96+AD97+AD99)</f>
        <v>49687</v>
      </c>
      <c r="AE100" s="151">
        <f t="shared" si="168"/>
        <v>45749</v>
      </c>
      <c r="AF100" s="151">
        <f t="shared" si="168"/>
        <v>45749</v>
      </c>
      <c r="AG100" s="151">
        <f t="shared" si="168"/>
        <v>0</v>
      </c>
      <c r="AH100" s="151">
        <f t="shared" si="168"/>
        <v>0</v>
      </c>
      <c r="AI100" s="151">
        <f t="shared" ref="AI100:AR100" si="173">SUM(AI29+AI33+AI96+AI97+AI99)</f>
        <v>0</v>
      </c>
      <c r="AJ100" s="151">
        <f t="shared" si="173"/>
        <v>0</v>
      </c>
      <c r="AK100" s="151">
        <f t="shared" si="173"/>
        <v>0</v>
      </c>
      <c r="AL100" s="151">
        <f t="shared" si="173"/>
        <v>0</v>
      </c>
      <c r="AM100" s="151">
        <f t="shared" si="173"/>
        <v>0</v>
      </c>
      <c r="AN100" s="151">
        <f t="shared" si="173"/>
        <v>0</v>
      </c>
      <c r="AO100" s="151">
        <f t="shared" si="173"/>
        <v>0</v>
      </c>
      <c r="AP100" s="151">
        <f t="shared" si="173"/>
        <v>0</v>
      </c>
      <c r="AQ100" s="151">
        <f t="shared" si="173"/>
        <v>39447</v>
      </c>
      <c r="AR100" s="151">
        <f t="shared" si="173"/>
        <v>39337</v>
      </c>
      <c r="AS100" s="151">
        <f t="shared" ref="AS100" si="174">SUM(AS29+AS33+AS96+AS97+AS99)</f>
        <v>36437</v>
      </c>
      <c r="AT100" s="151">
        <f>SUM(AT29+AT33+AT96+AT97+AT99)</f>
        <v>39447</v>
      </c>
      <c r="AU100" s="151">
        <f>SUM(AU29+AU33+AU96+AU97+AU99)</f>
        <v>39447</v>
      </c>
      <c r="AV100" s="151">
        <f>SUM(AV29+AV33+AV96+AV97+AV99)</f>
        <v>22808</v>
      </c>
      <c r="AW100" s="151">
        <f>SUM(AW29+AW33+AW96+AW97+AW99)</f>
        <v>23798</v>
      </c>
      <c r="AX100" s="151">
        <f t="shared" ref="AX100" si="175">SUM(AX29+AX33+AX96+AX97+AX99)</f>
        <v>26898</v>
      </c>
      <c r="AY100" s="151">
        <f>SUM(AY29+AY33+AY96+AY97+AY99)</f>
        <v>22806</v>
      </c>
      <c r="AZ100" s="151">
        <f>SUM(AZ29+AZ33+AZ96+AZ97+AZ99)</f>
        <v>22806</v>
      </c>
      <c r="BA100" s="151">
        <f t="shared" si="158"/>
        <v>1267442</v>
      </c>
      <c r="BB100" s="151">
        <f t="shared" si="142"/>
        <v>1319245</v>
      </c>
      <c r="BC100" s="151">
        <f t="shared" si="142"/>
        <v>1358129</v>
      </c>
      <c r="BD100" s="151" t="e">
        <f t="shared" si="142"/>
        <v>#REF!</v>
      </c>
      <c r="BE100" s="151" t="e">
        <f t="shared" si="142"/>
        <v>#REF!</v>
      </c>
      <c r="BF100" s="301">
        <f>SUM(BA29+BA33+BA96+BA97+BA99)</f>
        <v>1319048</v>
      </c>
      <c r="BN100" s="9"/>
    </row>
    <row r="101" spans="1:66" ht="15.75" thickBot="1" x14ac:dyDescent="0.3">
      <c r="A101" s="272" t="s">
        <v>290</v>
      </c>
      <c r="B101" s="204" t="s">
        <v>372</v>
      </c>
      <c r="C101" s="205">
        <f>SUM('3.felh'!C45+'3.felh'!C66+'3.felh'!C87)</f>
        <v>1654467</v>
      </c>
      <c r="D101" s="205">
        <f>SUM('3.felh'!D45+'3.felh'!D66+'3.felh'!D87)</f>
        <v>1692578</v>
      </c>
      <c r="E101" s="205">
        <f>SUM('3.felh'!E45+'3.felh'!E66+'3.felh'!E87)</f>
        <v>1747697</v>
      </c>
      <c r="F101" s="205">
        <f>SUM('3.felh'!F45+'3.felh'!F66+'3.felh'!F87)</f>
        <v>1707553</v>
      </c>
      <c r="G101" s="205">
        <f>SUM('3.felh'!G45+'3.felh'!G66+'3.felh'!G87)</f>
        <v>1707553</v>
      </c>
      <c r="H101" s="205"/>
      <c r="I101" s="205"/>
      <c r="J101" s="205"/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5"/>
      <c r="AH101" s="205"/>
      <c r="AI101" s="205"/>
      <c r="AJ101" s="205"/>
      <c r="AK101" s="205"/>
      <c r="AL101" s="205"/>
      <c r="AM101" s="205"/>
      <c r="AN101" s="205"/>
      <c r="AO101" s="205"/>
      <c r="AP101" s="205"/>
      <c r="AQ101" s="205"/>
      <c r="AR101" s="205"/>
      <c r="AS101" s="205"/>
      <c r="AT101" s="205"/>
      <c r="AU101" s="205"/>
      <c r="AV101" s="205"/>
      <c r="AW101" s="205"/>
      <c r="AX101" s="205"/>
      <c r="AY101" s="205"/>
      <c r="AZ101" s="205"/>
      <c r="BA101" s="205">
        <f t="shared" si="158"/>
        <v>1654467</v>
      </c>
      <c r="BB101" s="205">
        <f t="shared" si="142"/>
        <v>1692578</v>
      </c>
      <c r="BC101" s="205">
        <f t="shared" si="142"/>
        <v>1747697</v>
      </c>
      <c r="BD101" s="205">
        <f t="shared" si="142"/>
        <v>1707553</v>
      </c>
      <c r="BE101" s="205">
        <f t="shared" si="142"/>
        <v>1707553</v>
      </c>
      <c r="BF101" s="301"/>
      <c r="BN101" s="9"/>
    </row>
    <row r="102" spans="1:66" ht="20.25" thickBot="1" x14ac:dyDescent="0.4">
      <c r="A102" s="271"/>
      <c r="B102" s="196" t="s">
        <v>7</v>
      </c>
      <c r="C102" s="197">
        <f t="shared" ref="C102:AD102" si="176">SUM(C100+C101)</f>
        <v>2394639</v>
      </c>
      <c r="D102" s="197">
        <f t="shared" si="176"/>
        <v>2445179</v>
      </c>
      <c r="E102" s="197">
        <f t="shared" ref="E102" si="177">SUM(E100+E101)</f>
        <v>2522838</v>
      </c>
      <c r="F102" s="197" t="e">
        <f t="shared" si="176"/>
        <v>#REF!</v>
      </c>
      <c r="G102" s="197" t="e">
        <f t="shared" si="176"/>
        <v>#REF!</v>
      </c>
      <c r="H102" s="197">
        <f>SUM(H100+H101)</f>
        <v>0</v>
      </c>
      <c r="I102" s="197">
        <f>SUM(I100+I101)</f>
        <v>0</v>
      </c>
      <c r="J102" s="197">
        <f>SUM(J100+J101)</f>
        <v>0</v>
      </c>
      <c r="K102" s="197">
        <f>SUM(K100+K101)</f>
        <v>0</v>
      </c>
      <c r="L102" s="197">
        <f>SUM(L100+L101)</f>
        <v>0</v>
      </c>
      <c r="M102" s="197">
        <f t="shared" si="176"/>
        <v>69155</v>
      </c>
      <c r="N102" s="197">
        <f t="shared" si="176"/>
        <v>69155</v>
      </c>
      <c r="O102" s="197">
        <f t="shared" ref="O102" si="178">SUM(O100+O101)</f>
        <v>86155</v>
      </c>
      <c r="P102" s="197">
        <f t="shared" si="176"/>
        <v>69155</v>
      </c>
      <c r="Q102" s="197">
        <f t="shared" si="176"/>
        <v>69155</v>
      </c>
      <c r="R102" s="197">
        <f t="shared" si="176"/>
        <v>12590</v>
      </c>
      <c r="S102" s="197">
        <f t="shared" si="176"/>
        <v>13075</v>
      </c>
      <c r="T102" s="197">
        <f t="shared" ref="T102" si="179">SUM(T100+T101)</f>
        <v>12990</v>
      </c>
      <c r="U102" s="197">
        <f t="shared" si="176"/>
        <v>12590</v>
      </c>
      <c r="V102" s="197">
        <f t="shared" si="176"/>
        <v>12590</v>
      </c>
      <c r="W102" s="197">
        <f t="shared" si="176"/>
        <v>337506</v>
      </c>
      <c r="X102" s="197">
        <f t="shared" si="176"/>
        <v>375685</v>
      </c>
      <c r="Y102" s="197">
        <f t="shared" si="176"/>
        <v>370821</v>
      </c>
      <c r="Z102" s="197">
        <f t="shared" si="176"/>
        <v>296912</v>
      </c>
      <c r="AA102" s="197">
        <f t="shared" si="176"/>
        <v>296912</v>
      </c>
      <c r="AB102" s="197">
        <f t="shared" si="176"/>
        <v>45764</v>
      </c>
      <c r="AC102" s="197">
        <f t="shared" si="176"/>
        <v>45594</v>
      </c>
      <c r="AD102" s="197">
        <f t="shared" si="176"/>
        <v>49687</v>
      </c>
      <c r="AE102" s="197">
        <f t="shared" ref="AE102:AZ102" si="180">SUM(AE100+AE101)</f>
        <v>45749</v>
      </c>
      <c r="AF102" s="197">
        <f t="shared" si="180"/>
        <v>45749</v>
      </c>
      <c r="AG102" s="197">
        <f t="shared" si="180"/>
        <v>0</v>
      </c>
      <c r="AH102" s="197">
        <f t="shared" si="180"/>
        <v>0</v>
      </c>
      <c r="AI102" s="197">
        <f>SUM(AI100+AI101)</f>
        <v>0</v>
      </c>
      <c r="AJ102" s="197">
        <f t="shared" si="180"/>
        <v>0</v>
      </c>
      <c r="AK102" s="197">
        <f t="shared" si="180"/>
        <v>0</v>
      </c>
      <c r="AL102" s="197">
        <f t="shared" si="180"/>
        <v>0</v>
      </c>
      <c r="AM102" s="197">
        <f>SUM(AM100+AM101)</f>
        <v>0</v>
      </c>
      <c r="AN102" s="197">
        <f>SUM(AN100+AN101)</f>
        <v>0</v>
      </c>
      <c r="AO102" s="197">
        <f>SUM(AO100+AO101)</f>
        <v>0</v>
      </c>
      <c r="AP102" s="197">
        <f t="shared" si="180"/>
        <v>0</v>
      </c>
      <c r="AQ102" s="197">
        <f t="shared" ref="AQ102:AU102" si="181">SUM(AQ100+AQ101)</f>
        <v>39447</v>
      </c>
      <c r="AR102" s="197">
        <f t="shared" si="181"/>
        <v>39337</v>
      </c>
      <c r="AS102" s="197">
        <f t="shared" ref="AS102" si="182">SUM(AS100+AS101)</f>
        <v>36437</v>
      </c>
      <c r="AT102" s="197">
        <f t="shared" si="181"/>
        <v>39447</v>
      </c>
      <c r="AU102" s="197">
        <f t="shared" si="181"/>
        <v>39447</v>
      </c>
      <c r="AV102" s="197">
        <f t="shared" si="180"/>
        <v>22808</v>
      </c>
      <c r="AW102" s="197">
        <f t="shared" si="180"/>
        <v>23798</v>
      </c>
      <c r="AX102" s="197">
        <f t="shared" ref="AX102" si="183">SUM(AX100+AX101)</f>
        <v>26898</v>
      </c>
      <c r="AY102" s="197">
        <f t="shared" si="180"/>
        <v>22806</v>
      </c>
      <c r="AZ102" s="197">
        <f t="shared" si="180"/>
        <v>22806</v>
      </c>
      <c r="BA102" s="197">
        <f t="shared" si="158"/>
        <v>2921909</v>
      </c>
      <c r="BB102" s="197">
        <f t="shared" ref="BB102:BE103" si="184">D102+I102+N102+S102+X102+AC102+AH102+AM102+AR102+AW102</f>
        <v>3011823</v>
      </c>
      <c r="BC102" s="197">
        <f t="shared" si="184"/>
        <v>3105826</v>
      </c>
      <c r="BD102" s="197" t="e">
        <f t="shared" si="184"/>
        <v>#REF!</v>
      </c>
      <c r="BE102" s="197" t="e">
        <f t="shared" si="184"/>
        <v>#REF!</v>
      </c>
      <c r="BF102" s="301">
        <f>SUM(BA29+BA33+BA96+BA97+BA99+BA101)</f>
        <v>2973515</v>
      </c>
      <c r="BG102" s="385"/>
      <c r="BN102" s="9"/>
    </row>
    <row r="103" spans="1:66" ht="13.5" thickBot="1" x14ac:dyDescent="0.25">
      <c r="A103" s="278"/>
      <c r="B103" s="194" t="s">
        <v>56</v>
      </c>
      <c r="C103" s="227">
        <v>1</v>
      </c>
      <c r="D103" s="227">
        <v>1</v>
      </c>
      <c r="E103" s="227">
        <v>1</v>
      </c>
      <c r="F103" s="227">
        <v>1</v>
      </c>
      <c r="G103" s="227">
        <v>1</v>
      </c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>
        <v>3</v>
      </c>
      <c r="X103" s="227">
        <v>3</v>
      </c>
      <c r="Y103" s="227">
        <v>3</v>
      </c>
      <c r="Z103" s="227">
        <v>3</v>
      </c>
      <c r="AA103" s="227">
        <v>3</v>
      </c>
      <c r="AB103" s="227">
        <v>1</v>
      </c>
      <c r="AC103" s="227">
        <v>1</v>
      </c>
      <c r="AD103" s="227">
        <v>1</v>
      </c>
      <c r="AE103" s="227">
        <v>1</v>
      </c>
      <c r="AF103" s="227">
        <v>1</v>
      </c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>
        <v>1</v>
      </c>
      <c r="AR103" s="227">
        <v>1</v>
      </c>
      <c r="AS103" s="227">
        <v>1</v>
      </c>
      <c r="AT103" s="227">
        <v>1</v>
      </c>
      <c r="AU103" s="227">
        <v>1</v>
      </c>
      <c r="AV103" s="227">
        <v>1</v>
      </c>
      <c r="AW103" s="227">
        <v>1</v>
      </c>
      <c r="AX103" s="227">
        <v>1</v>
      </c>
      <c r="AY103" s="227">
        <v>1</v>
      </c>
      <c r="AZ103" s="227">
        <v>1</v>
      </c>
      <c r="BA103" s="227">
        <f t="shared" si="158"/>
        <v>7</v>
      </c>
      <c r="BB103" s="227">
        <f t="shared" si="184"/>
        <v>7</v>
      </c>
      <c r="BC103" s="227">
        <f t="shared" si="184"/>
        <v>7</v>
      </c>
      <c r="BD103" s="227">
        <f t="shared" si="184"/>
        <v>7</v>
      </c>
      <c r="BE103" s="227">
        <f t="shared" si="184"/>
        <v>7</v>
      </c>
      <c r="BF103" s="301"/>
      <c r="BG103" s="74"/>
      <c r="BN103" s="9"/>
    </row>
    <row r="104" spans="1:66" s="9" customFormat="1" ht="6" customHeight="1" x14ac:dyDescent="0.2">
      <c r="A104" s="165"/>
      <c r="B104" s="195"/>
      <c r="C104"/>
      <c r="D104"/>
      <c r="E104"/>
      <c r="F104"/>
      <c r="G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 s="35"/>
      <c r="BF104" s="301"/>
    </row>
    <row r="105" spans="1:66" s="9" customFormat="1" hidden="1" x14ac:dyDescent="0.2">
      <c r="A105" s="165"/>
      <c r="B105"/>
      <c r="C105"/>
      <c r="D105"/>
      <c r="E105"/>
      <c r="F105"/>
      <c r="G105"/>
      <c r="L105"/>
      <c r="M105"/>
      <c r="N105"/>
      <c r="O105"/>
      <c r="P105" s="190"/>
      <c r="Q105" s="190"/>
      <c r="R105" s="190"/>
      <c r="S105" s="190"/>
      <c r="T105" s="190"/>
      <c r="U105" s="190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 s="301"/>
    </row>
    <row r="106" spans="1:66" s="9" customFormat="1" hidden="1" x14ac:dyDescent="0.2">
      <c r="A106" s="165"/>
      <c r="B106"/>
      <c r="C106" s="74"/>
      <c r="D106" s="74"/>
      <c r="E106" s="74"/>
      <c r="F106" s="74"/>
      <c r="G106" s="74"/>
      <c r="H106" s="35"/>
      <c r="I106" s="35"/>
      <c r="J106" s="35"/>
      <c r="K106" s="35"/>
      <c r="L106" s="74"/>
      <c r="M106" s="74"/>
      <c r="N106" s="74"/>
      <c r="O106" s="74"/>
      <c r="P106"/>
      <c r="Q106"/>
      <c r="R106"/>
      <c r="S106"/>
      <c r="T106"/>
      <c r="U106"/>
      <c r="V106" s="198" t="s">
        <v>365</v>
      </c>
      <c r="W106" s="198"/>
      <c r="X106" s="198"/>
      <c r="Y106" s="198"/>
      <c r="Z106" s="198">
        <v>300</v>
      </c>
      <c r="AA106" s="198"/>
      <c r="AB106" s="198"/>
      <c r="AC106" s="198"/>
      <c r="AD106" s="198"/>
      <c r="AE106" s="198">
        <v>236</v>
      </c>
      <c r="AF106" s="198"/>
      <c r="AG106" s="198"/>
      <c r="AH106" s="198"/>
      <c r="AI106" s="198"/>
      <c r="AJ106" s="198"/>
      <c r="AK106" s="198"/>
      <c r="AL106" s="198"/>
      <c r="AM106" s="198"/>
      <c r="AN106" s="198"/>
      <c r="AO106" s="198"/>
      <c r="AP106" s="198"/>
      <c r="AQ106" s="198"/>
      <c r="AR106" s="198"/>
      <c r="AS106" s="198"/>
      <c r="AT106" s="198"/>
      <c r="AU106" s="198"/>
      <c r="AV106" s="198"/>
      <c r="AW106" s="198"/>
      <c r="AX106" s="198"/>
      <c r="AY106" s="198"/>
      <c r="AZ106" s="198"/>
      <c r="BA106"/>
      <c r="BB106"/>
      <c r="BC106"/>
      <c r="BD106"/>
      <c r="BE106"/>
      <c r="BF106" s="301"/>
    </row>
    <row r="107" spans="1:66" s="9" customFormat="1" hidden="1" x14ac:dyDescent="0.2">
      <c r="A107" s="165"/>
      <c r="B107"/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/>
      <c r="Q107"/>
      <c r="R107"/>
      <c r="S107"/>
      <c r="T107"/>
      <c r="U107"/>
      <c r="V107" s="198" t="s">
        <v>366</v>
      </c>
      <c r="W107" s="198"/>
      <c r="X107" s="198"/>
      <c r="Y107" s="198"/>
      <c r="Z107" s="198">
        <v>700</v>
      </c>
      <c r="AA107" s="198"/>
      <c r="AB107" s="198"/>
      <c r="AC107" s="198"/>
      <c r="AD107" s="198"/>
      <c r="AE107" s="198">
        <v>551</v>
      </c>
      <c r="AF107" s="198"/>
      <c r="AG107" s="198"/>
      <c r="AH107" s="198"/>
      <c r="AI107" s="198"/>
      <c r="AJ107" s="198"/>
      <c r="AK107" s="198"/>
      <c r="AL107" s="198"/>
      <c r="AM107" s="198"/>
      <c r="AN107" s="198"/>
      <c r="AO107" s="198"/>
      <c r="AP107" s="198"/>
      <c r="AQ107" s="198"/>
      <c r="AR107" s="198"/>
      <c r="AS107" s="198"/>
      <c r="AT107" s="198"/>
      <c r="AU107" s="198"/>
      <c r="AV107" s="198"/>
      <c r="AW107" s="198"/>
      <c r="AX107" s="198"/>
      <c r="AY107" s="198"/>
      <c r="AZ107" s="198"/>
      <c r="BA107"/>
      <c r="BB107"/>
      <c r="BC107"/>
      <c r="BD107"/>
      <c r="BE107"/>
      <c r="BF107" s="301"/>
    </row>
    <row r="108" spans="1:66" s="9" customFormat="1" hidden="1" x14ac:dyDescent="0.2">
      <c r="A108" s="165"/>
      <c r="B108"/>
      <c r="C108" s="192"/>
      <c r="D108" s="192"/>
      <c r="E108" s="192"/>
      <c r="F108" s="192"/>
      <c r="G108" s="192"/>
      <c r="H108" s="164"/>
      <c r="I108" s="164"/>
      <c r="J108" s="164"/>
      <c r="K108" s="164"/>
      <c r="L108" s="164"/>
      <c r="M108" s="164"/>
      <c r="N108" s="164"/>
      <c r="O108" s="164"/>
      <c r="P108"/>
      <c r="Q108"/>
      <c r="R108"/>
      <c r="S108"/>
      <c r="T108"/>
      <c r="U108"/>
      <c r="V108" s="199"/>
      <c r="W108" s="199"/>
      <c r="X108" s="199"/>
      <c r="Y108" s="199"/>
      <c r="Z108" s="199"/>
      <c r="AA108" s="199"/>
      <c r="AB108" s="199"/>
      <c r="AC108" s="199"/>
      <c r="AD108" s="199"/>
      <c r="AE108" s="199"/>
      <c r="AF108" s="199"/>
      <c r="AG108" s="199"/>
      <c r="AH108" s="199"/>
      <c r="AI108" s="199"/>
      <c r="AJ108" s="199"/>
      <c r="AK108" s="199"/>
      <c r="AL108" s="199"/>
      <c r="AM108" s="199"/>
      <c r="AN108" s="199"/>
      <c r="AO108" s="199"/>
      <c r="AP108" s="199"/>
      <c r="AQ108" s="199"/>
      <c r="AR108" s="199"/>
      <c r="AS108" s="199"/>
      <c r="AT108" s="199"/>
      <c r="AU108" s="199"/>
      <c r="AV108" s="199"/>
      <c r="AW108" s="199"/>
      <c r="AX108" s="199"/>
      <c r="AY108" s="199"/>
      <c r="AZ108" s="199"/>
      <c r="BA108"/>
      <c r="BB108"/>
      <c r="BC108"/>
      <c r="BD108"/>
      <c r="BE108"/>
      <c r="BF108" s="301"/>
    </row>
    <row r="109" spans="1:66" s="9" customFormat="1" x14ac:dyDescent="0.2">
      <c r="A109" s="165"/>
      <c r="B109" s="281" t="s">
        <v>434</v>
      </c>
      <c r="C109" s="369"/>
      <c r="E109" s="370"/>
      <c r="F109" s="370"/>
      <c r="G109" s="370"/>
      <c r="Q109"/>
      <c r="R109"/>
      <c r="S109"/>
      <c r="T109"/>
      <c r="U109"/>
      <c r="V109" s="281"/>
      <c r="W109" s="528"/>
      <c r="X109" s="199"/>
      <c r="Y109" s="199"/>
      <c r="Z109" s="199"/>
      <c r="AE109" s="369"/>
      <c r="AF109" s="370"/>
      <c r="AL109"/>
      <c r="AM109"/>
      <c r="AN109"/>
      <c r="AO109"/>
      <c r="AP109"/>
      <c r="AQ109"/>
      <c r="AR109"/>
      <c r="AS109"/>
      <c r="AT109" s="199"/>
      <c r="AU109" s="199"/>
      <c r="BF109" s="301"/>
    </row>
    <row r="110" spans="1:66" s="9" customFormat="1" x14ac:dyDescent="0.2">
      <c r="A110" s="165"/>
      <c r="B110" s="281" t="s">
        <v>640</v>
      </c>
      <c r="C110" s="164" t="s">
        <v>364</v>
      </c>
      <c r="F110" s="164"/>
      <c r="G110" s="164"/>
      <c r="M110" s="164" t="s">
        <v>284</v>
      </c>
      <c r="Q110"/>
      <c r="R110" s="164" t="s">
        <v>520</v>
      </c>
      <c r="S110"/>
      <c r="T110"/>
      <c r="V110" s="281"/>
      <c r="X110"/>
      <c r="Y110"/>
      <c r="Z110"/>
      <c r="AE110" s="164"/>
      <c r="AF110" s="164"/>
      <c r="AL110"/>
      <c r="AM110"/>
      <c r="AN110"/>
      <c r="AO110"/>
      <c r="AP110"/>
      <c r="AQ110"/>
      <c r="AR110"/>
      <c r="AS110"/>
      <c r="AT110"/>
      <c r="AU110"/>
      <c r="BA110" s="35"/>
      <c r="BB110" s="35"/>
      <c r="BC110" s="35"/>
      <c r="BD110" s="35"/>
      <c r="BF110" s="301"/>
    </row>
    <row r="111" spans="1:66" s="9" customFormat="1" x14ac:dyDescent="0.2">
      <c r="A111" s="165"/>
      <c r="B111" t="s">
        <v>858</v>
      </c>
      <c r="C111" s="164">
        <v>1030</v>
      </c>
      <c r="F111" s="164"/>
      <c r="G111" s="192"/>
      <c r="I111" s="35"/>
      <c r="J111" s="35"/>
      <c r="K111" s="35"/>
      <c r="L111" s="74"/>
      <c r="M111" s="35">
        <v>278</v>
      </c>
      <c r="N111" s="35"/>
      <c r="O111" s="35"/>
      <c r="P111" s="35"/>
      <c r="Q111" s="74"/>
      <c r="R111" s="35">
        <f>SUM(C111+M111)</f>
        <v>1308</v>
      </c>
      <c r="S111" s="74"/>
      <c r="T111" s="74"/>
      <c r="U111" s="35"/>
      <c r="V111" s="35"/>
      <c r="X111" s="74"/>
      <c r="Y111" s="74"/>
      <c r="Z111" s="74"/>
      <c r="AA111" s="35"/>
      <c r="AB111" s="281" t="s">
        <v>639</v>
      </c>
      <c r="AC111" s="35"/>
      <c r="AD111" s="35"/>
      <c r="AE111" s="35"/>
      <c r="AF111" s="35"/>
      <c r="AG111" s="35"/>
      <c r="AL111"/>
      <c r="AM111"/>
      <c r="AN111"/>
      <c r="AO111"/>
      <c r="AP111"/>
      <c r="AQ111"/>
      <c r="AR111"/>
      <c r="AS111"/>
      <c r="AT111"/>
      <c r="AU111"/>
      <c r="BA111"/>
      <c r="BB111"/>
      <c r="BC111"/>
      <c r="BD111"/>
      <c r="BE111"/>
      <c r="BF111" s="301"/>
    </row>
    <row r="112" spans="1:66" s="9" customFormat="1" hidden="1" x14ac:dyDescent="0.2">
      <c r="A112" s="165"/>
      <c r="B112" t="s">
        <v>851</v>
      </c>
      <c r="C112" s="164"/>
      <c r="F112" s="164"/>
      <c r="G112" s="192"/>
      <c r="I112" s="35"/>
      <c r="J112" s="35"/>
      <c r="K112" s="35"/>
      <c r="L112" s="74"/>
      <c r="M112" s="35"/>
      <c r="N112" s="35"/>
      <c r="O112" s="35"/>
      <c r="P112" s="35"/>
      <c r="Q112" s="74"/>
      <c r="R112" s="35"/>
      <c r="S112" s="74"/>
      <c r="T112" s="74"/>
      <c r="U112" s="35"/>
      <c r="V112" s="35"/>
      <c r="X112" s="74"/>
      <c r="Y112" s="74"/>
      <c r="Z112" s="74"/>
      <c r="AA112" s="35"/>
      <c r="AB112" s="74"/>
      <c r="AC112" s="35"/>
      <c r="AD112" s="35"/>
      <c r="AE112" s="35"/>
      <c r="AF112" s="35"/>
      <c r="AG112" s="35"/>
      <c r="AL112"/>
      <c r="AM112"/>
      <c r="AN112"/>
      <c r="AO112"/>
      <c r="AP112"/>
      <c r="AQ112"/>
      <c r="AR112"/>
      <c r="AS112" s="74"/>
      <c r="AT112"/>
      <c r="AU112"/>
      <c r="BA112"/>
      <c r="BB112"/>
      <c r="BC112"/>
      <c r="BD112"/>
      <c r="BE112"/>
      <c r="BF112" s="301"/>
    </row>
    <row r="113" spans="1:66" s="9" customFormat="1" x14ac:dyDescent="0.2">
      <c r="A113" s="165"/>
      <c r="B113"/>
      <c r="C113" s="164"/>
      <c r="F113" s="164"/>
      <c r="G113" s="192"/>
      <c r="I113" s="35"/>
      <c r="J113" s="35"/>
      <c r="K113" s="35"/>
      <c r="L113" s="74"/>
      <c r="M113" s="35"/>
      <c r="N113" s="35"/>
      <c r="O113" s="35"/>
      <c r="P113" s="35"/>
      <c r="Q113" s="74"/>
      <c r="R113" s="35"/>
      <c r="S113" s="74"/>
      <c r="T113" s="74"/>
      <c r="U113" s="35"/>
      <c r="V113" s="35"/>
      <c r="X113" s="74"/>
      <c r="Y113" s="74"/>
      <c r="Z113" s="74"/>
      <c r="AA113" s="35"/>
      <c r="AB113" s="74" t="s">
        <v>453</v>
      </c>
      <c r="AC113" s="35"/>
      <c r="AD113" s="35"/>
      <c r="AE113" s="35"/>
      <c r="AF113" s="35"/>
      <c r="AG113" s="35"/>
      <c r="AL113"/>
      <c r="AM113"/>
      <c r="AN113"/>
      <c r="AO113"/>
      <c r="AP113"/>
      <c r="AQ113" s="74">
        <f>39527</f>
        <v>39527</v>
      </c>
      <c r="AR113"/>
      <c r="AT113" s="74"/>
      <c r="AU113" s="74"/>
      <c r="AV113" s="35"/>
      <c r="BA113"/>
      <c r="BB113"/>
      <c r="BC113"/>
      <c r="BD113"/>
      <c r="BE113"/>
      <c r="BF113" s="301"/>
    </row>
    <row r="114" spans="1:66" s="9" customFormat="1" x14ac:dyDescent="0.2">
      <c r="A114" s="165"/>
      <c r="B114" t="s">
        <v>944</v>
      </c>
      <c r="C114" s="164">
        <v>3900</v>
      </c>
      <c r="F114" s="164"/>
      <c r="G114" s="192"/>
      <c r="I114" s="35"/>
      <c r="J114" s="35"/>
      <c r="K114" s="35"/>
      <c r="L114" s="74"/>
      <c r="M114" s="35">
        <v>1053</v>
      </c>
      <c r="N114" s="35"/>
      <c r="O114" s="35"/>
      <c r="P114" s="35"/>
      <c r="Q114" s="74"/>
      <c r="R114" s="35">
        <f>SUM(C114+M114)</f>
        <v>4953</v>
      </c>
      <c r="S114" s="74"/>
      <c r="T114" s="74"/>
      <c r="U114" s="35"/>
      <c r="V114" s="35"/>
      <c r="X114" s="74"/>
      <c r="Y114" s="74"/>
      <c r="Z114" s="74"/>
      <c r="AA114" s="35"/>
      <c r="AB114" s="74" t="s">
        <v>1010</v>
      </c>
      <c r="AQ114" s="74">
        <f>27000</f>
        <v>27000</v>
      </c>
      <c r="AT114" s="74"/>
      <c r="AU114" s="74"/>
      <c r="AV114" s="35"/>
      <c r="BA114"/>
      <c r="BB114"/>
      <c r="BC114"/>
      <c r="BD114"/>
      <c r="BE114"/>
      <c r="BF114" s="301"/>
    </row>
    <row r="115" spans="1:66" s="9" customFormat="1" x14ac:dyDescent="0.2">
      <c r="A115" s="165"/>
      <c r="B115" t="s">
        <v>1001</v>
      </c>
      <c r="C115" s="164">
        <v>1365</v>
      </c>
      <c r="F115"/>
      <c r="G115"/>
      <c r="I115" s="35"/>
      <c r="J115" s="35"/>
      <c r="L115"/>
      <c r="M115" s="35">
        <v>368</v>
      </c>
      <c r="N115"/>
      <c r="O115"/>
      <c r="P115"/>
      <c r="Q115"/>
      <c r="R115" s="35">
        <f>SUM(C115+M115)</f>
        <v>1733</v>
      </c>
      <c r="S115" s="74"/>
      <c r="T115" s="74"/>
      <c r="U115" s="35"/>
      <c r="V115" s="35"/>
      <c r="X115" s="74"/>
      <c r="Y115" s="74"/>
      <c r="Z115" s="74"/>
      <c r="AA115" s="35"/>
      <c r="AB115" s="74" t="s">
        <v>849</v>
      </c>
      <c r="AQ115" s="74">
        <v>0</v>
      </c>
      <c r="AR115"/>
      <c r="AT115" s="74"/>
      <c r="AU115" s="74"/>
      <c r="AV115" s="35"/>
      <c r="BA115"/>
      <c r="BB115"/>
      <c r="BC115"/>
      <c r="BD115"/>
      <c r="BE115"/>
      <c r="BF115" s="301"/>
    </row>
    <row r="116" spans="1:66" s="9" customFormat="1" x14ac:dyDescent="0.2">
      <c r="A116" s="165"/>
      <c r="S116" s="74"/>
      <c r="T116" s="74"/>
      <c r="U116" s="35"/>
      <c r="V116" s="35"/>
      <c r="X116" s="74"/>
      <c r="Y116" s="74"/>
      <c r="Z116" s="74"/>
      <c r="AA116" s="35"/>
      <c r="AB116" s="74" t="s">
        <v>541</v>
      </c>
      <c r="AC116" s="35"/>
      <c r="AD116" s="35"/>
      <c r="AE116" s="35"/>
      <c r="AF116" s="35"/>
      <c r="AG116" s="35"/>
      <c r="AL116"/>
      <c r="AM116"/>
      <c r="AN116"/>
      <c r="AO116"/>
      <c r="AP116"/>
      <c r="AQ116" s="74">
        <f>(14000-2500)+2000</f>
        <v>13500</v>
      </c>
      <c r="AT116" s="74"/>
      <c r="AU116" s="74"/>
      <c r="AV116" s="35"/>
      <c r="BA116"/>
      <c r="BB116"/>
      <c r="BC116"/>
      <c r="BD116"/>
      <c r="BE116"/>
      <c r="BF116" s="301"/>
    </row>
    <row r="117" spans="1:66" s="9" customFormat="1" x14ac:dyDescent="0.2">
      <c r="A117" s="165"/>
      <c r="B117" t="s">
        <v>853</v>
      </c>
      <c r="C117" s="164">
        <v>1750</v>
      </c>
      <c r="F117" s="164"/>
      <c r="G117" s="192"/>
      <c r="I117" s="35"/>
      <c r="J117" s="35"/>
      <c r="K117" s="35"/>
      <c r="L117" s="74"/>
      <c r="M117" s="35">
        <v>472</v>
      </c>
      <c r="N117" s="35"/>
      <c r="O117" s="35"/>
      <c r="P117" s="35"/>
      <c r="Q117" s="74"/>
      <c r="R117" s="35">
        <f>SUM(C117+M117)</f>
        <v>2222</v>
      </c>
      <c r="S117" s="74"/>
      <c r="T117" s="74"/>
      <c r="U117" s="35"/>
      <c r="V117" s="35"/>
      <c r="X117" s="74"/>
      <c r="Y117" s="74"/>
      <c r="Z117" s="74"/>
      <c r="AA117" s="35"/>
      <c r="AT117" s="74"/>
      <c r="AU117" s="74"/>
      <c r="AV117" s="35"/>
      <c r="BA117"/>
      <c r="BB117"/>
      <c r="BC117"/>
      <c r="BD117"/>
      <c r="BE117"/>
      <c r="BF117" s="301"/>
    </row>
    <row r="118" spans="1:66" s="9" customFormat="1" x14ac:dyDescent="0.2">
      <c r="A118" s="165"/>
      <c r="B118" t="s">
        <v>854</v>
      </c>
      <c r="C118" s="164">
        <f>1878-1878</f>
        <v>0</v>
      </c>
      <c r="F118" s="164"/>
      <c r="G118" s="192"/>
      <c r="I118" s="35"/>
      <c r="J118" s="35"/>
      <c r="K118" s="35"/>
      <c r="L118" s="74"/>
      <c r="M118" s="35">
        <f>507-507</f>
        <v>0</v>
      </c>
      <c r="N118" s="74"/>
      <c r="O118" s="74"/>
      <c r="P118" s="74"/>
      <c r="Q118" s="74"/>
      <c r="R118" s="35">
        <f>SUM(C118+M118)</f>
        <v>0</v>
      </c>
      <c r="S118" s="74"/>
      <c r="T118" s="74"/>
      <c r="U118" s="35"/>
      <c r="V118" s="35"/>
      <c r="X118" s="74"/>
      <c r="Y118" s="74"/>
      <c r="Z118" s="74"/>
      <c r="AA118" s="35"/>
      <c r="AB118" s="430" t="s">
        <v>44</v>
      </c>
      <c r="AC118" s="35"/>
      <c r="AD118" s="35"/>
      <c r="AE118" s="35"/>
      <c r="AF118" s="35"/>
      <c r="AG118" s="35"/>
      <c r="AL118"/>
      <c r="AM118"/>
      <c r="AN118"/>
      <c r="AO118"/>
      <c r="AP118"/>
      <c r="AQ118" s="430">
        <f>SUM(AQ112:AQ116)</f>
        <v>80027</v>
      </c>
      <c r="AR118"/>
      <c r="AT118" s="74"/>
      <c r="AU118" s="74"/>
      <c r="AV118" s="35"/>
      <c r="BA118"/>
      <c r="BB118"/>
      <c r="BC118"/>
      <c r="BD118"/>
      <c r="BE118"/>
      <c r="BF118" s="301"/>
    </row>
    <row r="119" spans="1:66" s="9" customFormat="1" x14ac:dyDescent="0.2">
      <c r="A119" s="165"/>
      <c r="B119" t="s">
        <v>855</v>
      </c>
      <c r="C119" s="164">
        <f>1200-1200</f>
        <v>0</v>
      </c>
      <c r="F119" s="164"/>
      <c r="G119" s="192"/>
      <c r="I119" s="35"/>
      <c r="J119" s="35"/>
      <c r="K119" s="35"/>
      <c r="L119" s="74"/>
      <c r="M119" s="35">
        <f>324-324</f>
        <v>0</v>
      </c>
      <c r="N119" s="74"/>
      <c r="O119" s="74"/>
      <c r="P119" s="74"/>
      <c r="Q119" s="74"/>
      <c r="R119" s="35">
        <f>SUM(C119+M119)</f>
        <v>0</v>
      </c>
      <c r="S119" s="74"/>
      <c r="T119" s="74"/>
      <c r="U119" s="74"/>
      <c r="V119" s="74"/>
      <c r="W119" s="74"/>
      <c r="X119" s="74"/>
      <c r="Y119" s="74"/>
      <c r="Z119" s="74"/>
      <c r="AA119" s="74"/>
      <c r="AT119" s="74"/>
      <c r="AU119" s="74"/>
      <c r="AV119" s="74"/>
      <c r="AW119"/>
      <c r="AX119"/>
      <c r="AY119"/>
      <c r="AZ119"/>
      <c r="BA119"/>
      <c r="BB119"/>
      <c r="BC119"/>
      <c r="BD119"/>
      <c r="BE119"/>
      <c r="BF119" s="301"/>
    </row>
    <row r="120" spans="1:66" s="9" customFormat="1" x14ac:dyDescent="0.2">
      <c r="A120" s="165"/>
      <c r="B120" t="s">
        <v>856</v>
      </c>
      <c r="C120" s="164">
        <f>550-550</f>
        <v>0</v>
      </c>
      <c r="F120" s="164"/>
      <c r="G120" s="192"/>
      <c r="I120" s="35"/>
      <c r="J120" s="35"/>
      <c r="K120" s="35"/>
      <c r="L120" s="74"/>
      <c r="M120" s="35">
        <v>0</v>
      </c>
      <c r="N120" s="74"/>
      <c r="O120" s="74"/>
      <c r="P120" s="74"/>
      <c r="Q120" s="74"/>
      <c r="R120" s="35">
        <f>SUM(C120+M120)</f>
        <v>0</v>
      </c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/>
      <c r="AH120" s="164"/>
      <c r="AI120" s="164"/>
      <c r="AK120" s="164">
        <v>5350</v>
      </c>
      <c r="AL120" s="74"/>
      <c r="AM120" s="74"/>
      <c r="AN120" s="74"/>
      <c r="AO120" s="74"/>
      <c r="AP120" s="74"/>
      <c r="AQ120" s="74"/>
      <c r="AR120" s="74"/>
      <c r="AS120" s="74"/>
      <c r="AT120" s="35"/>
      <c r="AU120" s="35"/>
      <c r="AV120"/>
      <c r="AW120"/>
      <c r="AX120"/>
      <c r="AY120"/>
      <c r="AZ120"/>
      <c r="BA120"/>
      <c r="BB120"/>
      <c r="BC120"/>
      <c r="BD120"/>
      <c r="BE120"/>
      <c r="BF120" s="301"/>
    </row>
    <row r="121" spans="1:66" s="9" customFormat="1" x14ac:dyDescent="0.2">
      <c r="A121" s="165"/>
      <c r="B121"/>
      <c r="C121" s="164"/>
      <c r="F121" s="164"/>
      <c r="G121" s="192"/>
      <c r="I121" s="35"/>
      <c r="J121" s="35"/>
      <c r="K121" s="35"/>
      <c r="L121" s="74"/>
      <c r="M121" s="35"/>
      <c r="N121" s="74"/>
      <c r="O121" s="74"/>
      <c r="P121" s="74"/>
      <c r="Q121" s="74"/>
      <c r="R121" s="35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/>
      <c r="AH121" s="164"/>
      <c r="AI121" s="164"/>
      <c r="AK121" s="164"/>
      <c r="AL121" s="74"/>
      <c r="AM121" s="74"/>
      <c r="AN121" s="74"/>
      <c r="AO121" s="74"/>
      <c r="AP121" s="74"/>
      <c r="AQ121" s="74"/>
      <c r="AR121" s="74"/>
      <c r="AS121" s="74"/>
      <c r="AT121" s="35"/>
      <c r="AU121" s="35"/>
      <c r="AV121"/>
      <c r="AW121"/>
      <c r="AX121"/>
      <c r="AY121"/>
      <c r="AZ121"/>
      <c r="BA121"/>
      <c r="BB121"/>
      <c r="BC121"/>
      <c r="BD121"/>
      <c r="BE121"/>
      <c r="BF121" s="301"/>
    </row>
    <row r="122" spans="1:66" s="9" customFormat="1" x14ac:dyDescent="0.2">
      <c r="A122" s="165"/>
      <c r="B122" t="s">
        <v>939</v>
      </c>
      <c r="C122" s="164">
        <f>16750+16750</f>
        <v>33500</v>
      </c>
      <c r="F122" s="164"/>
      <c r="G122" s="192"/>
      <c r="I122" s="35"/>
      <c r="J122" s="35"/>
      <c r="K122" s="35"/>
      <c r="L122" s="74"/>
      <c r="M122" s="35">
        <v>9045</v>
      </c>
      <c r="N122" s="74"/>
      <c r="O122" s="74"/>
      <c r="P122" s="74"/>
      <c r="Q122" s="74"/>
      <c r="R122" s="35">
        <f t="shared" ref="R122:R128" si="185">SUM(C122+M122)</f>
        <v>42545</v>
      </c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/>
      <c r="AH122" s="164"/>
      <c r="AI122" s="164"/>
      <c r="AK122" s="164"/>
      <c r="AL122" s="74"/>
      <c r="AM122" s="74"/>
      <c r="AN122" s="74"/>
      <c r="AO122" s="74"/>
      <c r="AP122" s="74"/>
      <c r="AQ122" s="74"/>
      <c r="AR122" s="74"/>
      <c r="AS122" s="74"/>
      <c r="AT122" s="35"/>
      <c r="AU122" s="35"/>
      <c r="AV122"/>
      <c r="AW122"/>
      <c r="AX122"/>
      <c r="AY122"/>
      <c r="AZ122"/>
      <c r="BA122"/>
      <c r="BB122"/>
      <c r="BC122"/>
      <c r="BD122"/>
      <c r="BE122"/>
      <c r="BF122" s="301"/>
    </row>
    <row r="123" spans="1:66" s="9" customFormat="1" x14ac:dyDescent="0.2">
      <c r="A123" s="165"/>
      <c r="B123" t="s">
        <v>943</v>
      </c>
      <c r="C123" s="164">
        <f>5420-3059-2361</f>
        <v>0</v>
      </c>
      <c r="F123" s="164"/>
      <c r="G123" s="192"/>
      <c r="I123" s="35"/>
      <c r="J123" s="35"/>
      <c r="K123" s="35"/>
      <c r="L123" s="74"/>
      <c r="M123" s="35">
        <f>1463-1463</f>
        <v>0</v>
      </c>
      <c r="N123" s="74"/>
      <c r="O123" s="74"/>
      <c r="P123" s="74"/>
      <c r="Q123" s="74"/>
      <c r="R123" s="35">
        <f t="shared" si="185"/>
        <v>0</v>
      </c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/>
      <c r="AH123" s="164"/>
      <c r="AI123" s="164"/>
      <c r="AK123" s="164"/>
      <c r="AL123" s="74"/>
      <c r="AM123" s="74"/>
      <c r="AN123" s="74"/>
      <c r="AO123" s="74"/>
      <c r="AP123" s="74"/>
      <c r="AQ123" s="74"/>
      <c r="AR123" s="74"/>
      <c r="AS123" s="74"/>
      <c r="AT123" s="35"/>
      <c r="AU123" s="35"/>
      <c r="AV123"/>
      <c r="AW123"/>
      <c r="AX123"/>
      <c r="AY123"/>
      <c r="AZ123"/>
      <c r="BA123"/>
      <c r="BB123"/>
      <c r="BC123"/>
      <c r="BD123"/>
      <c r="BE123"/>
      <c r="BF123" s="301"/>
    </row>
    <row r="124" spans="1:66" s="9" customFormat="1" x14ac:dyDescent="0.2">
      <c r="A124" s="165"/>
      <c r="B124" t="s">
        <v>940</v>
      </c>
      <c r="C124" s="164">
        <v>5500</v>
      </c>
      <c r="F124" s="164"/>
      <c r="G124" s="192"/>
      <c r="I124" s="35"/>
      <c r="J124" s="35"/>
      <c r="K124" s="35"/>
      <c r="L124" s="74"/>
      <c r="M124" s="35">
        <v>1485</v>
      </c>
      <c r="N124" s="74"/>
      <c r="O124" s="74"/>
      <c r="P124" s="74"/>
      <c r="Q124" s="74"/>
      <c r="R124" s="35">
        <f t="shared" si="185"/>
        <v>6985</v>
      </c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/>
      <c r="AH124" s="164"/>
      <c r="AI124" s="164"/>
      <c r="AK124" s="164"/>
      <c r="AL124" s="74"/>
      <c r="AM124" s="74"/>
      <c r="AN124" s="74"/>
      <c r="AO124" s="74"/>
      <c r="AP124" s="74"/>
      <c r="AQ124" s="74"/>
      <c r="AR124" s="74"/>
      <c r="AS124" s="74"/>
      <c r="AT124" s="35"/>
      <c r="AU124" s="35"/>
      <c r="AV124"/>
      <c r="AW124"/>
      <c r="AX124"/>
      <c r="AY124"/>
      <c r="AZ124"/>
      <c r="BA124"/>
      <c r="BB124"/>
      <c r="BC124"/>
      <c r="BD124"/>
      <c r="BE124"/>
      <c r="BF124" s="301"/>
    </row>
    <row r="125" spans="1:66" s="9" customFormat="1" x14ac:dyDescent="0.2">
      <c r="A125" s="165"/>
      <c r="B125" t="s">
        <v>1013</v>
      </c>
      <c r="C125" s="164">
        <v>6090</v>
      </c>
      <c r="F125" s="164"/>
      <c r="G125" s="192"/>
      <c r="I125" s="35"/>
      <c r="J125" s="35"/>
      <c r="K125" s="35"/>
      <c r="L125" s="74"/>
      <c r="M125" s="35">
        <f>1654+37</f>
        <v>1691</v>
      </c>
      <c r="N125" s="74"/>
      <c r="O125" s="74"/>
      <c r="P125" s="74"/>
      <c r="Q125" s="74"/>
      <c r="R125" s="35">
        <f t="shared" si="185"/>
        <v>7781</v>
      </c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/>
      <c r="AH125" s="164"/>
      <c r="AI125" s="164"/>
      <c r="AK125" s="164"/>
      <c r="AL125" s="74"/>
      <c r="AM125" s="74"/>
      <c r="AN125" s="74"/>
      <c r="AO125" s="74"/>
      <c r="AP125" s="74"/>
      <c r="AQ125" s="74"/>
      <c r="AR125" s="74"/>
      <c r="AS125" s="74"/>
      <c r="AT125" s="35"/>
      <c r="AU125" s="35"/>
      <c r="AV125"/>
      <c r="AW125"/>
      <c r="AX125"/>
      <c r="AY125"/>
      <c r="AZ125"/>
      <c r="BA125"/>
      <c r="BB125"/>
      <c r="BC125"/>
      <c r="BD125"/>
      <c r="BE125"/>
      <c r="BF125" s="301"/>
    </row>
    <row r="126" spans="1:66" s="644" customFormat="1" ht="25.5" x14ac:dyDescent="0.2">
      <c r="A126" s="642"/>
      <c r="B126" s="225" t="s">
        <v>1072</v>
      </c>
      <c r="C126" s="643">
        <f>14960-8500</f>
        <v>6460</v>
      </c>
      <c r="D126" s="9"/>
      <c r="F126" s="225"/>
      <c r="G126" s="225"/>
      <c r="I126" s="645"/>
      <c r="J126" s="645"/>
      <c r="L126" s="225"/>
      <c r="M126" s="645">
        <f>4039-2295</f>
        <v>1744</v>
      </c>
      <c r="N126" s="646"/>
      <c r="O126" s="646"/>
      <c r="P126" s="646"/>
      <c r="Q126" s="646"/>
      <c r="R126" s="645">
        <f t="shared" si="185"/>
        <v>8204</v>
      </c>
      <c r="S126" s="646"/>
      <c r="T126" s="646"/>
      <c r="U126" s="646"/>
      <c r="V126" s="646"/>
      <c r="W126" s="646"/>
      <c r="X126" s="646"/>
      <c r="Y126" s="646"/>
      <c r="Z126" s="646"/>
      <c r="AA126" s="646"/>
      <c r="AB126" s="646"/>
      <c r="AC126" s="646"/>
      <c r="AD126" s="646"/>
      <c r="AE126" s="646"/>
      <c r="AF126" s="646"/>
      <c r="AG126" s="225"/>
      <c r="AH126" s="643"/>
      <c r="AI126" s="643"/>
      <c r="AK126" s="643"/>
      <c r="AL126" s="646"/>
      <c r="AM126" s="646"/>
      <c r="AN126" s="646"/>
      <c r="AO126" s="646"/>
      <c r="AP126" s="646"/>
      <c r="AQ126" s="646"/>
      <c r="AR126" s="646"/>
      <c r="AS126" s="646"/>
      <c r="AT126" s="645"/>
      <c r="AU126" s="645"/>
      <c r="AV126" s="225"/>
      <c r="AW126" s="225"/>
      <c r="AX126" s="225"/>
      <c r="AY126" s="225"/>
      <c r="AZ126" s="225"/>
      <c r="BA126" s="225"/>
      <c r="BB126" s="225"/>
      <c r="BC126" s="225"/>
      <c r="BD126" s="225"/>
      <c r="BE126" s="225"/>
      <c r="BF126" s="647"/>
      <c r="BN126" s="9"/>
    </row>
    <row r="127" spans="1:66" s="9" customFormat="1" x14ac:dyDescent="0.2">
      <c r="A127" s="165"/>
      <c r="B127" t="s">
        <v>941</v>
      </c>
      <c r="C127" s="164">
        <v>14000</v>
      </c>
      <c r="F127"/>
      <c r="G127"/>
      <c r="I127" s="35"/>
      <c r="J127" s="35"/>
      <c r="L127"/>
      <c r="M127" s="35">
        <v>3780</v>
      </c>
      <c r="N127" s="74"/>
      <c r="O127" s="74"/>
      <c r="P127" s="74"/>
      <c r="Q127" s="74"/>
      <c r="R127" s="35">
        <f t="shared" si="185"/>
        <v>17780</v>
      </c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/>
      <c r="AH127" s="164"/>
      <c r="AI127" s="164"/>
      <c r="AK127" s="164"/>
      <c r="AL127" s="74"/>
      <c r="AM127" s="74"/>
      <c r="AN127" s="74"/>
      <c r="AO127" s="74"/>
      <c r="AP127" s="74"/>
      <c r="AQ127" s="74"/>
      <c r="AR127" s="74"/>
      <c r="AS127" s="74"/>
      <c r="AT127" s="35"/>
      <c r="AU127" s="35"/>
      <c r="AV127"/>
      <c r="AW127"/>
      <c r="AX127"/>
      <c r="AY127"/>
      <c r="AZ127"/>
      <c r="BA127"/>
      <c r="BB127"/>
      <c r="BC127"/>
      <c r="BD127"/>
      <c r="BE127"/>
      <c r="BF127" s="301"/>
    </row>
    <row r="128" spans="1:66" s="9" customFormat="1" x14ac:dyDescent="0.2">
      <c r="A128" s="165"/>
      <c r="B128" t="s">
        <v>1014</v>
      </c>
      <c r="C128" s="164">
        <f>14173-14173</f>
        <v>0</v>
      </c>
      <c r="F128"/>
      <c r="G128"/>
      <c r="I128" s="35"/>
      <c r="J128" s="35"/>
      <c r="L128"/>
      <c r="M128" s="35">
        <f>3827-3827</f>
        <v>0</v>
      </c>
      <c r="N128" s="74"/>
      <c r="O128" s="74"/>
      <c r="P128" s="74"/>
      <c r="Q128" s="74"/>
      <c r="R128" s="35">
        <f t="shared" si="185"/>
        <v>0</v>
      </c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/>
      <c r="AH128" s="164"/>
      <c r="AI128" s="164"/>
      <c r="AK128" s="164"/>
      <c r="AL128" s="74"/>
      <c r="AM128" s="74"/>
      <c r="AN128" s="74"/>
      <c r="AO128" s="74"/>
      <c r="AP128" s="74"/>
      <c r="AQ128" s="74"/>
      <c r="AR128" s="74"/>
      <c r="AS128" s="74"/>
      <c r="AT128" s="35"/>
      <c r="AU128" s="35"/>
      <c r="AV128"/>
      <c r="AW128"/>
      <c r="AX128"/>
      <c r="AY128"/>
      <c r="AZ128"/>
      <c r="BA128"/>
      <c r="BB128"/>
      <c r="BC128"/>
      <c r="BD128"/>
      <c r="BE128"/>
      <c r="BF128" s="301"/>
    </row>
    <row r="129" spans="1:58" s="9" customFormat="1" x14ac:dyDescent="0.2">
      <c r="A129" s="165"/>
      <c r="B129"/>
      <c r="C129" s="164"/>
      <c r="F129"/>
      <c r="G129"/>
      <c r="I129" s="35"/>
      <c r="J129" s="35"/>
      <c r="L129"/>
      <c r="M129" s="35"/>
      <c r="N129" s="74"/>
      <c r="O129" s="74"/>
      <c r="P129" s="74"/>
      <c r="Q129" s="74"/>
      <c r="R129" s="35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  <c r="AC129" s="74"/>
      <c r="AD129" s="74"/>
      <c r="AE129" s="74"/>
      <c r="AF129" s="74"/>
      <c r="AG129"/>
      <c r="AH129" s="164"/>
      <c r="AI129" s="164"/>
      <c r="AK129" s="164"/>
      <c r="AL129" s="74"/>
      <c r="AM129" s="74"/>
      <c r="AN129" s="74"/>
      <c r="AO129" s="74"/>
      <c r="AP129" s="74"/>
      <c r="AQ129" s="74"/>
      <c r="AR129" s="74"/>
      <c r="AS129" s="74"/>
      <c r="AT129" s="35"/>
      <c r="AU129" s="35"/>
      <c r="AV129"/>
      <c r="AW129"/>
      <c r="AX129"/>
      <c r="AY129"/>
      <c r="AZ129"/>
      <c r="BA129"/>
      <c r="BB129"/>
      <c r="BC129"/>
      <c r="BD129"/>
      <c r="BE129"/>
      <c r="BF129" s="301"/>
    </row>
    <row r="130" spans="1:58" s="9" customFormat="1" hidden="1" x14ac:dyDescent="0.2">
      <c r="A130" s="165"/>
      <c r="B130" s="225" t="s">
        <v>933</v>
      </c>
      <c r="C130" s="164"/>
      <c r="F130"/>
      <c r="G130"/>
      <c r="I130" s="35"/>
      <c r="J130" s="35"/>
      <c r="L130"/>
      <c r="M130" s="35"/>
      <c r="N130" s="74"/>
      <c r="O130" s="74"/>
      <c r="P130" s="74"/>
      <c r="Q130" s="74"/>
      <c r="R130" s="35">
        <f>SUM(C130+M130)</f>
        <v>0</v>
      </c>
      <c r="S130" s="74"/>
      <c r="T130" s="74"/>
      <c r="U130" s="74"/>
      <c r="V130" s="74"/>
      <c r="W130" s="74"/>
      <c r="X130" s="74"/>
      <c r="Y130" s="74"/>
      <c r="Z130" s="74"/>
      <c r="AA130" s="74"/>
      <c r="AB130" s="74"/>
      <c r="AC130" s="74"/>
      <c r="AD130" s="74"/>
      <c r="AE130" s="74"/>
      <c r="AF130" s="74"/>
      <c r="AG130"/>
      <c r="AH130" s="164"/>
      <c r="AI130" s="164"/>
      <c r="AK130" s="164">
        <v>1555</v>
      </c>
      <c r="AL130" s="74"/>
      <c r="AM130" s="74"/>
      <c r="AN130" s="74"/>
      <c r="AO130" s="74"/>
      <c r="AP130" s="74"/>
      <c r="AQ130" s="74"/>
      <c r="AR130" s="74"/>
      <c r="AS130" s="74"/>
      <c r="AT130" s="35"/>
      <c r="AU130" s="35"/>
      <c r="AV130"/>
      <c r="AW130"/>
      <c r="AX130"/>
      <c r="AY130"/>
      <c r="AZ130"/>
      <c r="BA130"/>
      <c r="BB130"/>
      <c r="BC130"/>
      <c r="BD130"/>
      <c r="BE130"/>
      <c r="BF130" s="301"/>
    </row>
    <row r="131" spans="1:58" s="9" customFormat="1" hidden="1" x14ac:dyDescent="0.2">
      <c r="A131" s="165"/>
      <c r="B131" s="225" t="s">
        <v>1003</v>
      </c>
      <c r="C131" s="164"/>
      <c r="F131"/>
      <c r="G131"/>
      <c r="I131" s="35"/>
      <c r="J131" s="35"/>
      <c r="L131"/>
      <c r="M131" s="35"/>
      <c r="N131"/>
      <c r="O131"/>
      <c r="P131"/>
      <c r="Q131"/>
      <c r="R131" s="35">
        <f>SUM(C131+M131)</f>
        <v>0</v>
      </c>
      <c r="S131" s="74"/>
      <c r="T131" s="74"/>
      <c r="U131" s="74"/>
      <c r="V131" s="74"/>
      <c r="W131" s="74"/>
      <c r="X131" s="74"/>
      <c r="Y131" s="74"/>
      <c r="Z131" s="74"/>
      <c r="AA131" s="74"/>
      <c r="AB131" s="74"/>
      <c r="AC131" s="74"/>
      <c r="AD131" s="74"/>
      <c r="AE131" s="74"/>
      <c r="AF131" s="74"/>
      <c r="AG131" s="74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 s="301"/>
    </row>
    <row r="132" spans="1:58" s="9" customFormat="1" x14ac:dyDescent="0.2">
      <c r="A132" s="165"/>
      <c r="B132" t="s">
        <v>946</v>
      </c>
      <c r="C132" s="164">
        <v>720</v>
      </c>
      <c r="F132"/>
      <c r="G132"/>
      <c r="I132" s="35"/>
      <c r="J132" s="35"/>
      <c r="L132"/>
      <c r="M132" s="35">
        <v>194</v>
      </c>
      <c r="N132"/>
      <c r="O132"/>
      <c r="P132"/>
      <c r="Q132"/>
      <c r="R132" s="35">
        <f>SUM(C132+M132)</f>
        <v>914</v>
      </c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 s="301"/>
    </row>
    <row r="133" spans="1:58" s="9" customFormat="1" x14ac:dyDescent="0.2">
      <c r="A133" s="165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1:58" s="9" customFormat="1" x14ac:dyDescent="0.2">
      <c r="A134" s="165"/>
      <c r="B134" s="225" t="s">
        <v>947</v>
      </c>
      <c r="C134" s="164">
        <v>1000</v>
      </c>
      <c r="F134"/>
      <c r="G134"/>
      <c r="I134" s="35"/>
      <c r="J134" s="35"/>
      <c r="L134"/>
      <c r="M134" s="35">
        <v>270</v>
      </c>
      <c r="N134"/>
      <c r="O134"/>
      <c r="P134"/>
      <c r="Q134"/>
      <c r="R134" s="35">
        <f>SUM(C134+M134)</f>
        <v>1270</v>
      </c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1:58" s="9" customFormat="1" x14ac:dyDescent="0.2">
      <c r="A135" s="165"/>
      <c r="B135" s="225" t="s">
        <v>934</v>
      </c>
      <c r="C135" s="164">
        <v>2000</v>
      </c>
      <c r="F135"/>
      <c r="G135"/>
      <c r="I135" s="35"/>
      <c r="J135" s="35"/>
      <c r="L135"/>
      <c r="M135" s="35">
        <f>540</f>
        <v>540</v>
      </c>
      <c r="N135"/>
      <c r="O135"/>
      <c r="P135"/>
      <c r="Q135"/>
      <c r="R135" s="35">
        <f>SUM(C135+M135)</f>
        <v>2540</v>
      </c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1:58" s="9" customFormat="1" x14ac:dyDescent="0.2">
      <c r="A136" s="165"/>
      <c r="B136" s="225" t="s">
        <v>1073</v>
      </c>
      <c r="C136" s="164">
        <v>1000</v>
      </c>
      <c r="F136"/>
      <c r="G136"/>
      <c r="I136" s="35"/>
      <c r="J136" s="35"/>
      <c r="L136"/>
      <c r="M136" s="35">
        <v>270</v>
      </c>
      <c r="N136"/>
      <c r="O136"/>
      <c r="P136"/>
      <c r="Q136"/>
      <c r="R136" s="35">
        <f>SUM(C136+M136)</f>
        <v>1270</v>
      </c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1:58" s="9" customFormat="1" x14ac:dyDescent="0.2">
      <c r="A137" s="165"/>
      <c r="B137" s="225" t="s">
        <v>948</v>
      </c>
      <c r="C137" s="164">
        <v>1000</v>
      </c>
      <c r="F137"/>
      <c r="G137"/>
      <c r="I137" s="35"/>
      <c r="J137" s="35"/>
      <c r="L137"/>
      <c r="M137" s="35">
        <v>270</v>
      </c>
      <c r="N137"/>
      <c r="O137"/>
      <c r="P137"/>
      <c r="Q137"/>
      <c r="R137" s="35">
        <f>SUM(C137+M137)</f>
        <v>1270</v>
      </c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1:58" s="9" customFormat="1" x14ac:dyDescent="0.2">
      <c r="A138" s="165"/>
      <c r="B138" s="225"/>
      <c r="C138" s="225"/>
      <c r="F138"/>
      <c r="G138"/>
      <c r="I138" s="35"/>
      <c r="J138" s="35"/>
      <c r="L138"/>
      <c r="M138" s="35"/>
      <c r="N138"/>
      <c r="O138"/>
      <c r="P138"/>
      <c r="Q138"/>
      <c r="R138" s="35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1:58" s="9" customFormat="1" hidden="1" x14ac:dyDescent="0.2">
      <c r="A139" s="165"/>
      <c r="B139" s="225" t="s">
        <v>949</v>
      </c>
      <c r="C139" s="164"/>
      <c r="D139" s="164"/>
      <c r="F139"/>
      <c r="G139"/>
      <c r="I139" s="35"/>
      <c r="J139" s="35"/>
      <c r="L139"/>
      <c r="M139" s="35"/>
      <c r="N139"/>
      <c r="O139"/>
      <c r="P139"/>
      <c r="Q139"/>
      <c r="R139" s="35">
        <f t="shared" ref="R139:R145" si="186">SUM(C139+M139)</f>
        <v>0</v>
      </c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1:58" s="9" customFormat="1" x14ac:dyDescent="0.2">
      <c r="A140" s="165"/>
      <c r="B140" s="225" t="s">
        <v>950</v>
      </c>
      <c r="C140" s="164">
        <v>700</v>
      </c>
      <c r="D140" s="164"/>
      <c r="F140"/>
      <c r="G140"/>
      <c r="I140" s="35"/>
      <c r="J140" s="35"/>
      <c r="L140"/>
      <c r="M140" s="35">
        <v>189</v>
      </c>
      <c r="N140"/>
      <c r="O140"/>
      <c r="P140"/>
      <c r="Q140"/>
      <c r="R140" s="35">
        <f t="shared" si="186"/>
        <v>889</v>
      </c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1:58" s="9" customFormat="1" x14ac:dyDescent="0.2">
      <c r="A141" s="165"/>
      <c r="B141" s="225"/>
      <c r="C141" s="225"/>
      <c r="D141" s="164"/>
      <c r="F141"/>
      <c r="G141"/>
      <c r="I141" s="35"/>
      <c r="J141" s="35"/>
      <c r="L141"/>
      <c r="M141" s="35"/>
      <c r="N141"/>
      <c r="O141"/>
      <c r="P141"/>
      <c r="Q141"/>
      <c r="R141" s="35">
        <f t="shared" si="186"/>
        <v>0</v>
      </c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1:58" s="9" customFormat="1" x14ac:dyDescent="0.2">
      <c r="A142" s="165"/>
      <c r="B142" s="225" t="s">
        <v>952</v>
      </c>
      <c r="C142" s="164">
        <v>600</v>
      </c>
      <c r="D142" s="164"/>
      <c r="F142"/>
      <c r="G142"/>
      <c r="I142" s="35"/>
      <c r="J142" s="35"/>
      <c r="L142"/>
      <c r="M142" s="35">
        <v>162</v>
      </c>
      <c r="N142"/>
      <c r="O142"/>
      <c r="P142"/>
      <c r="Q142"/>
      <c r="R142" s="35">
        <f t="shared" si="186"/>
        <v>762</v>
      </c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1:58" s="9" customFormat="1" x14ac:dyDescent="0.2">
      <c r="A143" s="165"/>
      <c r="B143" s="225" t="s">
        <v>953</v>
      </c>
      <c r="C143" s="164">
        <v>2000</v>
      </c>
      <c r="D143" s="164"/>
      <c r="F143"/>
      <c r="G143"/>
      <c r="I143" s="35"/>
      <c r="J143" s="35"/>
      <c r="L143"/>
      <c r="M143" s="35">
        <v>540</v>
      </c>
      <c r="N143"/>
      <c r="O143"/>
      <c r="P143"/>
      <c r="Q143"/>
      <c r="R143" s="35">
        <f t="shared" si="186"/>
        <v>2540</v>
      </c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1:58" s="9" customFormat="1" x14ac:dyDescent="0.2">
      <c r="A144" s="165"/>
      <c r="B144" s="225" t="s">
        <v>954</v>
      </c>
      <c r="C144" s="164">
        <f>700+10</f>
        <v>710</v>
      </c>
      <c r="D144" s="164"/>
      <c r="F144"/>
      <c r="G144"/>
      <c r="I144" s="35"/>
      <c r="J144" s="35"/>
      <c r="L144"/>
      <c r="M144" s="35">
        <f>189-189</f>
        <v>0</v>
      </c>
      <c r="N144"/>
      <c r="O144"/>
      <c r="P144"/>
      <c r="Q144"/>
      <c r="R144" s="35">
        <f t="shared" si="186"/>
        <v>710</v>
      </c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1:66" s="9" customFormat="1" x14ac:dyDescent="0.2">
      <c r="A145" s="165"/>
      <c r="B145" t="s">
        <v>988</v>
      </c>
      <c r="C145" s="164">
        <v>360</v>
      </c>
      <c r="D145"/>
      <c r="F145"/>
      <c r="G145"/>
      <c r="I145" s="35"/>
      <c r="J145" s="35"/>
      <c r="L145"/>
      <c r="M145" s="35">
        <v>97</v>
      </c>
      <c r="N145"/>
      <c r="O145"/>
      <c r="P145"/>
      <c r="Q145"/>
      <c r="R145" s="35">
        <f t="shared" si="186"/>
        <v>457</v>
      </c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1:66" s="9" customFormat="1" ht="13.5" thickBot="1" x14ac:dyDescent="0.25">
      <c r="A146" s="165"/>
      <c r="B146"/>
      <c r="C146" s="164"/>
      <c r="D146"/>
      <c r="F146"/>
      <c r="G146"/>
      <c r="I146" s="35"/>
      <c r="J146" s="35"/>
      <c r="L146"/>
      <c r="M146" s="35"/>
      <c r="N146"/>
      <c r="O146"/>
      <c r="P146"/>
      <c r="Q146"/>
      <c r="R146" s="35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1:66" s="9" customFormat="1" ht="13.5" thickBot="1" x14ac:dyDescent="0.25">
      <c r="A147" s="165"/>
      <c r="B147" s="282" t="s">
        <v>44</v>
      </c>
      <c r="C147" s="193">
        <f>SUM(C111:C146)</f>
        <v>83685</v>
      </c>
      <c r="D147" s="407"/>
      <c r="E147" s="407"/>
      <c r="F147" s="193"/>
      <c r="G147" s="193"/>
      <c r="L147"/>
      <c r="M147" s="409">
        <f>SUM(M111:M146)</f>
        <v>22448</v>
      </c>
      <c r="R147" s="164">
        <f>SUM(C147:M147)</f>
        <v>106133</v>
      </c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1:66" hidden="1" x14ac:dyDescent="0.2">
      <c r="R148" s="35">
        <f>SUM(C147:M147)</f>
        <v>106133</v>
      </c>
      <c r="BN148" s="9"/>
    </row>
    <row r="149" spans="1:66" x14ac:dyDescent="0.2">
      <c r="BN149" s="9"/>
    </row>
    <row r="150" spans="1:66" x14ac:dyDescent="0.2">
      <c r="BN150" s="9"/>
    </row>
    <row r="151" spans="1:66" x14ac:dyDescent="0.2">
      <c r="BN151" s="9"/>
    </row>
    <row r="152" spans="1:66" x14ac:dyDescent="0.2">
      <c r="BN152" s="9"/>
    </row>
    <row r="153" spans="1:66" x14ac:dyDescent="0.2">
      <c r="BN153" s="9"/>
    </row>
    <row r="154" spans="1:66" x14ac:dyDescent="0.2">
      <c r="BN154" s="9"/>
    </row>
    <row r="155" spans="1:66" hidden="1" x14ac:dyDescent="0.2">
      <c r="C155">
        <f>(C27+C35+C36+C37+C38+C39+C40+C41+C42+C44+C45+C47+C48+C49+C50+C51+(C52)+C53+C54+C55+(C56-2500)+C66+C77+C78+C79+C86+(C94-3000))*0.27</f>
        <v>7211.7000000000007</v>
      </c>
      <c r="D155">
        <f t="shared" ref="D155:G155" si="187">(D27+D35+D36+D37+D38+D39+D40+D41+D42+D44+D45+D47+D48+D49+D50+D51+(D52)+D53+D54+D55+D66+D77+D78+D79+D86+(D94-1000))*0.27</f>
        <v>3923.1000000000004</v>
      </c>
      <c r="E155">
        <f t="shared" si="187"/>
        <v>3935.2500000000005</v>
      </c>
      <c r="F155">
        <f t="shared" si="187"/>
        <v>3674.7000000000003</v>
      </c>
      <c r="G155">
        <f t="shared" si="187"/>
        <v>3674.7000000000003</v>
      </c>
      <c r="H155">
        <f t="shared" ref="H155:V155" si="188">(H27+H35+H36+H37+H38+H39+H40+H41+H42+H44+H45+H47+H48+H49+H50+H51+H52+H53+H54+H66+H77+H78+H79+H86+H94)*0.27</f>
        <v>0</v>
      </c>
      <c r="I155">
        <f t="shared" si="188"/>
        <v>0</v>
      </c>
      <c r="J155">
        <f t="shared" si="188"/>
        <v>0</v>
      </c>
      <c r="K155">
        <f t="shared" si="188"/>
        <v>0</v>
      </c>
      <c r="L155">
        <f t="shared" si="188"/>
        <v>0</v>
      </c>
      <c r="M155">
        <f>(M27+M35+M36+M37+M38+M39+M40+M41+M42+M44+M45+M47+M48+M49+M50+M51+M52+M53+M54+M66+M77+M78+M79+M86+M94)*0.27</f>
        <v>14701.500000000002</v>
      </c>
      <c r="N155">
        <f t="shared" si="188"/>
        <v>14701.500000000002</v>
      </c>
      <c r="O155">
        <f t="shared" si="188"/>
        <v>19291.5</v>
      </c>
      <c r="P155">
        <f t="shared" si="188"/>
        <v>14701.500000000002</v>
      </c>
      <c r="Q155">
        <f t="shared" si="188"/>
        <v>14701.500000000002</v>
      </c>
      <c r="R155">
        <f t="shared" si="188"/>
        <v>1836.0000000000002</v>
      </c>
      <c r="S155">
        <f t="shared" si="188"/>
        <v>1971.0000000000002</v>
      </c>
      <c r="T155">
        <f t="shared" si="188"/>
        <v>1975.0500000000002</v>
      </c>
      <c r="U155">
        <f t="shared" si="188"/>
        <v>1836.0000000000002</v>
      </c>
      <c r="V155">
        <f t="shared" si="188"/>
        <v>1836.0000000000002</v>
      </c>
      <c r="W155">
        <f>(W27+W35+W36+W37+W38+W39+W40+W41+W42+W44+W45+W47+W48+W49+W50+W51+W52+W53+W54+(W66-868-2200-200)+W77+W78+(W79)+W83+W86+(W94-1500))*0.27+$M$147</f>
        <v>38062.639999999999</v>
      </c>
      <c r="X155">
        <f t="shared" ref="X155:AA155" si="189">(X27+X35+X36+X37+X38+X39+X40+X41+X42+X44+X45+X47+X48+X49+X50+X51+X52+X53+X54+(X66-868-2200-200)+X77+X78+(X79-2400)+X86+(X94))*0.27+$M$147</f>
        <v>43678.37</v>
      </c>
      <c r="Y155">
        <f t="shared" si="189"/>
        <v>50528.270000000004</v>
      </c>
      <c r="Z155">
        <f t="shared" si="189"/>
        <v>38740.880000000005</v>
      </c>
      <c r="AA155">
        <f t="shared" si="189"/>
        <v>38740.880000000005</v>
      </c>
      <c r="AB155">
        <f>(AB27+AB35+AB36+AB37+AB38+AB39+AB40+AB41+AB42+AB44+AB45+AB47+(AB48)+AB49+AB50+AB51+AB52+AB53+AB54+AB66+AB77+AB78+AB79+AB86+AB94)*0.27</f>
        <v>6603.6600000000008</v>
      </c>
      <c r="AC155">
        <f t="shared" ref="AC155:AF155" si="190">(AC27+AC35+AC36+AC37+AC38+AC39+AC40+AC41+AC42+AC44+AC45+AC47+(AC48)+AC49+AC50+AC51+AC52+AC53+AC54+AC66+AC77+AC78+AC79+AC86+AC94)*0.27</f>
        <v>6567.4800000000005</v>
      </c>
      <c r="AD155">
        <f t="shared" si="190"/>
        <v>7437.6900000000005</v>
      </c>
      <c r="AE155">
        <f t="shared" si="190"/>
        <v>6603.6600000000008</v>
      </c>
      <c r="AF155">
        <f t="shared" si="190"/>
        <v>6603.6600000000008</v>
      </c>
      <c r="AG155">
        <f t="shared" ref="AG155:AU155" si="191">(AG27+AG35+AG36+AG37+AG38+AG39+AG40+AG41+AG42+AG44+AG45+AG47+AG48+AG49+AG50+AG51+AG52+AG53+AG54+AG66+AG77+AG78+AG79+AG86+AG94)*0.27</f>
        <v>0</v>
      </c>
      <c r="AH155">
        <f t="shared" si="191"/>
        <v>0</v>
      </c>
      <c r="AI155">
        <f t="shared" si="191"/>
        <v>0</v>
      </c>
      <c r="AJ155">
        <f t="shared" si="191"/>
        <v>0</v>
      </c>
      <c r="AK155">
        <f t="shared" si="191"/>
        <v>0</v>
      </c>
      <c r="AL155">
        <f t="shared" si="191"/>
        <v>0</v>
      </c>
      <c r="AM155">
        <f t="shared" si="191"/>
        <v>0</v>
      </c>
      <c r="AN155">
        <f t="shared" si="191"/>
        <v>0</v>
      </c>
      <c r="AO155">
        <f t="shared" si="191"/>
        <v>0</v>
      </c>
      <c r="AP155">
        <f t="shared" si="191"/>
        <v>0</v>
      </c>
      <c r="AQ155">
        <f t="shared" si="191"/>
        <v>3488.4</v>
      </c>
      <c r="AR155">
        <f t="shared" si="191"/>
        <v>3488.4</v>
      </c>
      <c r="AS155">
        <f t="shared" si="191"/>
        <v>2678.4</v>
      </c>
      <c r="AT155">
        <f t="shared" si="191"/>
        <v>3488.4</v>
      </c>
      <c r="AU155">
        <f t="shared" si="191"/>
        <v>3488.4</v>
      </c>
      <c r="AV155">
        <f>(AV27+AV35+AV36+AV37+AV38+AV39+AV40+AV41+AV42+(AV44-250)+AV45+AV47+AV48+AV49+AV50+AV51+AV52+AV53+AV54+AV66+AV77+AV78+(AV79-1000)+(AV86-2000)+AV94)*0.27</f>
        <v>2003.4</v>
      </c>
      <c r="AW155">
        <f t="shared" ref="AW155:AZ155" si="192">(AW27+AW35+AW36+AW37+AW38+AW39+AW40+AW41+AW42+(AW44-250)+AW45+AW47+AW48+AW49+AW50+AW51+AW52+AW53+AW54+AW66+AW77+AW78+(AW79-1000)+(AW86-2000)+AW94)*0.27</f>
        <v>2216.1600000000003</v>
      </c>
      <c r="AX155">
        <f t="shared" si="192"/>
        <v>3053.1600000000003</v>
      </c>
      <c r="AY155">
        <f t="shared" si="192"/>
        <v>2003.4</v>
      </c>
      <c r="AZ155">
        <f t="shared" si="192"/>
        <v>2003.4</v>
      </c>
      <c r="BN155" s="9"/>
    </row>
    <row r="156" spans="1:66" hidden="1" x14ac:dyDescent="0.2">
      <c r="C156" t="s">
        <v>991</v>
      </c>
      <c r="BF156"/>
      <c r="BN156" s="9"/>
    </row>
    <row r="157" spans="1:66" hidden="1" x14ac:dyDescent="0.2">
      <c r="C157" t="s">
        <v>1012</v>
      </c>
      <c r="W157" s="428">
        <f>7500+868</f>
        <v>8368</v>
      </c>
      <c r="X157" s="601" t="s">
        <v>923</v>
      </c>
      <c r="Y157" t="s">
        <v>965</v>
      </c>
      <c r="AA157" t="s">
        <v>973</v>
      </c>
      <c r="BF157"/>
      <c r="BN157" s="9"/>
    </row>
    <row r="158" spans="1:66" hidden="1" x14ac:dyDescent="0.2">
      <c r="W158" t="s">
        <v>922</v>
      </c>
      <c r="BF158"/>
      <c r="BN158" s="9"/>
    </row>
    <row r="159" spans="1:66" hidden="1" x14ac:dyDescent="0.2">
      <c r="V159" s="600">
        <f>5000+7500+868+2500+(2200+200+200)+2000+900</f>
        <v>21368</v>
      </c>
      <c r="W159">
        <v>5000</v>
      </c>
      <c r="X159" t="s">
        <v>963</v>
      </c>
      <c r="BF159"/>
      <c r="BN159" s="9"/>
    </row>
    <row r="160" spans="1:66" hidden="1" x14ac:dyDescent="0.2">
      <c r="A160"/>
      <c r="H160"/>
      <c r="I160"/>
      <c r="J160"/>
      <c r="K160"/>
      <c r="W160">
        <v>2500</v>
      </c>
      <c r="X160" t="s">
        <v>964</v>
      </c>
      <c r="BF160"/>
      <c r="BN160" s="9"/>
    </row>
    <row r="161" spans="1:66" hidden="1" x14ac:dyDescent="0.2">
      <c r="A161"/>
      <c r="H161"/>
      <c r="I161"/>
      <c r="J161"/>
      <c r="K161"/>
      <c r="W161">
        <v>2200</v>
      </c>
      <c r="X161" t="s">
        <v>966</v>
      </c>
      <c r="BF161"/>
      <c r="BN161" s="9"/>
    </row>
    <row r="162" spans="1:66" hidden="1" x14ac:dyDescent="0.2">
      <c r="A162"/>
      <c r="H162"/>
      <c r="I162"/>
      <c r="J162"/>
      <c r="K162"/>
      <c r="W162">
        <v>200</v>
      </c>
      <c r="X162" t="s">
        <v>967</v>
      </c>
      <c r="BF162"/>
      <c r="BN162" s="9"/>
    </row>
    <row r="163" spans="1:66" hidden="1" x14ac:dyDescent="0.2">
      <c r="A163"/>
      <c r="H163"/>
      <c r="I163"/>
      <c r="J163"/>
      <c r="K163"/>
      <c r="W163">
        <v>200</v>
      </c>
      <c r="X163" t="s">
        <v>968</v>
      </c>
      <c r="BF163"/>
      <c r="BN163" s="9"/>
    </row>
    <row r="164" spans="1:66" hidden="1" x14ac:dyDescent="0.2">
      <c r="A164"/>
      <c r="H164"/>
      <c r="I164"/>
      <c r="J164"/>
      <c r="K164"/>
      <c r="W164">
        <v>2000</v>
      </c>
      <c r="X164" t="s">
        <v>969</v>
      </c>
      <c r="BF164"/>
      <c r="BN164" s="9"/>
    </row>
    <row r="165" spans="1:66" hidden="1" x14ac:dyDescent="0.2">
      <c r="A165"/>
      <c r="H165"/>
      <c r="I165"/>
      <c r="J165"/>
      <c r="K165"/>
      <c r="W165">
        <v>900</v>
      </c>
      <c r="X165" t="s">
        <v>970</v>
      </c>
      <c r="BF165"/>
      <c r="BN165" s="9"/>
    </row>
    <row r="166" spans="1:66" hidden="1" x14ac:dyDescent="0.2">
      <c r="A166"/>
      <c r="H166"/>
      <c r="I166"/>
      <c r="J166"/>
      <c r="K166"/>
      <c r="BF166"/>
      <c r="BN166" s="9"/>
    </row>
    <row r="167" spans="1:66" hidden="1" x14ac:dyDescent="0.2">
      <c r="A167"/>
      <c r="H167"/>
      <c r="I167"/>
      <c r="J167"/>
      <c r="K167"/>
      <c r="W167">
        <v>450</v>
      </c>
      <c r="AB167" t="s">
        <v>1011</v>
      </c>
      <c r="BF167"/>
      <c r="BN167" s="9"/>
    </row>
    <row r="168" spans="1:66" x14ac:dyDescent="0.2">
      <c r="A168"/>
      <c r="H168"/>
      <c r="I168"/>
      <c r="J168"/>
      <c r="K168"/>
      <c r="BF168"/>
      <c r="BN168" s="9"/>
    </row>
    <row r="169" spans="1:66" x14ac:dyDescent="0.2">
      <c r="A169"/>
      <c r="H169"/>
      <c r="I169"/>
      <c r="J169"/>
      <c r="K169"/>
      <c r="BF169"/>
      <c r="BN169" s="9"/>
    </row>
    <row r="170" spans="1:66" x14ac:dyDescent="0.2">
      <c r="A170"/>
      <c r="H170"/>
      <c r="I170"/>
      <c r="J170"/>
      <c r="K170"/>
      <c r="BF170"/>
      <c r="BN170" s="9"/>
    </row>
    <row r="171" spans="1:66" x14ac:dyDescent="0.2">
      <c r="A171"/>
      <c r="H171"/>
      <c r="I171"/>
      <c r="J171"/>
      <c r="K171"/>
      <c r="BF171"/>
      <c r="BN171" s="9"/>
    </row>
    <row r="172" spans="1:66" x14ac:dyDescent="0.2">
      <c r="A172"/>
      <c r="H172"/>
      <c r="I172"/>
      <c r="J172"/>
      <c r="K172"/>
      <c r="BF172"/>
      <c r="BN172" s="9"/>
    </row>
    <row r="173" spans="1:66" x14ac:dyDescent="0.2">
      <c r="A173"/>
      <c r="H173"/>
      <c r="I173"/>
      <c r="J173"/>
      <c r="K173"/>
      <c r="BF173"/>
      <c r="BN173" s="9"/>
    </row>
    <row r="174" spans="1:66" x14ac:dyDescent="0.2">
      <c r="A174"/>
      <c r="H174"/>
      <c r="I174"/>
      <c r="J174"/>
      <c r="K174"/>
      <c r="BF174"/>
      <c r="BN174" s="9"/>
    </row>
    <row r="175" spans="1:66" x14ac:dyDescent="0.2">
      <c r="A175"/>
      <c r="H175"/>
      <c r="I175"/>
      <c r="J175"/>
      <c r="K175"/>
      <c r="BF175"/>
      <c r="BN175" s="9"/>
    </row>
    <row r="176" spans="1:66" x14ac:dyDescent="0.2">
      <c r="BN176" s="9"/>
    </row>
    <row r="177" spans="1:66" x14ac:dyDescent="0.2">
      <c r="A177"/>
      <c r="H177"/>
      <c r="I177"/>
      <c r="J177"/>
      <c r="K177"/>
      <c r="BF177"/>
      <c r="BN177" s="9"/>
    </row>
    <row r="178" spans="1:66" x14ac:dyDescent="0.2">
      <c r="A178"/>
      <c r="H178"/>
      <c r="I178"/>
      <c r="J178"/>
      <c r="K178"/>
      <c r="BF178"/>
      <c r="BN178" s="9"/>
    </row>
    <row r="179" spans="1:66" x14ac:dyDescent="0.2">
      <c r="A179"/>
      <c r="H179"/>
      <c r="I179"/>
      <c r="J179"/>
      <c r="K179"/>
      <c r="BF179"/>
      <c r="BN179" s="9"/>
    </row>
    <row r="180" spans="1:66" x14ac:dyDescent="0.2">
      <c r="A180"/>
      <c r="H180"/>
      <c r="I180"/>
      <c r="J180"/>
      <c r="K180"/>
      <c r="BF180"/>
      <c r="BN180" s="9"/>
    </row>
    <row r="181" spans="1:66" x14ac:dyDescent="0.2">
      <c r="A181"/>
      <c r="H181"/>
      <c r="I181"/>
      <c r="J181"/>
      <c r="K181"/>
      <c r="BF181"/>
      <c r="BN181" s="9"/>
    </row>
    <row r="182" spans="1:66" x14ac:dyDescent="0.2">
      <c r="A182"/>
      <c r="H182"/>
      <c r="I182"/>
      <c r="J182"/>
      <c r="K182"/>
      <c r="BF182"/>
      <c r="BN182" s="9"/>
    </row>
    <row r="183" spans="1:66" x14ac:dyDescent="0.2">
      <c r="A183"/>
      <c r="H183"/>
      <c r="I183"/>
      <c r="J183"/>
      <c r="K183"/>
      <c r="BF183"/>
      <c r="BN183" s="9"/>
    </row>
    <row r="184" spans="1:66" x14ac:dyDescent="0.2">
      <c r="A184"/>
      <c r="H184"/>
      <c r="I184"/>
      <c r="J184"/>
      <c r="K184"/>
      <c r="BF184"/>
      <c r="BN184" s="9"/>
    </row>
    <row r="185" spans="1:66" x14ac:dyDescent="0.2">
      <c r="A185"/>
      <c r="H185"/>
      <c r="I185"/>
      <c r="J185"/>
      <c r="K185"/>
      <c r="BF185"/>
      <c r="BN185" s="9"/>
    </row>
    <row r="186" spans="1:66" x14ac:dyDescent="0.2">
      <c r="A186"/>
      <c r="H186"/>
      <c r="I186"/>
      <c r="J186"/>
      <c r="K186"/>
      <c r="BF186"/>
      <c r="BN186" s="9"/>
    </row>
    <row r="187" spans="1:66" x14ac:dyDescent="0.2">
      <c r="A187"/>
      <c r="H187"/>
      <c r="I187"/>
      <c r="J187"/>
      <c r="K187"/>
      <c r="BF187"/>
      <c r="BN187" s="9"/>
    </row>
    <row r="188" spans="1:66" x14ac:dyDescent="0.2">
      <c r="A188"/>
      <c r="H188"/>
      <c r="I188"/>
      <c r="J188"/>
      <c r="K188"/>
      <c r="BF188"/>
      <c r="BN188" s="9"/>
    </row>
    <row r="189" spans="1:66" x14ac:dyDescent="0.2">
      <c r="A189"/>
      <c r="H189"/>
      <c r="I189"/>
      <c r="J189"/>
      <c r="K189"/>
      <c r="BF189"/>
      <c r="BN189" s="9"/>
    </row>
    <row r="190" spans="1:66" x14ac:dyDescent="0.2">
      <c r="A190"/>
      <c r="H190"/>
      <c r="I190"/>
      <c r="J190"/>
      <c r="K190"/>
      <c r="BF190"/>
      <c r="BN190" s="9"/>
    </row>
    <row r="191" spans="1:66" x14ac:dyDescent="0.2">
      <c r="A191"/>
      <c r="H191"/>
      <c r="I191"/>
      <c r="J191"/>
      <c r="K191"/>
      <c r="BF191"/>
      <c r="BN191" s="9"/>
    </row>
    <row r="192" spans="1:66" x14ac:dyDescent="0.2">
      <c r="A192"/>
      <c r="H192"/>
      <c r="I192"/>
      <c r="J192"/>
      <c r="K192"/>
      <c r="BF192"/>
      <c r="BN192" s="9"/>
    </row>
    <row r="193" spans="1:66" x14ac:dyDescent="0.2">
      <c r="A193"/>
      <c r="H193"/>
      <c r="I193"/>
      <c r="J193"/>
      <c r="K193"/>
      <c r="BF193"/>
      <c r="BN193" s="9"/>
    </row>
    <row r="194" spans="1:66" x14ac:dyDescent="0.2">
      <c r="A194"/>
      <c r="H194"/>
      <c r="I194"/>
      <c r="J194"/>
      <c r="K194"/>
      <c r="BF194"/>
      <c r="BN194" s="9"/>
    </row>
    <row r="195" spans="1:66" x14ac:dyDescent="0.2">
      <c r="A195"/>
      <c r="H195"/>
      <c r="I195"/>
      <c r="J195"/>
      <c r="K195"/>
      <c r="BF195"/>
      <c r="BN195" s="9"/>
    </row>
    <row r="196" spans="1:66" x14ac:dyDescent="0.2">
      <c r="A196"/>
      <c r="H196"/>
      <c r="I196"/>
      <c r="J196"/>
      <c r="K196"/>
      <c r="BF196"/>
      <c r="BN196" s="9"/>
    </row>
    <row r="197" spans="1:66" x14ac:dyDescent="0.2">
      <c r="A197"/>
      <c r="H197"/>
      <c r="I197"/>
      <c r="J197"/>
      <c r="K197"/>
      <c r="BF197"/>
      <c r="BN197" s="9"/>
    </row>
    <row r="198" spans="1:66" x14ac:dyDescent="0.2">
      <c r="BN198" s="9"/>
    </row>
    <row r="199" spans="1:66" x14ac:dyDescent="0.2">
      <c r="BN199" s="9"/>
    </row>
    <row r="200" spans="1:66" x14ac:dyDescent="0.2">
      <c r="BN200" s="9"/>
    </row>
    <row r="201" spans="1:66" x14ac:dyDescent="0.2">
      <c r="BN201" s="9"/>
    </row>
    <row r="202" spans="1:66" x14ac:dyDescent="0.2">
      <c r="BN202" s="9"/>
    </row>
    <row r="203" spans="1:66" x14ac:dyDescent="0.2">
      <c r="BN203" s="9"/>
    </row>
    <row r="204" spans="1:66" x14ac:dyDescent="0.2">
      <c r="BN204" s="9"/>
    </row>
    <row r="205" spans="1:66" x14ac:dyDescent="0.2">
      <c r="BN205" s="9"/>
    </row>
    <row r="206" spans="1:66" x14ac:dyDescent="0.2">
      <c r="BN206" s="9"/>
    </row>
    <row r="207" spans="1:66" x14ac:dyDescent="0.2">
      <c r="BN207" s="9"/>
    </row>
    <row r="208" spans="1:66" x14ac:dyDescent="0.2">
      <c r="BN208" s="9"/>
    </row>
    <row r="209" spans="66:66" x14ac:dyDescent="0.2">
      <c r="BN209" s="9"/>
    </row>
    <row r="210" spans="66:66" x14ac:dyDescent="0.2">
      <c r="BN210" s="9"/>
    </row>
    <row r="211" spans="66:66" x14ac:dyDescent="0.2">
      <c r="BN211" s="9"/>
    </row>
    <row r="212" spans="66:66" x14ac:dyDescent="0.2">
      <c r="BN212" s="9"/>
    </row>
    <row r="213" spans="66:66" x14ac:dyDescent="0.2">
      <c r="BN213" s="9"/>
    </row>
    <row r="214" spans="66:66" x14ac:dyDescent="0.2">
      <c r="BN214" s="9"/>
    </row>
    <row r="215" spans="66:66" x14ac:dyDescent="0.2">
      <c r="BN215" s="9"/>
    </row>
    <row r="216" spans="66:66" x14ac:dyDescent="0.2">
      <c r="BN216" s="9"/>
    </row>
    <row r="217" spans="66:66" x14ac:dyDescent="0.2">
      <c r="BN217" s="9"/>
    </row>
    <row r="218" spans="66:66" x14ac:dyDescent="0.2">
      <c r="BN218" s="9"/>
    </row>
    <row r="219" spans="66:66" x14ac:dyDescent="0.2">
      <c r="BN219" s="9"/>
    </row>
    <row r="220" spans="66:66" x14ac:dyDescent="0.2">
      <c r="BN220" s="9"/>
    </row>
    <row r="221" spans="66:66" x14ac:dyDescent="0.2">
      <c r="BN221" s="9"/>
    </row>
    <row r="222" spans="66:66" x14ac:dyDescent="0.2">
      <c r="BN222" s="9"/>
    </row>
    <row r="223" spans="66:66" x14ac:dyDescent="0.2">
      <c r="BN223" s="9"/>
    </row>
    <row r="224" spans="66:66" x14ac:dyDescent="0.2">
      <c r="BN224" s="9"/>
    </row>
    <row r="225" spans="66:66" x14ac:dyDescent="0.2">
      <c r="BN225" s="9"/>
    </row>
    <row r="226" spans="66:66" x14ac:dyDescent="0.2">
      <c r="BN226" s="9"/>
    </row>
    <row r="227" spans="66:66" x14ac:dyDescent="0.2">
      <c r="BN227" s="9"/>
    </row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</sheetData>
  <mergeCells count="16">
    <mergeCell ref="BA9:BE9"/>
    <mergeCell ref="H9:L9"/>
    <mergeCell ref="M9:Q9"/>
    <mergeCell ref="R9:V9"/>
    <mergeCell ref="AL9:AP9"/>
    <mergeCell ref="W9:AA9"/>
    <mergeCell ref="AB9:AF9"/>
    <mergeCell ref="AG9:AK9"/>
    <mergeCell ref="AQ9:AU9"/>
    <mergeCell ref="AV9:AZ9"/>
    <mergeCell ref="C5:AC5"/>
    <mergeCell ref="C6:AC6"/>
    <mergeCell ref="C7:AC7"/>
    <mergeCell ref="A9:A10"/>
    <mergeCell ref="B9:B10"/>
    <mergeCell ref="C9:G9"/>
  </mergeCells>
  <phoneticPr fontId="14" type="noConversion"/>
  <pageMargins left="0.19685039370078741" right="0.15748031496062992" top="0.43307086614173229" bottom="0.15748031496062992" header="0.39370078740157483" footer="0.15748031496062992"/>
  <pageSetup paperSize="9" scale="65" orientation="landscape" r:id="rId1"/>
  <headerFooter alignWithMargins="0"/>
  <rowBreaks count="2" manualBreakCount="2">
    <brk id="51" max="54" man="1"/>
    <brk id="96" max="54" man="1"/>
  </rowBreaks>
  <colBreaks count="1" manualBreakCount="1">
    <brk id="27" max="1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20</vt:i4>
      </vt:variant>
    </vt:vector>
  </HeadingPairs>
  <TitlesOfParts>
    <vt:vector size="39" baseType="lpstr">
      <vt:lpstr>Összesítő</vt:lpstr>
      <vt:lpstr>1.Bev-kiad.</vt:lpstr>
      <vt:lpstr>2.működés</vt:lpstr>
      <vt:lpstr>3.felh</vt:lpstr>
      <vt:lpstr>4. Átadott p.eszk.</vt:lpstr>
      <vt:lpstr>5.Bev.össz</vt:lpstr>
      <vt:lpstr>6.Kiad.össz. </vt:lpstr>
      <vt:lpstr>7.finanszírozás.</vt:lpstr>
      <vt:lpstr>8.Önk.</vt:lpstr>
      <vt:lpstr>zöld város</vt:lpstr>
      <vt:lpstr>9.Hivatal</vt:lpstr>
      <vt:lpstr>10.Többéves, adósság</vt:lpstr>
      <vt:lpstr>11.Likviditás</vt:lpstr>
      <vt:lpstr>12. gördülő tervezés</vt:lpstr>
      <vt:lpstr>13. Eu projekt</vt:lpstr>
      <vt:lpstr>14.mérlegszerű kimutatás</vt:lpstr>
      <vt:lpstr>12.Tartalék</vt:lpstr>
      <vt:lpstr>Társulási fel. tájékoztatásul</vt:lpstr>
      <vt:lpstr>13.2.EU projekt részletesen</vt:lpstr>
      <vt:lpstr>'2.működés'!Nyomtatási_cím</vt:lpstr>
      <vt:lpstr>'6.Kiad.össz. '!Nyomtatási_cím</vt:lpstr>
      <vt:lpstr>'7.finanszírozás.'!Nyomtatási_cím</vt:lpstr>
      <vt:lpstr>'8.Önk.'!Nyomtatási_cím</vt:lpstr>
      <vt:lpstr>'9.Hivatal'!Nyomtatási_cím</vt:lpstr>
      <vt:lpstr>Összesítő!Nyomtatási_cím</vt:lpstr>
      <vt:lpstr>'1.Bev-kiad.'!Nyomtatási_terület</vt:lpstr>
      <vt:lpstr>'10.Többéves, adósság'!Nyomtatási_terület</vt:lpstr>
      <vt:lpstr>'11.Likviditás'!Nyomtatási_terület</vt:lpstr>
      <vt:lpstr>'12. gördülő tervezés'!Nyomtatási_terület</vt:lpstr>
      <vt:lpstr>'13. Eu projekt'!Nyomtatási_terület</vt:lpstr>
      <vt:lpstr>'2.működés'!Nyomtatási_terület</vt:lpstr>
      <vt:lpstr>'3.felh'!Nyomtatási_terület</vt:lpstr>
      <vt:lpstr>'4. Átadott p.eszk.'!Nyomtatási_terület</vt:lpstr>
      <vt:lpstr>'6.Kiad.össz. '!Nyomtatási_terület</vt:lpstr>
      <vt:lpstr>'7.finanszírozás.'!Nyomtatási_terület</vt:lpstr>
      <vt:lpstr>'8.Önk.'!Nyomtatási_terület</vt:lpstr>
      <vt:lpstr>'9.Hivatal'!Nyomtatási_terület</vt:lpstr>
      <vt:lpstr>Összesítő!Nyomtatási_terület</vt:lpstr>
      <vt:lpstr>'Társulási fel. tájékoztatásul'!Nyomtatási_terület</vt:lpstr>
    </vt:vector>
  </TitlesOfParts>
  <Company>Önkormányzat Bföldvár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Belovics Emilné</dc:creator>
  <cp:lastModifiedBy>WittmannZoltán</cp:lastModifiedBy>
  <cp:lastPrinted>2024-09-27T08:15:35Z</cp:lastPrinted>
  <dcterms:created xsi:type="dcterms:W3CDTF">2009-11-11T14:39:35Z</dcterms:created>
  <dcterms:modified xsi:type="dcterms:W3CDTF">2024-09-27T08:39:31Z</dcterms:modified>
</cp:coreProperties>
</file>