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2026\2026_BALATONFÖLDVÁR\2026_eimód_Bf\2026_október_Bföldvár\"/>
    </mc:Choice>
  </mc:AlternateContent>
  <xr:revisionPtr revIDLastSave="0" documentId="13_ncr:1_{401EC604-54AA-42AF-ADAE-EF560BDEA089}" xr6:coauthVersionLast="47" xr6:coauthVersionMax="47" xr10:uidLastSave="{00000000-0000-0000-0000-000000000000}"/>
  <bookViews>
    <workbookView xWindow="-120" yWindow="-120" windowWidth="29040" windowHeight="15720" tabRatio="929" xr2:uid="{00000000-000D-0000-FFFF-FFFF00000000}"/>
  </bookViews>
  <sheets>
    <sheet name="1.Bev-kiad." sheetId="36" r:id="rId1"/>
    <sheet name="2.működés" sheetId="57" r:id="rId2"/>
    <sheet name="Munka1" sheetId="104" state="hidden" r:id="rId3"/>
    <sheet name="3.felh" sheetId="58" r:id="rId4"/>
    <sheet name="4. Átadott p.eszk." sheetId="39" r:id="rId5"/>
    <sheet name="5.Bev.össz" sheetId="106" r:id="rId6"/>
    <sheet name="5.Bev.össz_" sheetId="99" state="hidden" r:id="rId7"/>
    <sheet name="6.Kiad.össz." sheetId="105" r:id="rId8"/>
    <sheet name="6.Kiad.össz._" sheetId="80" state="hidden" r:id="rId9"/>
    <sheet name="7.finanszírozás." sheetId="81" r:id="rId10"/>
    <sheet name="8.Önk." sheetId="82" r:id="rId11"/>
    <sheet name="9.Hivatal" sheetId="83" r:id="rId12"/>
    <sheet name="10.Adósság" sheetId="52" state="hidden" r:id="rId13"/>
    <sheet name="10.Likviditás" sheetId="53" r:id="rId14"/>
    <sheet name="12. gördülő tervezés" sheetId="97" state="hidden" r:id="rId15"/>
    <sheet name="13. Eu projekt" sheetId="56" state="hidden" r:id="rId16"/>
    <sheet name="14.Mérlegszerű kimutatás" sheetId="102" state="hidden" r:id="rId17"/>
    <sheet name="11.Tartalék" sheetId="103" r:id="rId18"/>
    <sheet name="12.Bev-kiad.mód.vált.indok" sheetId="96" r:id="rId19"/>
    <sheet name="Társulási fel. tájékoztatásul" sheetId="101" state="hidden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_FilterDatabase" localSheetId="0" hidden="1">'1.Bev-kiad.'!$B$1:$B$66</definedName>
    <definedName name="_xlnm._FilterDatabase" localSheetId="14" hidden="1">'12. gördülő tervezés'!$B$1:$B$64</definedName>
    <definedName name="_xlnm._FilterDatabase" localSheetId="1" hidden="1">'2.működés'!$B$1:$B$124</definedName>
    <definedName name="_xlnm._FilterDatabase" localSheetId="3" hidden="1">'3.felh'!$B$1:$B$46</definedName>
    <definedName name="adfadf">'[1]4.1. táj.'!#REF!</definedName>
    <definedName name="beruh" localSheetId="14">'[1]4.1. táj.'!#REF!</definedName>
    <definedName name="beruh" localSheetId="15">'[1]4.1. táj.'!#REF!</definedName>
    <definedName name="beruh" localSheetId="1">'[1]4.1. táj.'!#REF!</definedName>
    <definedName name="beruh" localSheetId="3">'[1]4.1. táj.'!#REF!</definedName>
    <definedName name="beruh" localSheetId="7">'[1]4.1. táj.'!#REF!</definedName>
    <definedName name="beruh" localSheetId="8">'[1]4.1. táj.'!#REF!</definedName>
    <definedName name="beruh" localSheetId="9">'[1]4.1. táj.'!#REF!</definedName>
    <definedName name="beruh" localSheetId="10">'[1]4.1. táj.'!#REF!</definedName>
    <definedName name="beruh" localSheetId="11">'[1]4.1. táj.'!#REF!</definedName>
    <definedName name="beruh">'[1]4.1. táj.'!#REF!</definedName>
    <definedName name="intézmények" localSheetId="14">'[2]4.1. táj.'!#REF!</definedName>
    <definedName name="intézmények" localSheetId="15">'[2]4.1. táj.'!#REF!</definedName>
    <definedName name="intézmények" localSheetId="1">'[2]4.1. táj.'!#REF!</definedName>
    <definedName name="intézmények" localSheetId="3">'[2]4.1. táj.'!#REF!</definedName>
    <definedName name="intézmények" localSheetId="7">'[2]4.1. táj.'!#REF!</definedName>
    <definedName name="intézmények" localSheetId="8">'[2]4.1. táj.'!#REF!</definedName>
    <definedName name="intézmények" localSheetId="9">'[2]4.1. táj.'!#REF!</definedName>
    <definedName name="intézmények" localSheetId="10">'[2]4.1. táj.'!#REF!</definedName>
    <definedName name="intézmények" localSheetId="11">'[2]4.1. táj.'!#REF!</definedName>
    <definedName name="intézmények">'[2]4.1. táj.'!#REF!</definedName>
    <definedName name="_xlnm.Print_Titles" localSheetId="18">'12.Bev-kiad.mód.vált.indok'!$7:$8</definedName>
    <definedName name="_xlnm.Print_Titles" localSheetId="1">'2.működés'!$7:$7</definedName>
    <definedName name="_xlnm.Print_Titles" localSheetId="7">'6.Kiad.össz.'!$A:$A</definedName>
    <definedName name="_xlnm.Print_Titles" localSheetId="8">'6.Kiad.össz._'!$A:$A</definedName>
    <definedName name="_xlnm.Print_Titles" localSheetId="9">'7.finanszírozás.'!$7:$8</definedName>
    <definedName name="_xlnm.Print_Titles" localSheetId="10">'8.Önk.'!$A:$B,'8.Önk.'!$5:$10</definedName>
    <definedName name="_xlnm.Print_Titles" localSheetId="11">'9.Hivatal'!$8:$9</definedName>
    <definedName name="_xlnm.Print_Area" localSheetId="0">'1.Bev-kiad.'!$A$1:$M$93</definedName>
    <definedName name="_xlnm.Print_Area" localSheetId="12">'10.Adósság'!$A$1:$O$32</definedName>
    <definedName name="_xlnm.Print_Area" localSheetId="13">'10.Likviditás'!$A$1:$N$32</definedName>
    <definedName name="_xlnm.Print_Area" localSheetId="14">'12. gördülő tervezés'!$A$1:$F$87</definedName>
    <definedName name="_xlnm.Print_Area" localSheetId="18">'12.Bev-kiad.mód.vált.indok'!$A$1:$G$212</definedName>
    <definedName name="_xlnm.Print_Area" localSheetId="15">'13. Eu projekt'!$A$1:$O$17</definedName>
    <definedName name="_xlnm.Print_Area" localSheetId="1">'2.működés'!$A$1:$M$152</definedName>
    <definedName name="_xlnm.Print_Area" localSheetId="3">'3.felh'!$A$1:$M$109</definedName>
    <definedName name="_xlnm.Print_Area" localSheetId="4">'4. Átadott p.eszk.'!$A$1:$L$80</definedName>
    <definedName name="_xlnm.Print_Area" localSheetId="7">'6.Kiad.össz.'!$A$1:$Y$62</definedName>
    <definedName name="_xlnm.Print_Area" localSheetId="8">'6.Kiad.össz._'!$A$1:$X$62</definedName>
    <definedName name="_xlnm.Print_Area" localSheetId="9">'7.finanszírozás.'!$A$1:$F$172</definedName>
    <definedName name="_xlnm.Print_Area" localSheetId="10">'8.Önk.'!$A$1:$CA$167</definedName>
    <definedName name="_xlnm.Print_Area" localSheetId="11">'9.Hivatal'!$A$1:$AE$102</definedName>
    <definedName name="_xlnm.Print_Area" localSheetId="19">'Társulási fel. tájékoztatásul'!$A$1:$S$60</definedName>
    <definedName name="qewrqewr" localSheetId="14">'[1]4.1. táj.'!#REF!</definedName>
    <definedName name="qewrqewr" localSheetId="7">'[1]4.1. táj.'!#REF!</definedName>
    <definedName name="qewrqewr" localSheetId="8">'[1]4.1. táj.'!#REF!</definedName>
    <definedName name="qewrqewr" localSheetId="9">'[1]4.1. táj.'!#REF!</definedName>
    <definedName name="qewrqewr" localSheetId="10">'[1]4.1. táj.'!#REF!</definedName>
    <definedName name="qewrqewr" localSheetId="11">'[1]4.1. táj.'!#REF!</definedName>
    <definedName name="qewrqewr">'[1]4.1. táj.'!#REF!</definedName>
    <definedName name="Z_ABF21C5C_6078_4D03_96DF_78390D4F8F84_.wvu.Cols" localSheetId="4" hidden="1">'4. Átadott p.eszk.'!#REF!,'4. Átadott p.eszk.'!$HS:$IV</definedName>
    <definedName name="Z_ABF21C5C_6078_4D03_96DF_78390D4F8F84_.wvu.FilterData" localSheetId="0" hidden="1">'1.Bev-kiad.'!$B$1:$B$66</definedName>
    <definedName name="Z_ABF21C5C_6078_4D03_96DF_78390D4F8F84_.wvu.FilterData" localSheetId="14" hidden="1">'12. gördülő tervezés'!$B$1:$B$64</definedName>
    <definedName name="Z_ABF21C5C_6078_4D03_96DF_78390D4F8F84_.wvu.FilterData" localSheetId="1" hidden="1">'2.működés'!$B$1:$B$124</definedName>
    <definedName name="Z_ABF21C5C_6078_4D03_96DF_78390D4F8F84_.wvu.FilterData" localSheetId="3" hidden="1">'3.felh'!$B$1:$B$46</definedName>
    <definedName name="Z_ABF21C5C_6078_4D03_96DF_78390D4F8F84_.wvu.PrintArea" localSheetId="0" hidden="1">'1.Bev-kiad.'!$B$1:$B$91</definedName>
    <definedName name="Z_ABF21C5C_6078_4D03_96DF_78390D4F8F84_.wvu.PrintArea" localSheetId="14" hidden="1">'12. gördülő tervezés'!$B$1:$B$81</definedName>
    <definedName name="Z_ABF21C5C_6078_4D03_96DF_78390D4F8F84_.wvu.PrintArea" localSheetId="1" hidden="1">'2.működés'!$B$1:$B$147</definedName>
    <definedName name="Z_ABF21C5C_6078_4D03_96DF_78390D4F8F84_.wvu.PrintArea" localSheetId="3" hidden="1">'3.felh'!$B$1:$B$96</definedName>
    <definedName name="Z_ABF21C5C_6078_4D03_96DF_78390D4F8F84_.wvu.PrintArea" localSheetId="4" hidden="1">'4. Átadott p.eszk.'!$A$1:$A$67</definedName>
    <definedName name="Z_ABF21C5C_6078_4D03_96DF_78390D4F8F84_.wvu.PrintArea" localSheetId="10" hidden="1">'8.Önk.'!$B$1:$B$7</definedName>
    <definedName name="Z_ABF21C5C_6078_4D03_96DF_78390D4F8F84_.wvu.PrintArea" localSheetId="11" hidden="1">'9.Hivatal'!$B$1:$B$6</definedName>
    <definedName name="Z_ABF21C5C_6078_4D03_96DF_78390D4F8F84_.wvu.Rows" localSheetId="0" hidden="1">'1.Bev-kiad.'!#REF!</definedName>
    <definedName name="Z_ABF21C5C_6078_4D03_96DF_78390D4F8F84_.wvu.Rows" localSheetId="14" hidden="1">'12. gördülő tervezés'!#REF!</definedName>
    <definedName name="Z_ABF21C5C_6078_4D03_96DF_78390D4F8F84_.wvu.Rows" localSheetId="1" hidden="1">'2.működés'!#REF!</definedName>
    <definedName name="Z_ABF21C5C_6078_4D03_96DF_78390D4F8F84_.wvu.Rows" localSheetId="3" hidden="1">'3.felh'!#REF!</definedName>
    <definedName name="Z_ABF21C5C_6078_4D03_96DF_78390D4F8F84_.wvu.Rows" localSheetId="4" hidden="1">'4. Átadott p.eszk.'!#REF!,'4. Átadott p.eszk.'!#REF!,'4. Átadott p.eszk.'!#REF!,'4. Átadott p.eszk.'!#REF!,'4. Átadott p.eszk.'!#REF!</definedName>
    <definedName name="Z_ABF21C5C_6078_4D03_96DF_78390D4F8F84_.wvu.Rows" localSheetId="10" hidden="1">'8.Önk.'!#REF!,'8.Önk.'!#REF!</definedName>
    <definedName name="Z_ABF21C5C_6078_4D03_96DF_78390D4F8F84_.wvu.Rows" localSheetId="11" hidden="1">'9.Hivatal'!#REF!,'9.Hivatal'!#REF!</definedName>
  </definedNames>
  <calcPr calcId="181029"/>
  <customWorkbookViews>
    <customWorkbookView name="Belovics Emilné - Egyéni látvány" guid="{ABF21C5C-6078-4D03-96DF-78390D4F8F84}" mergeInterval="0" personalView="1" maximized="1" windowWidth="1020" windowHeight="625" activeSheetId="1" showStatusbar="0"/>
  </customWorkbookViews>
</workbook>
</file>

<file path=xl/calcChain.xml><?xml version="1.0" encoding="utf-8"?>
<calcChain xmlns="http://schemas.openxmlformats.org/spreadsheetml/2006/main">
  <c r="E155" i="96" l="1"/>
  <c r="BO99" i="82"/>
  <c r="BO38" i="82"/>
  <c r="E38" i="82"/>
  <c r="F91" i="57"/>
  <c r="F85" i="57"/>
  <c r="G138" i="96"/>
  <c r="G191" i="96"/>
  <c r="F84" i="58"/>
  <c r="AF83" i="82"/>
  <c r="AF69" i="82"/>
  <c r="BH83" i="82"/>
  <c r="BO83" i="82"/>
  <c r="BO52" i="82"/>
  <c r="BO88" i="82"/>
  <c r="M27" i="105"/>
  <c r="L9" i="105"/>
  <c r="M36" i="106"/>
  <c r="M10" i="106"/>
  <c r="I55" i="106"/>
  <c r="I54" i="106"/>
  <c r="I46" i="106"/>
  <c r="I47" i="106"/>
  <c r="I48" i="106"/>
  <c r="I49" i="106"/>
  <c r="I50" i="106"/>
  <c r="I51" i="106"/>
  <c r="I52" i="106"/>
  <c r="I45" i="106"/>
  <c r="I44" i="106"/>
  <c r="I38" i="106"/>
  <c r="I37" i="106"/>
  <c r="I36" i="106"/>
  <c r="I27" i="106"/>
  <c r="I19" i="106"/>
  <c r="I18" i="106"/>
  <c r="I11" i="106"/>
  <c r="I10" i="106"/>
  <c r="N54" i="105"/>
  <c r="O54" i="105"/>
  <c r="K20" i="106"/>
  <c r="K12" i="106" s="1"/>
  <c r="L46" i="106"/>
  <c r="L45" i="106"/>
  <c r="L44" i="106"/>
  <c r="K10" i="106"/>
  <c r="J46" i="106" l="1"/>
  <c r="L12" i="106"/>
  <c r="J20" i="106"/>
  <c r="J12" i="106" s="1"/>
  <c r="F28" i="106"/>
  <c r="F20" i="106"/>
  <c r="P60" i="105"/>
  <c r="M62" i="106"/>
  <c r="C69" i="81"/>
  <c r="C70" i="81"/>
  <c r="D52" i="81"/>
  <c r="D11" i="81"/>
  <c r="A54" i="105" l="1"/>
  <c r="A36" i="105"/>
  <c r="A27" i="105"/>
  <c r="A19" i="105"/>
  <c r="A11" i="105"/>
  <c r="P24" i="53"/>
  <c r="Q15" i="53"/>
  <c r="Q16" i="53"/>
  <c r="Q17" i="53"/>
  <c r="K10" i="53" l="1"/>
  <c r="P26" i="53"/>
  <c r="P18" i="53"/>
  <c r="N25" i="53"/>
  <c r="Q25" i="53" s="1"/>
  <c r="N17" i="53"/>
  <c r="P25" i="53"/>
  <c r="P17" i="53"/>
  <c r="P16" i="53"/>
  <c r="P15" i="53"/>
  <c r="P14" i="53"/>
  <c r="P13" i="53"/>
  <c r="P12" i="53"/>
  <c r="P10" i="53"/>
  <c r="P9" i="53"/>
  <c r="Q20" i="53"/>
  <c r="E179" i="96" l="1"/>
  <c r="G32" i="96" l="1"/>
  <c r="F137" i="57"/>
  <c r="AK83" i="82"/>
  <c r="BT93" i="82"/>
  <c r="BU93" i="82"/>
  <c r="BV93" i="82"/>
  <c r="AM99" i="82"/>
  <c r="BU90" i="82"/>
  <c r="BU91" i="82"/>
  <c r="BV91" i="82"/>
  <c r="BU92" i="82"/>
  <c r="BV92" i="82"/>
  <c r="E31" i="83"/>
  <c r="E30" i="83"/>
  <c r="AM12" i="82"/>
  <c r="AF12" i="82"/>
  <c r="Y83" i="82"/>
  <c r="Y82" i="82"/>
  <c r="AF86" i="82"/>
  <c r="AF79" i="82"/>
  <c r="R145" i="82"/>
  <c r="R136" i="82"/>
  <c r="R137" i="82"/>
  <c r="R141" i="82"/>
  <c r="R132" i="82"/>
  <c r="R129" i="82"/>
  <c r="E132" i="82"/>
  <c r="E129" i="82"/>
  <c r="E137" i="82"/>
  <c r="E136" i="82"/>
  <c r="E141" i="82"/>
  <c r="E145" i="82"/>
  <c r="BH63" i="82"/>
  <c r="BH61" i="82"/>
  <c r="BH53" i="82"/>
  <c r="Y53" i="82"/>
  <c r="E53" i="82"/>
  <c r="BO47" i="82"/>
  <c r="BH47" i="82"/>
  <c r="Y47" i="82"/>
  <c r="BO39" i="82"/>
  <c r="E35" i="82"/>
  <c r="BH35" i="82"/>
  <c r="AM28" i="82"/>
  <c r="BH28" i="82"/>
  <c r="BO35" i="82"/>
  <c r="AF35" i="82"/>
  <c r="AF33" i="82"/>
  <c r="Y33" i="82"/>
  <c r="Y28" i="82"/>
  <c r="AF17" i="82"/>
  <c r="BH17" i="82"/>
  <c r="BO17" i="82"/>
  <c r="F66" i="58"/>
  <c r="F64" i="58"/>
  <c r="F59" i="58"/>
  <c r="F55" i="58"/>
  <c r="F99" i="57"/>
  <c r="E57" i="96"/>
  <c r="F96" i="57"/>
  <c r="F69" i="57"/>
  <c r="F56" i="36"/>
  <c r="D56" i="36"/>
  <c r="C56" i="36"/>
  <c r="E61" i="36"/>
  <c r="F61" i="36"/>
  <c r="D61" i="36"/>
  <c r="C61" i="36"/>
  <c r="F113" i="57"/>
  <c r="D113" i="57"/>
  <c r="C113" i="57"/>
  <c r="E120" i="57"/>
  <c r="F88" i="36"/>
  <c r="D88" i="36"/>
  <c r="C88" i="36"/>
  <c r="F87" i="36"/>
  <c r="D87" i="36"/>
  <c r="C87" i="36"/>
  <c r="BH124" i="82"/>
  <c r="F77" i="58"/>
  <c r="E67" i="58"/>
  <c r="AF53" i="82"/>
  <c r="BH99" i="82"/>
  <c r="F86" i="58"/>
  <c r="BT92" i="82"/>
  <c r="BT91" i="82"/>
  <c r="F97" i="57"/>
  <c r="AF105" i="82"/>
  <c r="E33" i="82"/>
  <c r="E27" i="82"/>
  <c r="E22" i="82"/>
  <c r="F100" i="57"/>
  <c r="AM51" i="82"/>
  <c r="E16" i="39"/>
  <c r="BV73" i="82"/>
  <c r="BU73" i="82"/>
  <c r="BT73" i="82"/>
  <c r="F30" i="58"/>
  <c r="E38" i="39"/>
  <c r="D64" i="39"/>
  <c r="AF90" i="82"/>
  <c r="BV90" i="82" s="1"/>
  <c r="BT90" i="82"/>
  <c r="G156" i="96"/>
  <c r="G105" i="96"/>
  <c r="G109" i="96"/>
  <c r="E192" i="96"/>
  <c r="E146" i="96"/>
  <c r="G16" i="96"/>
  <c r="E147" i="96"/>
  <c r="G147" i="96" s="1"/>
  <c r="G52" i="96"/>
  <c r="G20" i="96"/>
  <c r="E87" i="36" l="1"/>
  <c r="R89" i="57"/>
  <c r="R88" i="57"/>
  <c r="G66" i="96"/>
  <c r="F88" i="96"/>
  <c r="F87" i="96"/>
  <c r="F103" i="96"/>
  <c r="F126" i="96"/>
  <c r="Z95" i="83"/>
  <c r="F104" i="57"/>
  <c r="E61" i="83"/>
  <c r="E57" i="83"/>
  <c r="E56" i="83"/>
  <c r="E47" i="83"/>
  <c r="E46" i="83"/>
  <c r="AI11" i="83"/>
  <c r="E21" i="83"/>
  <c r="L21" i="83"/>
  <c r="E15" i="83"/>
  <c r="E14" i="83"/>
  <c r="E24" i="83"/>
  <c r="E11" i="83"/>
  <c r="L43" i="106" l="1"/>
  <c r="L42" i="106"/>
  <c r="L41" i="106"/>
  <c r="L40" i="106"/>
  <c r="L39" i="106"/>
  <c r="L38" i="106"/>
  <c r="L36" i="106"/>
  <c r="L25" i="106"/>
  <c r="L17" i="106" s="1"/>
  <c r="L23" i="106"/>
  <c r="L15" i="106" s="1"/>
  <c r="L22" i="106"/>
  <c r="L14" i="106" s="1"/>
  <c r="L16" i="106"/>
  <c r="L13" i="106"/>
  <c r="L11" i="106"/>
  <c r="L10" i="106"/>
  <c r="K43" i="106"/>
  <c r="K42" i="106"/>
  <c r="K41" i="106"/>
  <c r="K40" i="106"/>
  <c r="K39" i="106"/>
  <c r="K38" i="106"/>
  <c r="K56" i="106" s="1"/>
  <c r="K36" i="106"/>
  <c r="K54" i="106" s="1"/>
  <c r="J45" i="106"/>
  <c r="J37" i="106" s="1"/>
  <c r="J43" i="106"/>
  <c r="J42" i="106"/>
  <c r="J41" i="106"/>
  <c r="J40" i="106"/>
  <c r="J39" i="106"/>
  <c r="J38" i="106"/>
  <c r="J56" i="106" s="1"/>
  <c r="J36" i="106"/>
  <c r="J18" i="106"/>
  <c r="J10" i="106"/>
  <c r="D53" i="106"/>
  <c r="M53" i="106" s="1"/>
  <c r="D52" i="106"/>
  <c r="M52" i="106" s="1"/>
  <c r="A52" i="106"/>
  <c r="B51" i="106"/>
  <c r="B43" i="106" s="1"/>
  <c r="A51" i="106"/>
  <c r="A49" i="106"/>
  <c r="A48" i="106"/>
  <c r="A47" i="106"/>
  <c r="A46" i="106"/>
  <c r="A44" i="105" s="1"/>
  <c r="A45" i="106"/>
  <c r="D44" i="106"/>
  <c r="D36" i="106" s="1"/>
  <c r="A44" i="106"/>
  <c r="C43" i="106"/>
  <c r="C42" i="106"/>
  <c r="C41" i="106"/>
  <c r="C40" i="106"/>
  <c r="C39" i="106"/>
  <c r="C38" i="106"/>
  <c r="C37" i="106"/>
  <c r="H36" i="106"/>
  <c r="G36" i="106"/>
  <c r="F36" i="106"/>
  <c r="E36" i="106"/>
  <c r="C36" i="106"/>
  <c r="B36" i="106"/>
  <c r="H35" i="106"/>
  <c r="D35" i="106"/>
  <c r="A35" i="106"/>
  <c r="F34" i="106"/>
  <c r="F17" i="106" s="1"/>
  <c r="F61" i="106" s="1"/>
  <c r="D34" i="106"/>
  <c r="A34" i="106"/>
  <c r="D33" i="106"/>
  <c r="F32" i="106"/>
  <c r="H32" i="106" s="1"/>
  <c r="D32" i="106"/>
  <c r="F31" i="106"/>
  <c r="H31" i="106" s="1"/>
  <c r="D31" i="106"/>
  <c r="F30" i="106"/>
  <c r="H30" i="106" s="1"/>
  <c r="D30" i="106"/>
  <c r="F29" i="106"/>
  <c r="H29" i="106" s="1"/>
  <c r="D29" i="106"/>
  <c r="H28" i="106"/>
  <c r="D28" i="106"/>
  <c r="H27" i="106"/>
  <c r="M27" i="106" s="1"/>
  <c r="H26" i="106"/>
  <c r="D26" i="106"/>
  <c r="H25" i="106"/>
  <c r="C25" i="106"/>
  <c r="C17" i="106" s="1"/>
  <c r="H24" i="106"/>
  <c r="D24" i="106"/>
  <c r="H18" i="106"/>
  <c r="D18" i="106"/>
  <c r="D10" i="106" s="1"/>
  <c r="G16" i="106"/>
  <c r="G60" i="106" s="1"/>
  <c r="E16" i="106"/>
  <c r="E60" i="106" s="1"/>
  <c r="C16" i="106"/>
  <c r="B16" i="106"/>
  <c r="G15" i="106"/>
  <c r="G59" i="106" s="1"/>
  <c r="G14" i="106"/>
  <c r="G58" i="106" s="1"/>
  <c r="G13" i="106"/>
  <c r="G57" i="106" s="1"/>
  <c r="G12" i="106"/>
  <c r="G56" i="106" s="1"/>
  <c r="G11" i="106"/>
  <c r="G55" i="106" s="1"/>
  <c r="G10" i="106"/>
  <c r="F10" i="106"/>
  <c r="E10" i="106"/>
  <c r="C10" i="106"/>
  <c r="C54" i="106" s="1"/>
  <c r="B10" i="106"/>
  <c r="M2" i="106"/>
  <c r="M44" i="105"/>
  <c r="M32" i="105"/>
  <c r="M31" i="105"/>
  <c r="M30" i="105"/>
  <c r="M29" i="105"/>
  <c r="M28" i="105"/>
  <c r="Y59" i="105"/>
  <c r="X59" i="105"/>
  <c r="W59" i="105"/>
  <c r="V59" i="105"/>
  <c r="U59" i="105"/>
  <c r="T59" i="105"/>
  <c r="S59" i="105"/>
  <c r="R59" i="105"/>
  <c r="A59" i="105"/>
  <c r="Y58" i="105"/>
  <c r="X58" i="105"/>
  <c r="W58" i="105"/>
  <c r="V58" i="105"/>
  <c r="U58" i="105"/>
  <c r="T58" i="105"/>
  <c r="S58" i="105"/>
  <c r="R58" i="105"/>
  <c r="A58" i="105"/>
  <c r="A57" i="105"/>
  <c r="A56" i="105"/>
  <c r="A55" i="105"/>
  <c r="A53" i="105"/>
  <c r="A51" i="105"/>
  <c r="A50" i="105"/>
  <c r="Q49" i="105"/>
  <c r="Q41" i="105" s="1"/>
  <c r="I49" i="105"/>
  <c r="I41" i="105" s="1"/>
  <c r="D49" i="105"/>
  <c r="D41" i="105" s="1"/>
  <c r="C49" i="105"/>
  <c r="C41" i="105" s="1"/>
  <c r="B49" i="105"/>
  <c r="B41" i="105" s="1"/>
  <c r="A49" i="105"/>
  <c r="Q48" i="105"/>
  <c r="Q40" i="105" s="1"/>
  <c r="I48" i="105"/>
  <c r="I40" i="105" s="1"/>
  <c r="M40" i="105" s="1"/>
  <c r="F48" i="105"/>
  <c r="F40" i="105" s="1"/>
  <c r="D48" i="105"/>
  <c r="D40" i="105" s="1"/>
  <c r="C48" i="105"/>
  <c r="C40" i="105" s="1"/>
  <c r="B48" i="105"/>
  <c r="B40" i="105" s="1"/>
  <c r="A48" i="105"/>
  <c r="Q47" i="105"/>
  <c r="I47" i="105"/>
  <c r="L47" i="105" s="1"/>
  <c r="D47" i="105"/>
  <c r="D39" i="105" s="1"/>
  <c r="C47" i="105"/>
  <c r="C39" i="105" s="1"/>
  <c r="B47" i="105"/>
  <c r="B39" i="105" s="1"/>
  <c r="A47" i="105"/>
  <c r="Q46" i="105"/>
  <c r="Q38" i="105" s="1"/>
  <c r="I46" i="105"/>
  <c r="L46" i="105" s="1"/>
  <c r="D46" i="105"/>
  <c r="D38" i="105" s="1"/>
  <c r="C46" i="105"/>
  <c r="C38" i="105" s="1"/>
  <c r="B46" i="105"/>
  <c r="A46" i="105"/>
  <c r="Q45" i="105"/>
  <c r="Q37" i="105" s="1"/>
  <c r="I45" i="105"/>
  <c r="I37" i="105" s="1"/>
  <c r="D45" i="105"/>
  <c r="D37" i="105" s="1"/>
  <c r="C45" i="105"/>
  <c r="C37" i="105" s="1"/>
  <c r="B45" i="105"/>
  <c r="B37" i="105" s="1"/>
  <c r="A45" i="105"/>
  <c r="Q44" i="105"/>
  <c r="Q36" i="105" s="1"/>
  <c r="I44" i="105"/>
  <c r="L44" i="105" s="1"/>
  <c r="Q43" i="105"/>
  <c r="Q35" i="105" s="1"/>
  <c r="I43" i="105"/>
  <c r="L43" i="105" s="1"/>
  <c r="D43" i="105"/>
  <c r="D35" i="105" s="1"/>
  <c r="C43" i="105"/>
  <c r="C35" i="105" s="1"/>
  <c r="B43" i="105"/>
  <c r="Q42" i="105"/>
  <c r="Q34" i="105" s="1"/>
  <c r="I42" i="105"/>
  <c r="L42" i="105" s="1"/>
  <c r="L34" i="105" s="1"/>
  <c r="A42" i="105"/>
  <c r="K41" i="105"/>
  <c r="J41" i="105"/>
  <c r="G41" i="105"/>
  <c r="O41" i="105"/>
  <c r="N41" i="105"/>
  <c r="F41" i="105"/>
  <c r="E41" i="105"/>
  <c r="A41" i="105"/>
  <c r="K40" i="105"/>
  <c r="J40" i="105"/>
  <c r="G40" i="105"/>
  <c r="O40" i="105"/>
  <c r="N40" i="105"/>
  <c r="E40" i="105"/>
  <c r="A40" i="105"/>
  <c r="Y39" i="105"/>
  <c r="X39" i="105"/>
  <c r="W39" i="105"/>
  <c r="V39" i="105"/>
  <c r="U39" i="105"/>
  <c r="T39" i="105"/>
  <c r="S39" i="105"/>
  <c r="R39" i="105"/>
  <c r="Q39" i="105"/>
  <c r="K39" i="105"/>
  <c r="J39" i="105"/>
  <c r="G39" i="105"/>
  <c r="O39" i="105"/>
  <c r="N39" i="105"/>
  <c r="F39" i="105"/>
  <c r="E39" i="105"/>
  <c r="A39" i="105"/>
  <c r="Y38" i="105"/>
  <c r="X38" i="105"/>
  <c r="W38" i="105"/>
  <c r="V38" i="105"/>
  <c r="U38" i="105"/>
  <c r="T38" i="105"/>
  <c r="S38" i="105"/>
  <c r="R38" i="105"/>
  <c r="K38" i="105"/>
  <c r="J38" i="105"/>
  <c r="G38" i="105"/>
  <c r="O38" i="105"/>
  <c r="N38" i="105"/>
  <c r="F38" i="105"/>
  <c r="E38" i="105"/>
  <c r="A38" i="105"/>
  <c r="Y37" i="105"/>
  <c r="X37" i="105"/>
  <c r="W37" i="105"/>
  <c r="V37" i="105"/>
  <c r="U37" i="105"/>
  <c r="T37" i="105"/>
  <c r="S37" i="105"/>
  <c r="R37" i="105"/>
  <c r="K37" i="105"/>
  <c r="J37" i="105"/>
  <c r="G37" i="105"/>
  <c r="O37" i="105"/>
  <c r="N37" i="105"/>
  <c r="F37" i="105"/>
  <c r="E37" i="105"/>
  <c r="A37" i="105"/>
  <c r="Y36" i="105"/>
  <c r="X36" i="105"/>
  <c r="X54" i="105" s="1"/>
  <c r="W36" i="105"/>
  <c r="V36" i="105"/>
  <c r="U36" i="105"/>
  <c r="T36" i="105"/>
  <c r="S36" i="105"/>
  <c r="R36" i="105"/>
  <c r="K36" i="105"/>
  <c r="J36" i="105"/>
  <c r="G36" i="105"/>
  <c r="O36" i="105"/>
  <c r="N36" i="105"/>
  <c r="F36" i="105"/>
  <c r="E36" i="105"/>
  <c r="Y35" i="105"/>
  <c r="X35" i="105"/>
  <c r="W35" i="105"/>
  <c r="V35" i="105"/>
  <c r="U35" i="105"/>
  <c r="T35" i="105"/>
  <c r="S35" i="105"/>
  <c r="R35" i="105"/>
  <c r="K35" i="105"/>
  <c r="J35" i="105"/>
  <c r="G35" i="105"/>
  <c r="O35" i="105"/>
  <c r="N35" i="105"/>
  <c r="F35" i="105"/>
  <c r="E35" i="105"/>
  <c r="A35" i="105"/>
  <c r="Y34" i="105"/>
  <c r="X34" i="105"/>
  <c r="W34" i="105"/>
  <c r="V34" i="105"/>
  <c r="U34" i="105"/>
  <c r="T34" i="105"/>
  <c r="S34" i="105"/>
  <c r="R34" i="105"/>
  <c r="K34" i="105"/>
  <c r="J34" i="105"/>
  <c r="G34" i="105"/>
  <c r="O34" i="105"/>
  <c r="N34" i="105"/>
  <c r="F34" i="105"/>
  <c r="E34" i="105"/>
  <c r="A33" i="105"/>
  <c r="L32" i="105"/>
  <c r="F32" i="105"/>
  <c r="H32" i="105" s="1"/>
  <c r="A32" i="105"/>
  <c r="L31" i="105"/>
  <c r="F31" i="105"/>
  <c r="H31" i="105" s="1"/>
  <c r="A31" i="105"/>
  <c r="Q30" i="105"/>
  <c r="L30" i="105"/>
  <c r="F30" i="105"/>
  <c r="H30" i="105" s="1"/>
  <c r="A30" i="105"/>
  <c r="Q29" i="105"/>
  <c r="L29" i="105"/>
  <c r="F29" i="105"/>
  <c r="H29" i="105" s="1"/>
  <c r="A29" i="105"/>
  <c r="Q28" i="105"/>
  <c r="F28" i="105"/>
  <c r="H28" i="105" s="1"/>
  <c r="P28" i="105" s="1"/>
  <c r="A28" i="105"/>
  <c r="Q27" i="105"/>
  <c r="F27" i="105"/>
  <c r="H27" i="105" s="1"/>
  <c r="P27" i="105" s="1"/>
  <c r="Q26" i="105"/>
  <c r="L26" i="105"/>
  <c r="F26" i="105"/>
  <c r="H26" i="105" s="1"/>
  <c r="M26" i="105" s="1"/>
  <c r="A26" i="105"/>
  <c r="Q25" i="105"/>
  <c r="F25" i="105"/>
  <c r="H25" i="105" s="1"/>
  <c r="P25" i="105" s="1"/>
  <c r="Q24" i="105"/>
  <c r="Q16" i="105" s="1"/>
  <c r="K24" i="105"/>
  <c r="K16" i="105" s="1"/>
  <c r="G24" i="105"/>
  <c r="G16" i="105" s="1"/>
  <c r="A24" i="105"/>
  <c r="Q23" i="105"/>
  <c r="Q15" i="105" s="1"/>
  <c r="K23" i="105"/>
  <c r="K15" i="105" s="1"/>
  <c r="A23" i="105"/>
  <c r="Q22" i="105"/>
  <c r="Q14" i="105" s="1"/>
  <c r="K22" i="105"/>
  <c r="K14" i="105" s="1"/>
  <c r="G22" i="105"/>
  <c r="G14" i="105" s="1"/>
  <c r="A22" i="105"/>
  <c r="Q21" i="105"/>
  <c r="Q13" i="105" s="1"/>
  <c r="G21" i="105"/>
  <c r="G13" i="105" s="1"/>
  <c r="A21" i="105"/>
  <c r="Q20" i="105"/>
  <c r="Q12" i="105" s="1"/>
  <c r="G20" i="105"/>
  <c r="G12" i="105" s="1"/>
  <c r="A20" i="105"/>
  <c r="Q19" i="105"/>
  <c r="Q11" i="105" s="1"/>
  <c r="G19" i="105"/>
  <c r="G11" i="105" s="1"/>
  <c r="Q18" i="105"/>
  <c r="Q10" i="105" s="1"/>
  <c r="G18" i="105"/>
  <c r="G10" i="105" s="1"/>
  <c r="A18" i="105"/>
  <c r="A43" i="105" s="1"/>
  <c r="Q17" i="105"/>
  <c r="Q9" i="105" s="1"/>
  <c r="L17" i="105"/>
  <c r="F17" i="105"/>
  <c r="E17" i="105"/>
  <c r="E9" i="105" s="1"/>
  <c r="A16" i="105"/>
  <c r="G15" i="105"/>
  <c r="O15" i="105"/>
  <c r="N15" i="105"/>
  <c r="E15" i="105"/>
  <c r="E58" i="105" s="1"/>
  <c r="D15" i="105"/>
  <c r="C15" i="105"/>
  <c r="B15" i="105"/>
  <c r="A15" i="105"/>
  <c r="Y14" i="105"/>
  <c r="X14" i="105"/>
  <c r="W14" i="105"/>
  <c r="V14" i="105"/>
  <c r="U14" i="105"/>
  <c r="T14" i="105"/>
  <c r="S14" i="105"/>
  <c r="R14" i="105"/>
  <c r="A14" i="105"/>
  <c r="Y13" i="105"/>
  <c r="X13" i="105"/>
  <c r="W13" i="105"/>
  <c r="V13" i="105"/>
  <c r="U13" i="105"/>
  <c r="T13" i="105"/>
  <c r="S13" i="105"/>
  <c r="R13" i="105"/>
  <c r="A13" i="105"/>
  <c r="Y12" i="105"/>
  <c r="Y55" i="105" s="1"/>
  <c r="X12" i="105"/>
  <c r="W12" i="105"/>
  <c r="W55" i="105" s="1"/>
  <c r="V12" i="105"/>
  <c r="U12" i="105"/>
  <c r="T12" i="105"/>
  <c r="S12" i="105"/>
  <c r="S55" i="105" s="1"/>
  <c r="R12" i="105"/>
  <c r="A12" i="105"/>
  <c r="Y11" i="105"/>
  <c r="X11" i="105"/>
  <c r="W11" i="105"/>
  <c r="V11" i="105"/>
  <c r="U11" i="105"/>
  <c r="T11" i="105"/>
  <c r="S11" i="105"/>
  <c r="R11" i="105"/>
  <c r="Y10" i="105"/>
  <c r="X10" i="105"/>
  <c r="W10" i="105"/>
  <c r="V10" i="105"/>
  <c r="U10" i="105"/>
  <c r="T10" i="105"/>
  <c r="S10" i="105"/>
  <c r="R10" i="105"/>
  <c r="A10" i="105"/>
  <c r="Y9" i="105"/>
  <c r="X9" i="105"/>
  <c r="W9" i="105"/>
  <c r="V9" i="105"/>
  <c r="U9" i="105"/>
  <c r="T9" i="105"/>
  <c r="S9" i="105"/>
  <c r="R9" i="105"/>
  <c r="K9" i="105"/>
  <c r="J9" i="105"/>
  <c r="I9" i="105"/>
  <c r="G9" i="105"/>
  <c r="O9" i="105"/>
  <c r="N9" i="105"/>
  <c r="N52" i="105" s="1"/>
  <c r="P2" i="105"/>
  <c r="BH126" i="82"/>
  <c r="V99" i="57"/>
  <c r="F98" i="57"/>
  <c r="L56" i="106" l="1"/>
  <c r="M46" i="105"/>
  <c r="M48" i="105"/>
  <c r="M41" i="105"/>
  <c r="M47" i="105"/>
  <c r="M49" i="105"/>
  <c r="M45" i="105"/>
  <c r="T57" i="105"/>
  <c r="G57" i="105"/>
  <c r="M37" i="105"/>
  <c r="S57" i="105"/>
  <c r="Y57" i="105"/>
  <c r="R56" i="105"/>
  <c r="X56" i="105"/>
  <c r="S56" i="105"/>
  <c r="Y56" i="105"/>
  <c r="J54" i="106"/>
  <c r="C61" i="106"/>
  <c r="M25" i="105"/>
  <c r="M28" i="106"/>
  <c r="H10" i="106"/>
  <c r="H54" i="106" s="1"/>
  <c r="L54" i="106"/>
  <c r="G54" i="106"/>
  <c r="M18" i="106"/>
  <c r="M44" i="106"/>
  <c r="M30" i="106"/>
  <c r="M31" i="106"/>
  <c r="M24" i="106"/>
  <c r="E54" i="106"/>
  <c r="M29" i="106"/>
  <c r="M32" i="106"/>
  <c r="B54" i="106"/>
  <c r="F54" i="106"/>
  <c r="C60" i="106"/>
  <c r="D51" i="106"/>
  <c r="D43" i="106" s="1"/>
  <c r="M43" i="106" s="1"/>
  <c r="M26" i="106"/>
  <c r="D54" i="106"/>
  <c r="M35" i="106"/>
  <c r="D16" i="106"/>
  <c r="W56" i="105"/>
  <c r="D58" i="105"/>
  <c r="W54" i="105"/>
  <c r="G53" i="105"/>
  <c r="R55" i="105"/>
  <c r="X55" i="105"/>
  <c r="K58" i="105"/>
  <c r="U57" i="105"/>
  <c r="R54" i="105"/>
  <c r="O52" i="105"/>
  <c r="F9" i="105"/>
  <c r="F52" i="105" s="1"/>
  <c r="V56" i="105"/>
  <c r="U52" i="105"/>
  <c r="Q56" i="105"/>
  <c r="W53" i="105"/>
  <c r="V57" i="105"/>
  <c r="K59" i="105"/>
  <c r="Q53" i="105"/>
  <c r="P29" i="105"/>
  <c r="H46" i="105"/>
  <c r="P46" i="105" s="1"/>
  <c r="Q55" i="105"/>
  <c r="I34" i="105"/>
  <c r="I52" i="105" s="1"/>
  <c r="T56" i="105"/>
  <c r="K57" i="105"/>
  <c r="P31" i="105"/>
  <c r="G52" i="105"/>
  <c r="R53" i="105"/>
  <c r="X53" i="105"/>
  <c r="I38" i="105"/>
  <c r="I39" i="105"/>
  <c r="J52" i="105"/>
  <c r="P32" i="105"/>
  <c r="V52" i="105"/>
  <c r="V53" i="105"/>
  <c r="E52" i="105"/>
  <c r="B38" i="105"/>
  <c r="S52" i="105"/>
  <c r="Y52" i="105"/>
  <c r="U54" i="105"/>
  <c r="U56" i="105"/>
  <c r="P26" i="105"/>
  <c r="L37" i="105"/>
  <c r="V54" i="105"/>
  <c r="G56" i="105"/>
  <c r="L45" i="105"/>
  <c r="G54" i="105"/>
  <c r="T55" i="105"/>
  <c r="L40" i="105"/>
  <c r="U53" i="105"/>
  <c r="P30" i="105"/>
  <c r="H43" i="105"/>
  <c r="I35" i="105"/>
  <c r="L35" i="105" s="1"/>
  <c r="H45" i="105"/>
  <c r="L48" i="105"/>
  <c r="H49" i="105"/>
  <c r="H41" i="105" s="1"/>
  <c r="R52" i="105"/>
  <c r="X52" i="105"/>
  <c r="C58" i="105"/>
  <c r="G58" i="105"/>
  <c r="Q59" i="105"/>
  <c r="I36" i="105"/>
  <c r="H48" i="105"/>
  <c r="H40" i="105" s="1"/>
  <c r="L41" i="105"/>
  <c r="S53" i="105"/>
  <c r="W57" i="105"/>
  <c r="Y53" i="105"/>
  <c r="S54" i="105"/>
  <c r="Y54" i="105"/>
  <c r="H47" i="105"/>
  <c r="T52" i="105"/>
  <c r="T53" i="105"/>
  <c r="T54" i="105"/>
  <c r="G55" i="105"/>
  <c r="U55" i="105"/>
  <c r="R57" i="105"/>
  <c r="X57" i="105"/>
  <c r="G59" i="105"/>
  <c r="B35" i="105"/>
  <c r="W52" i="105"/>
  <c r="Q57" i="105"/>
  <c r="K52" i="105"/>
  <c r="V55" i="105"/>
  <c r="L52" i="105"/>
  <c r="Q52" i="105"/>
  <c r="Q54" i="105"/>
  <c r="Q58" i="105"/>
  <c r="L49" i="105"/>
  <c r="B58" i="105"/>
  <c r="F95" i="57"/>
  <c r="L39" i="105" l="1"/>
  <c r="M39" i="105"/>
  <c r="H35" i="105"/>
  <c r="M35" i="105" s="1"/>
  <c r="M43" i="105"/>
  <c r="L38" i="105"/>
  <c r="M38" i="105"/>
  <c r="L36" i="105"/>
  <c r="M36" i="105"/>
  <c r="M54" i="106"/>
  <c r="M51" i="106"/>
  <c r="P48" i="105"/>
  <c r="H38" i="105"/>
  <c r="P40" i="105"/>
  <c r="P43" i="105"/>
  <c r="P41" i="105"/>
  <c r="P45" i="105"/>
  <c r="H37" i="105"/>
  <c r="P37" i="105" s="1"/>
  <c r="P49" i="105"/>
  <c r="P35" i="105"/>
  <c r="P47" i="105"/>
  <c r="H39" i="105"/>
  <c r="R64" i="57"/>
  <c r="F64" i="57"/>
  <c r="P38" i="105" l="1"/>
  <c r="P39" i="105"/>
  <c r="F59" i="57"/>
  <c r="R59" i="57"/>
  <c r="F60" i="57"/>
  <c r="R60" i="57"/>
  <c r="R57" i="57"/>
  <c r="F57" i="57"/>
  <c r="F25" i="57"/>
  <c r="E12" i="39" s="1"/>
  <c r="R25" i="57"/>
  <c r="R54" i="57"/>
  <c r="F54" i="57"/>
  <c r="F35" i="57"/>
  <c r="R35" i="57"/>
  <c r="F49" i="57" l="1"/>
  <c r="R49" i="57"/>
  <c r="F31" i="57"/>
  <c r="R31" i="57"/>
  <c r="F33" i="57"/>
  <c r="R33" i="57"/>
  <c r="E27" i="83"/>
  <c r="X12" i="83"/>
  <c r="Y12" i="83"/>
  <c r="Z12" i="83"/>
  <c r="Z98" i="83"/>
  <c r="E28" i="83" l="1"/>
  <c r="E25" i="83"/>
  <c r="D38" i="39"/>
  <c r="D40" i="39"/>
  <c r="D41" i="39"/>
  <c r="D42" i="39"/>
  <c r="D44" i="39"/>
  <c r="D45" i="39"/>
  <c r="D46" i="39"/>
  <c r="D47" i="39"/>
  <c r="D48" i="39"/>
  <c r="D49" i="39"/>
  <c r="D50" i="39"/>
  <c r="D51" i="39"/>
  <c r="D52" i="39"/>
  <c r="D53" i="39"/>
  <c r="D54" i="39"/>
  <c r="D55" i="39"/>
  <c r="D56" i="39"/>
  <c r="D58" i="39"/>
  <c r="D59" i="39"/>
  <c r="D60" i="39"/>
  <c r="D61" i="39"/>
  <c r="D62" i="39"/>
  <c r="D63" i="39"/>
  <c r="D35" i="39"/>
  <c r="D32" i="39"/>
  <c r="D33" i="39"/>
  <c r="D34" i="39"/>
  <c r="D31" i="39"/>
  <c r="D19" i="39"/>
  <c r="D17" i="39"/>
  <c r="D18" i="39"/>
  <c r="E97" i="58"/>
  <c r="E98" i="58"/>
  <c r="E99" i="58"/>
  <c r="E100" i="58"/>
  <c r="E102" i="58"/>
  <c r="E105" i="58"/>
  <c r="E106" i="58"/>
  <c r="E107" i="58"/>
  <c r="E108" i="58"/>
  <c r="E83" i="58"/>
  <c r="E84" i="58"/>
  <c r="E85" i="58"/>
  <c r="E86" i="58"/>
  <c r="E87" i="58"/>
  <c r="E88" i="58"/>
  <c r="E73" i="58"/>
  <c r="E77" i="58"/>
  <c r="E70" i="58"/>
  <c r="E55" i="58"/>
  <c r="E56" i="58"/>
  <c r="E57" i="58"/>
  <c r="E58" i="58"/>
  <c r="E59" i="58"/>
  <c r="E60" i="58"/>
  <c r="E61" i="58"/>
  <c r="E62" i="58"/>
  <c r="E63" i="58"/>
  <c r="E64" i="58"/>
  <c r="E65" i="58"/>
  <c r="E66" i="58"/>
  <c r="E68" i="58"/>
  <c r="E50" i="58"/>
  <c r="E31" i="58"/>
  <c r="E32" i="58"/>
  <c r="E33" i="58"/>
  <c r="E35" i="58"/>
  <c r="E36" i="58"/>
  <c r="E37" i="58"/>
  <c r="E44" i="58"/>
  <c r="E30" i="58"/>
  <c r="E29" i="58"/>
  <c r="E24" i="58"/>
  <c r="E25" i="58"/>
  <c r="E9" i="58"/>
  <c r="E10" i="58"/>
  <c r="E11" i="58"/>
  <c r="E12" i="58"/>
  <c r="E15" i="58"/>
  <c r="E137" i="57"/>
  <c r="E138" i="57"/>
  <c r="E139" i="57"/>
  <c r="E140" i="57"/>
  <c r="E143" i="57"/>
  <c r="E144" i="57"/>
  <c r="F121" i="57"/>
  <c r="F118" i="57"/>
  <c r="F114" i="57"/>
  <c r="F112" i="57" s="1"/>
  <c r="F105" i="57"/>
  <c r="C20" i="106" s="1"/>
  <c r="C12" i="106" s="1"/>
  <c r="C56" i="106" s="1"/>
  <c r="F101" i="57"/>
  <c r="F88" i="57"/>
  <c r="F84" i="57"/>
  <c r="F81" i="57"/>
  <c r="F80" i="57"/>
  <c r="F67" i="57"/>
  <c r="F62" i="57"/>
  <c r="F61" i="57"/>
  <c r="F58" i="57"/>
  <c r="F55" i="57"/>
  <c r="F53" i="57"/>
  <c r="F48" i="57"/>
  <c r="F43" i="57"/>
  <c r="F38" i="57"/>
  <c r="F37" i="57"/>
  <c r="F32" i="57"/>
  <c r="F30" i="57"/>
  <c r="F28" i="57" s="1"/>
  <c r="F26" i="57" s="1"/>
  <c r="F17" i="57"/>
  <c r="F14" i="57"/>
  <c r="E13" i="57"/>
  <c r="E15" i="57"/>
  <c r="E16" i="57"/>
  <c r="E18" i="57"/>
  <c r="E19" i="57"/>
  <c r="E20" i="57"/>
  <c r="E21" i="57"/>
  <c r="E22" i="57"/>
  <c r="E23" i="57"/>
  <c r="E24" i="57"/>
  <c r="E25" i="57"/>
  <c r="E27" i="57"/>
  <c r="E29" i="57"/>
  <c r="E31" i="57"/>
  <c r="E33" i="57"/>
  <c r="E34" i="57"/>
  <c r="E35" i="57"/>
  <c r="E36" i="57"/>
  <c r="E39" i="57"/>
  <c r="E40" i="57"/>
  <c r="E41" i="57"/>
  <c r="E42" i="57"/>
  <c r="E44" i="57"/>
  <c r="E45" i="57"/>
  <c r="E46" i="57"/>
  <c r="E49" i="57"/>
  <c r="E50" i="57"/>
  <c r="E51" i="57"/>
  <c r="E52" i="57"/>
  <c r="E54" i="57"/>
  <c r="E56" i="57"/>
  <c r="E57" i="57"/>
  <c r="E59" i="57"/>
  <c r="E63" i="57"/>
  <c r="E65" i="57"/>
  <c r="E66" i="57"/>
  <c r="E68" i="57"/>
  <c r="E69" i="57"/>
  <c r="E70" i="57"/>
  <c r="E71" i="57"/>
  <c r="E72" i="57"/>
  <c r="E73" i="57"/>
  <c r="E74" i="57"/>
  <c r="E75" i="57"/>
  <c r="E77" i="57"/>
  <c r="E78" i="57"/>
  <c r="E79" i="57"/>
  <c r="E82" i="57"/>
  <c r="E83" i="57"/>
  <c r="E85" i="57"/>
  <c r="E86" i="57"/>
  <c r="E87" i="57"/>
  <c r="E89" i="57"/>
  <c r="E90" i="57"/>
  <c r="E91" i="57"/>
  <c r="E92" i="57"/>
  <c r="E94" i="57"/>
  <c r="E95" i="57"/>
  <c r="E98" i="57"/>
  <c r="E102" i="57"/>
  <c r="E103" i="57"/>
  <c r="E106" i="57"/>
  <c r="E107" i="57"/>
  <c r="E108" i="57"/>
  <c r="E109" i="57"/>
  <c r="E110" i="57"/>
  <c r="E111" i="57"/>
  <c r="E116" i="57"/>
  <c r="E117" i="57"/>
  <c r="E119" i="57"/>
  <c r="E122" i="57"/>
  <c r="E74" i="36"/>
  <c r="E75" i="36"/>
  <c r="E81" i="36"/>
  <c r="E85" i="36"/>
  <c r="E89" i="36"/>
  <c r="E90" i="36"/>
  <c r="E11" i="36"/>
  <c r="E12" i="36"/>
  <c r="E13" i="36"/>
  <c r="E14" i="36"/>
  <c r="E15" i="36"/>
  <c r="E16" i="36"/>
  <c r="E18" i="36"/>
  <c r="E19" i="36"/>
  <c r="E20" i="36"/>
  <c r="E21" i="36"/>
  <c r="E22" i="36"/>
  <c r="E24" i="36"/>
  <c r="E25" i="36"/>
  <c r="E26" i="36"/>
  <c r="E27" i="36"/>
  <c r="E28" i="36"/>
  <c r="E29" i="36"/>
  <c r="E31" i="36"/>
  <c r="E32" i="36"/>
  <c r="E33" i="36"/>
  <c r="E34" i="36"/>
  <c r="E35" i="36"/>
  <c r="E36" i="36"/>
  <c r="E37" i="36"/>
  <c r="E38" i="36"/>
  <c r="E39" i="36"/>
  <c r="E40" i="36"/>
  <c r="E42" i="36"/>
  <c r="E43" i="36"/>
  <c r="E44" i="36"/>
  <c r="E45" i="36"/>
  <c r="E46" i="36"/>
  <c r="E48" i="36"/>
  <c r="E49" i="36"/>
  <c r="E50" i="36"/>
  <c r="E52" i="36"/>
  <c r="E53" i="36"/>
  <c r="E54" i="36"/>
  <c r="F12" i="57" l="1"/>
  <c r="F11" i="57" s="1"/>
  <c r="F76" i="57"/>
  <c r="F47" i="57"/>
  <c r="F93" i="57"/>
  <c r="F10" i="57" l="1"/>
  <c r="F9" i="57" l="1"/>
  <c r="F8" i="57" l="1"/>
  <c r="Z24" i="83" l="1"/>
  <c r="Y24" i="83"/>
  <c r="X24" i="83"/>
  <c r="E29" i="83"/>
  <c r="L85" i="83"/>
  <c r="L72" i="83"/>
  <c r="L69" i="83"/>
  <c r="L51" i="83"/>
  <c r="L42" i="83"/>
  <c r="E85" i="83"/>
  <c r="E77" i="83"/>
  <c r="E72" i="83" s="1"/>
  <c r="E69" i="83"/>
  <c r="E51" i="83"/>
  <c r="E42" i="83"/>
  <c r="L30" i="83"/>
  <c r="L29" i="83"/>
  <c r="Q34" i="80" l="1"/>
  <c r="R34" i="80"/>
  <c r="R52" i="80" s="1"/>
  <c r="S34" i="80"/>
  <c r="T34" i="80"/>
  <c r="U34" i="80"/>
  <c r="U52" i="80" s="1"/>
  <c r="V34" i="80"/>
  <c r="V52" i="80" s="1"/>
  <c r="W34" i="80"/>
  <c r="W52" i="80" s="1"/>
  <c r="X34" i="80"/>
  <c r="Q35" i="80"/>
  <c r="R35" i="80"/>
  <c r="S35" i="80"/>
  <c r="T35" i="80"/>
  <c r="U35" i="80"/>
  <c r="V35" i="80"/>
  <c r="W35" i="80"/>
  <c r="X35" i="80"/>
  <c r="P42" i="80"/>
  <c r="P34" i="80" s="1"/>
  <c r="P17" i="80"/>
  <c r="P9" i="80" s="1"/>
  <c r="Q9" i="80"/>
  <c r="R9" i="80"/>
  <c r="S9" i="80"/>
  <c r="T9" i="80"/>
  <c r="U9" i="80"/>
  <c r="V9" i="80"/>
  <c r="W9" i="80"/>
  <c r="X9" i="80"/>
  <c r="T52" i="80"/>
  <c r="X52" i="80"/>
  <c r="J2" i="102"/>
  <c r="B12" i="52"/>
  <c r="B60" i="97"/>
  <c r="Q52" i="80" l="1"/>
  <c r="P52" i="80"/>
  <c r="S52" i="80"/>
  <c r="L31" i="52"/>
  <c r="B122" i="57"/>
  <c r="B44" i="58" s="1"/>
  <c r="B121" i="57"/>
  <c r="B43" i="58" s="1"/>
  <c r="M27" i="99"/>
  <c r="L27" i="99"/>
  <c r="K42" i="80" l="1"/>
  <c r="K34" i="80" s="1"/>
  <c r="N17" i="80"/>
  <c r="F25" i="80"/>
  <c r="E17" i="80"/>
  <c r="E9" i="80" s="1"/>
  <c r="E52" i="80" s="1"/>
  <c r="I52" i="80"/>
  <c r="L52" i="80"/>
  <c r="M52" i="80"/>
  <c r="E34" i="80"/>
  <c r="F34" i="80"/>
  <c r="G34" i="80"/>
  <c r="H34" i="80"/>
  <c r="I34" i="80"/>
  <c r="L34" i="80"/>
  <c r="M34" i="80"/>
  <c r="G9" i="80"/>
  <c r="G52" i="80" s="1"/>
  <c r="H9" i="80"/>
  <c r="H52" i="80" s="1"/>
  <c r="I9" i="80"/>
  <c r="K9" i="80"/>
  <c r="L9" i="80"/>
  <c r="M9" i="80"/>
  <c r="A42" i="80"/>
  <c r="C54" i="99"/>
  <c r="D54" i="99"/>
  <c r="E54" i="99"/>
  <c r="F54" i="99"/>
  <c r="G54" i="99"/>
  <c r="H54" i="99"/>
  <c r="J54" i="99"/>
  <c r="K54" i="99"/>
  <c r="M36" i="99"/>
  <c r="C36" i="99"/>
  <c r="D36" i="99"/>
  <c r="E36" i="99"/>
  <c r="F36" i="99"/>
  <c r="G36" i="99"/>
  <c r="H36" i="99"/>
  <c r="I36" i="99"/>
  <c r="J36" i="99"/>
  <c r="K36" i="99"/>
  <c r="L36" i="99"/>
  <c r="B36" i="99"/>
  <c r="B54" i="99"/>
  <c r="M44" i="99"/>
  <c r="G44" i="99"/>
  <c r="L18" i="99"/>
  <c r="M18" i="99" s="1"/>
  <c r="G18" i="99"/>
  <c r="J25" i="80" l="1"/>
  <c r="O25" i="80" s="1"/>
  <c r="N42" i="80"/>
  <c r="N34" i="80" s="1"/>
  <c r="K52" i="80"/>
  <c r="N9" i="80"/>
  <c r="N52" i="80" l="1"/>
  <c r="D10" i="99" l="1"/>
  <c r="B10" i="99"/>
  <c r="M10" i="99"/>
  <c r="M54" i="99" s="1"/>
  <c r="O55" i="99" s="1"/>
  <c r="C10" i="99"/>
  <c r="E10" i="99"/>
  <c r="F10" i="99"/>
  <c r="G10" i="99"/>
  <c r="H10" i="99"/>
  <c r="I10" i="99"/>
  <c r="I54" i="99" s="1"/>
  <c r="J10" i="99"/>
  <c r="K10" i="99"/>
  <c r="L10" i="99"/>
  <c r="L54" i="99" s="1"/>
  <c r="A44" i="99"/>
  <c r="D121" i="57"/>
  <c r="E121" i="57" s="1"/>
  <c r="D118" i="57"/>
  <c r="E118" i="57" s="1"/>
  <c r="D114" i="57"/>
  <c r="D105" i="57"/>
  <c r="D104" i="57"/>
  <c r="D101" i="57"/>
  <c r="E101" i="57" s="1"/>
  <c r="D100" i="57"/>
  <c r="E100" i="57" s="1"/>
  <c r="D99" i="57"/>
  <c r="E99" i="57" s="1"/>
  <c r="D97" i="57"/>
  <c r="E97" i="57" s="1"/>
  <c r="D96" i="57"/>
  <c r="E96" i="57" s="1"/>
  <c r="D88" i="57"/>
  <c r="E88" i="57" s="1"/>
  <c r="D84" i="57"/>
  <c r="E84" i="57" s="1"/>
  <c r="D81" i="57"/>
  <c r="D67" i="57"/>
  <c r="E67" i="57" s="1"/>
  <c r="D64" i="57"/>
  <c r="E64" i="57" s="1"/>
  <c r="D61" i="57"/>
  <c r="E61" i="57" s="1"/>
  <c r="D60" i="57"/>
  <c r="D55" i="57"/>
  <c r="E55" i="57" s="1"/>
  <c r="D53" i="57"/>
  <c r="E53" i="57" s="1"/>
  <c r="D48" i="57"/>
  <c r="E48" i="57" s="1"/>
  <c r="D43" i="57"/>
  <c r="E43" i="57" s="1"/>
  <c r="D38" i="57"/>
  <c r="D32" i="57"/>
  <c r="D30" i="57"/>
  <c r="D17" i="57"/>
  <c r="E17" i="57" s="1"/>
  <c r="D14" i="57"/>
  <c r="E14" i="57" s="1"/>
  <c r="D104" i="58"/>
  <c r="D103" i="58" s="1"/>
  <c r="D101" i="58"/>
  <c r="D96" i="58" s="1"/>
  <c r="K18" i="105" s="1"/>
  <c r="K10" i="105" s="1"/>
  <c r="K53" i="105" s="1"/>
  <c r="D82" i="58"/>
  <c r="D80" i="58" s="1"/>
  <c r="D81" i="58"/>
  <c r="D76" i="58"/>
  <c r="D75" i="58"/>
  <c r="D54" i="58"/>
  <c r="D51" i="58"/>
  <c r="D49" i="58" s="1"/>
  <c r="D40" i="58"/>
  <c r="D39" i="58" s="1"/>
  <c r="D34" i="58"/>
  <c r="F19" i="106" s="1"/>
  <c r="F11" i="106" s="1"/>
  <c r="F55" i="106" s="1"/>
  <c r="D28" i="58"/>
  <c r="D23" i="58"/>
  <c r="D14" i="58"/>
  <c r="C62" i="39"/>
  <c r="D59" i="82"/>
  <c r="D47" i="82"/>
  <c r="D46" i="82" s="1"/>
  <c r="D39" i="82"/>
  <c r="D37" i="82" s="1"/>
  <c r="D33" i="82"/>
  <c r="D36" i="82" s="1"/>
  <c r="D134" i="82"/>
  <c r="D129" i="82"/>
  <c r="D124" i="82"/>
  <c r="AE95" i="82"/>
  <c r="AE87" i="82"/>
  <c r="AE79" i="82"/>
  <c r="AE55" i="82"/>
  <c r="AE52" i="82"/>
  <c r="AL99" i="82"/>
  <c r="AL49" i="82"/>
  <c r="AL46" i="82"/>
  <c r="AL37" i="82"/>
  <c r="AL36" i="82"/>
  <c r="AL20" i="82"/>
  <c r="BG98" i="82"/>
  <c r="BG95" i="82"/>
  <c r="BG83" i="82"/>
  <c r="BG62" i="82"/>
  <c r="BG46" i="82"/>
  <c r="BG37" i="82"/>
  <c r="BG33" i="82"/>
  <c r="BG36" i="82" s="1"/>
  <c r="BG28" i="82"/>
  <c r="BG20" i="82" s="1"/>
  <c r="BN98" i="82"/>
  <c r="BN95" i="82"/>
  <c r="BN49" i="82"/>
  <c r="BN46" i="82"/>
  <c r="BN37" i="82"/>
  <c r="BN36" i="82"/>
  <c r="BN20" i="82"/>
  <c r="D77" i="83"/>
  <c r="D72" i="83" s="1"/>
  <c r="D69" i="83"/>
  <c r="D51" i="83"/>
  <c r="D42" i="83"/>
  <c r="K72" i="83"/>
  <c r="K69" i="83"/>
  <c r="K51" i="83"/>
  <c r="K42" i="83"/>
  <c r="K30" i="83"/>
  <c r="D31" i="83"/>
  <c r="D30" i="83"/>
  <c r="C15" i="39" l="1"/>
  <c r="E32" i="57"/>
  <c r="D58" i="57"/>
  <c r="E58" i="57" s="1"/>
  <c r="E60" i="57"/>
  <c r="D93" i="57"/>
  <c r="E93" i="57" s="1"/>
  <c r="E104" i="57"/>
  <c r="C19" i="106"/>
  <c r="C11" i="106" s="1"/>
  <c r="C55" i="106" s="1"/>
  <c r="E105" i="57"/>
  <c r="D37" i="57"/>
  <c r="E37" i="57" s="1"/>
  <c r="E38" i="57"/>
  <c r="E113" i="57"/>
  <c r="E114" i="57"/>
  <c r="D80" i="57"/>
  <c r="E81" i="57"/>
  <c r="D28" i="57"/>
  <c r="E30" i="57"/>
  <c r="D48" i="58"/>
  <c r="I18" i="105" s="1"/>
  <c r="D13" i="58"/>
  <c r="E19" i="106" s="1"/>
  <c r="D74" i="58"/>
  <c r="J18" i="105" s="1"/>
  <c r="J10" i="105" s="1"/>
  <c r="J53" i="105" s="1"/>
  <c r="BG49" i="82"/>
  <c r="D8" i="58"/>
  <c r="I19" i="99"/>
  <c r="D62" i="57"/>
  <c r="E62" i="57" s="1"/>
  <c r="D47" i="57"/>
  <c r="E47" i="57" s="1"/>
  <c r="D12" i="57"/>
  <c r="AF55" i="82"/>
  <c r="D26" i="57" l="1"/>
  <c r="E26" i="57" s="1"/>
  <c r="E28" i="57"/>
  <c r="D112" i="57"/>
  <c r="E112" i="57" s="1"/>
  <c r="D11" i="57"/>
  <c r="E12" i="57"/>
  <c r="D76" i="57"/>
  <c r="E76" i="57" s="1"/>
  <c r="E80" i="57"/>
  <c r="L18" i="105"/>
  <c r="I10" i="105"/>
  <c r="E11" i="106"/>
  <c r="E55" i="106" s="1"/>
  <c r="H19" i="106"/>
  <c r="D112" i="82"/>
  <c r="AF87" i="82"/>
  <c r="D10" i="57" l="1"/>
  <c r="E11" i="57"/>
  <c r="H11" i="106"/>
  <c r="L10" i="105"/>
  <c r="L53" i="105" s="1"/>
  <c r="I53" i="105"/>
  <c r="E62" i="39"/>
  <c r="E10" i="57" l="1"/>
  <c r="D9" i="57"/>
  <c r="H55" i="106"/>
  <c r="BH33" i="82"/>
  <c r="E73" i="39"/>
  <c r="E70" i="39" s="1"/>
  <c r="R61" i="57"/>
  <c r="X19" i="83"/>
  <c r="Y19" i="83"/>
  <c r="Z19" i="83"/>
  <c r="K69" i="57"/>
  <c r="I69" i="57"/>
  <c r="G69" i="57"/>
  <c r="E9" i="57" l="1"/>
  <c r="D8" i="57"/>
  <c r="E8" i="57" s="1"/>
  <c r="BO170" i="82"/>
  <c r="R170" i="82"/>
  <c r="BT84" i="82"/>
  <c r="BU84" i="82"/>
  <c r="BV84" i="82"/>
  <c r="R62" i="57" l="1"/>
  <c r="R55" i="57"/>
  <c r="R30" i="57"/>
  <c r="R58" i="57"/>
  <c r="R53" i="57"/>
  <c r="R48" i="57"/>
  <c r="R43" i="57"/>
  <c r="R38" i="57"/>
  <c r="R37" i="57" s="1"/>
  <c r="R32" i="57"/>
  <c r="R12" i="57"/>
  <c r="R11" i="57" s="1"/>
  <c r="R28" i="57" l="1"/>
  <c r="R26" i="57" s="1"/>
  <c r="R47" i="57"/>
  <c r="O49" i="57"/>
  <c r="R100" i="57"/>
  <c r="AM170" i="82"/>
  <c r="X146" i="82"/>
  <c r="Y146" i="82"/>
  <c r="Y145" i="82"/>
  <c r="X145" i="82"/>
  <c r="Q59" i="58"/>
  <c r="AF52" i="82"/>
  <c r="AF170" i="82" s="1"/>
  <c r="Z66" i="83"/>
  <c r="Z93" i="83"/>
  <c r="R10" i="57" l="1"/>
  <c r="R9" i="57" s="1"/>
  <c r="BN170" i="82"/>
  <c r="BN11" i="82"/>
  <c r="BN32" i="82" s="1"/>
  <c r="BG130" i="82"/>
  <c r="BG11" i="82"/>
  <c r="BG32" i="82" s="1"/>
  <c r="D98" i="82"/>
  <c r="D95" i="82"/>
  <c r="D67" i="82"/>
  <c r="D49" i="82" s="1"/>
  <c r="D20" i="82"/>
  <c r="D72" i="58"/>
  <c r="D71" i="58" s="1"/>
  <c r="D47" i="58" s="1"/>
  <c r="D46" i="58" s="1"/>
  <c r="D43" i="58"/>
  <c r="D38" i="58" s="1"/>
  <c r="D42" i="58"/>
  <c r="D115" i="57" s="1"/>
  <c r="D41" i="58"/>
  <c r="D142" i="57"/>
  <c r="D141" i="57" s="1"/>
  <c r="C57" i="39"/>
  <c r="C55" i="39"/>
  <c r="C43" i="39"/>
  <c r="C33" i="39"/>
  <c r="C18" i="39"/>
  <c r="K85" i="83"/>
  <c r="K33" i="83"/>
  <c r="K81" i="83" s="1"/>
  <c r="K32" i="83"/>
  <c r="K29" i="83"/>
  <c r="D85" i="83"/>
  <c r="D33" i="83"/>
  <c r="D32" i="83"/>
  <c r="D29" i="83"/>
  <c r="F142" i="57"/>
  <c r="F113" i="58"/>
  <c r="F112" i="58"/>
  <c r="F104" i="58"/>
  <c r="E104" i="58" s="1"/>
  <c r="F103" i="58"/>
  <c r="E103" i="58" s="1"/>
  <c r="F101" i="58"/>
  <c r="E101" i="58" s="1"/>
  <c r="F82" i="58"/>
  <c r="E82" i="58" s="1"/>
  <c r="F81" i="58"/>
  <c r="E81" i="58" s="1"/>
  <c r="F76" i="58"/>
  <c r="F54" i="58"/>
  <c r="E54" i="58" s="1"/>
  <c r="F51" i="58"/>
  <c r="E51" i="58" s="1"/>
  <c r="F49" i="58"/>
  <c r="E49" i="58" s="1"/>
  <c r="F43" i="58"/>
  <c r="E43" i="58" s="1"/>
  <c r="F42" i="58"/>
  <c r="F41" i="58"/>
  <c r="E41" i="58" s="1"/>
  <c r="F40" i="58"/>
  <c r="F34" i="58"/>
  <c r="F28" i="58"/>
  <c r="E28" i="58" s="1"/>
  <c r="F23" i="58"/>
  <c r="E23" i="58" s="1"/>
  <c r="F14" i="58"/>
  <c r="E14" i="58" s="1"/>
  <c r="E57" i="39"/>
  <c r="D57" i="39" s="1"/>
  <c r="E55" i="39"/>
  <c r="E43" i="39"/>
  <c r="E39" i="39" s="1"/>
  <c r="E37" i="39" s="1"/>
  <c r="E33" i="39"/>
  <c r="E18" i="39"/>
  <c r="E14" i="39"/>
  <c r="E13" i="39"/>
  <c r="BO98" i="82"/>
  <c r="BO95" i="82"/>
  <c r="BO49" i="82"/>
  <c r="BO46" i="82"/>
  <c r="BO37" i="82"/>
  <c r="BO36" i="82"/>
  <c r="BO20" i="82"/>
  <c r="BO11" i="82"/>
  <c r="BH130" i="82"/>
  <c r="AF100" i="82" s="1"/>
  <c r="BH98" i="82"/>
  <c r="BH95" i="82"/>
  <c r="BH170" i="82"/>
  <c r="BH62" i="82"/>
  <c r="BH46" i="82"/>
  <c r="BH37" i="82"/>
  <c r="BH36" i="82"/>
  <c r="BH20" i="82"/>
  <c r="BH11" i="82"/>
  <c r="AM108" i="82"/>
  <c r="AM98" i="82"/>
  <c r="AM95" i="82"/>
  <c r="AM49" i="82"/>
  <c r="AM46" i="82"/>
  <c r="AM37" i="82"/>
  <c r="AM36" i="82"/>
  <c r="AM20" i="82"/>
  <c r="AM11" i="82"/>
  <c r="AF95" i="82"/>
  <c r="AF46" i="82"/>
  <c r="AF37" i="82"/>
  <c r="AF36" i="82"/>
  <c r="AF20" i="82"/>
  <c r="AF11" i="82"/>
  <c r="Y98" i="82"/>
  <c r="Y95" i="82"/>
  <c r="Y49" i="82"/>
  <c r="Y46" i="82"/>
  <c r="Y37" i="82"/>
  <c r="Y36" i="82"/>
  <c r="Y20" i="82"/>
  <c r="Y143" i="82"/>
  <c r="Y141" i="82"/>
  <c r="Y139" i="82"/>
  <c r="Y137" i="82"/>
  <c r="Y136" i="82"/>
  <c r="Y132" i="82"/>
  <c r="Y131" i="82"/>
  <c r="Y130" i="82"/>
  <c r="Y128" i="82"/>
  <c r="Y126" i="82"/>
  <c r="R165" i="82"/>
  <c r="AF99" i="82" s="1"/>
  <c r="R98" i="82"/>
  <c r="R95" i="82"/>
  <c r="R49" i="82"/>
  <c r="E134" i="82"/>
  <c r="Y134" i="82" s="1"/>
  <c r="Y125" i="82"/>
  <c r="E124" i="82"/>
  <c r="Y124" i="82" s="1"/>
  <c r="E98" i="82"/>
  <c r="E95" i="82"/>
  <c r="E67" i="82"/>
  <c r="E59" i="82"/>
  <c r="E47" i="82"/>
  <c r="E46" i="82" s="1"/>
  <c r="E39" i="82"/>
  <c r="E37" i="82" s="1"/>
  <c r="E36" i="82"/>
  <c r="E20" i="82"/>
  <c r="L33" i="83"/>
  <c r="L81" i="83" s="1"/>
  <c r="L32" i="83"/>
  <c r="E33" i="83"/>
  <c r="E81" i="83" s="1"/>
  <c r="E32" i="83"/>
  <c r="F141" i="57" l="1"/>
  <c r="E141" i="57" s="1"/>
  <c r="E142" i="57"/>
  <c r="E42" i="58"/>
  <c r="F75" i="58"/>
  <c r="E75" i="58" s="1"/>
  <c r="E76" i="58"/>
  <c r="F33" i="106"/>
  <c r="F12" i="106"/>
  <c r="F56" i="106" s="1"/>
  <c r="E34" i="58"/>
  <c r="F39" i="58"/>
  <c r="E39" i="58" s="1"/>
  <c r="E40" i="58"/>
  <c r="BH49" i="82"/>
  <c r="BH107" i="82" s="1"/>
  <c r="BO32" i="82"/>
  <c r="AM32" i="82"/>
  <c r="BH32" i="82"/>
  <c r="E170" i="82"/>
  <c r="AF171" i="82"/>
  <c r="AF98" i="82"/>
  <c r="F13" i="58"/>
  <c r="E20" i="106" s="1"/>
  <c r="C39" i="39"/>
  <c r="D39" i="39" s="1"/>
  <c r="D43" i="39"/>
  <c r="F38" i="58"/>
  <c r="E38" i="58" s="1"/>
  <c r="F80" i="58"/>
  <c r="E80" i="58" s="1"/>
  <c r="L84" i="83"/>
  <c r="E84" i="83"/>
  <c r="E88" i="83"/>
  <c r="AF32" i="82"/>
  <c r="BN107" i="82"/>
  <c r="BN111" i="82" s="1"/>
  <c r="BN113" i="82" s="1"/>
  <c r="D165" i="82"/>
  <c r="D170" i="82"/>
  <c r="E165" i="82"/>
  <c r="AF75" i="82" s="1"/>
  <c r="AF49" i="82" s="1"/>
  <c r="Y129" i="82"/>
  <c r="BO107" i="82"/>
  <c r="BG107" i="82"/>
  <c r="BG111" i="82" s="1"/>
  <c r="BG113" i="82" s="1"/>
  <c r="E49" i="82"/>
  <c r="F96" i="58"/>
  <c r="D45" i="58"/>
  <c r="E15" i="39"/>
  <c r="D15" i="39" s="1"/>
  <c r="AM107" i="82"/>
  <c r="E36" i="39"/>
  <c r="F48" i="58"/>
  <c r="D81" i="83"/>
  <c r="D88" i="83" s="1"/>
  <c r="K88" i="83"/>
  <c r="K84" i="83"/>
  <c r="Y107" i="82"/>
  <c r="Y170" i="82"/>
  <c r="AM111" i="82" l="1"/>
  <c r="AM113" i="82" s="1"/>
  <c r="BH111" i="82"/>
  <c r="BH113" i="82" s="1"/>
  <c r="BO111" i="82"/>
  <c r="BO113" i="82" s="1"/>
  <c r="E12" i="106"/>
  <c r="E56" i="106" s="1"/>
  <c r="H20" i="106"/>
  <c r="H12" i="106" s="1"/>
  <c r="H56" i="106" s="1"/>
  <c r="H33" i="106"/>
  <c r="F16" i="106"/>
  <c r="F60" i="106" s="1"/>
  <c r="I19" i="105"/>
  <c r="I11" i="105" s="1"/>
  <c r="I54" i="105" s="1"/>
  <c r="E48" i="58"/>
  <c r="E96" i="58"/>
  <c r="K19" i="105"/>
  <c r="K11" i="105" s="1"/>
  <c r="K54" i="105" s="1"/>
  <c r="F74" i="58"/>
  <c r="AF107" i="82"/>
  <c r="AF111" i="82" s="1"/>
  <c r="AF113" i="82" s="1"/>
  <c r="F8" i="58"/>
  <c r="E13" i="58"/>
  <c r="D84" i="83"/>
  <c r="F123" i="57"/>
  <c r="D107" i="82"/>
  <c r="D109" i="58"/>
  <c r="E11" i="39"/>
  <c r="C37" i="39"/>
  <c r="D37" i="39" s="1"/>
  <c r="X143" i="82"/>
  <c r="M33" i="106" l="1"/>
  <c r="H16" i="106"/>
  <c r="J19" i="105"/>
  <c r="E74" i="58"/>
  <c r="E8" i="58"/>
  <c r="F45" i="58"/>
  <c r="E45" i="58" s="1"/>
  <c r="E10" i="39"/>
  <c r="X141" i="82"/>
  <c r="M16" i="106" l="1"/>
  <c r="H60" i="106"/>
  <c r="J11" i="105"/>
  <c r="L19" i="105"/>
  <c r="E9" i="39"/>
  <c r="AL108" i="82"/>
  <c r="C142" i="81" s="1"/>
  <c r="J54" i="105" l="1"/>
  <c r="L11" i="105"/>
  <c r="L54" i="105" s="1"/>
  <c r="E68" i="39"/>
  <c r="K15" i="56"/>
  <c r="N15" i="56"/>
  <c r="F136" i="57" l="1"/>
  <c r="F135" i="57" s="1"/>
  <c r="F19" i="105"/>
  <c r="F11" i="105" s="1"/>
  <c r="F54" i="105" s="1"/>
  <c r="F15" i="56"/>
  <c r="C104" i="57" l="1"/>
  <c r="E28" i="104"/>
  <c r="E25" i="104"/>
  <c r="D25" i="104"/>
  <c r="C25" i="104"/>
  <c r="E24" i="104"/>
  <c r="E23" i="104"/>
  <c r="D22" i="104"/>
  <c r="D26" i="104" s="1"/>
  <c r="D27" i="104" s="1"/>
  <c r="E21" i="104"/>
  <c r="D20" i="104"/>
  <c r="C20" i="104"/>
  <c r="C22" i="104" s="1"/>
  <c r="C26" i="104" s="1"/>
  <c r="C27" i="104" s="1"/>
  <c r="E16" i="104"/>
  <c r="D13" i="104"/>
  <c r="C13" i="104"/>
  <c r="E12" i="104"/>
  <c r="E13" i="104" s="1"/>
  <c r="E11" i="104"/>
  <c r="D10" i="104"/>
  <c r="D14" i="104" s="1"/>
  <c r="C10" i="104"/>
  <c r="C14" i="104" s="1"/>
  <c r="E9" i="104"/>
  <c r="E8" i="104"/>
  <c r="E10" i="104" s="1"/>
  <c r="C15" i="104" l="1"/>
  <c r="C17" i="104"/>
  <c r="D17" i="104"/>
  <c r="D15" i="104"/>
  <c r="E14" i="104"/>
  <c r="E20" i="104"/>
  <c r="E22" i="104" s="1"/>
  <c r="E26" i="104" s="1"/>
  <c r="E27" i="104" s="1"/>
  <c r="E15" i="104" l="1"/>
  <c r="E17" i="104"/>
  <c r="D30" i="52" l="1"/>
  <c r="D105" i="83" l="1"/>
  <c r="AL170" i="82" l="1"/>
  <c r="Q170" i="82"/>
  <c r="BT68" i="82" l="1"/>
  <c r="BT69" i="82"/>
  <c r="AE170" i="82"/>
  <c r="BG170" i="82"/>
  <c r="X139" i="82"/>
  <c r="X137" i="82"/>
  <c r="X136" i="82"/>
  <c r="U99" i="57"/>
  <c r="W99" i="57" l="1"/>
  <c r="R99" i="57"/>
  <c r="R98" i="57"/>
  <c r="K105" i="83" l="1"/>
  <c r="X132" i="82" l="1"/>
  <c r="X131" i="82"/>
  <c r="P26" i="58" l="1"/>
  <c r="Q77" i="58"/>
  <c r="T76" i="58"/>
  <c r="AE100" i="82"/>
  <c r="C88" i="57" l="1"/>
  <c r="X66" i="83"/>
  <c r="Y66" i="83"/>
  <c r="Y93" i="83"/>
  <c r="D51" i="81" s="1"/>
  <c r="K37" i="106" s="1"/>
  <c r="K55" i="106" s="1"/>
  <c r="Y95" i="83"/>
  <c r="BS20" i="82" l="1"/>
  <c r="BS11" i="82"/>
  <c r="BR20" i="82"/>
  <c r="BR11" i="82"/>
  <c r="BQ20" i="82"/>
  <c r="BQ11" i="82"/>
  <c r="BP20" i="82"/>
  <c r="BP11" i="82"/>
  <c r="BL20" i="82"/>
  <c r="BL11" i="82"/>
  <c r="BK20" i="82"/>
  <c r="BK11" i="82"/>
  <c r="BJ20" i="82"/>
  <c r="BJ11" i="82"/>
  <c r="BI20" i="82"/>
  <c r="BI11" i="82"/>
  <c r="AQ98" i="82"/>
  <c r="AQ95" i="82"/>
  <c r="AQ49" i="82"/>
  <c r="AQ46" i="82"/>
  <c r="AQ37" i="82"/>
  <c r="AQ36" i="82"/>
  <c r="AQ20" i="82"/>
  <c r="AQ11" i="82"/>
  <c r="AP98" i="82"/>
  <c r="AP95" i="82"/>
  <c r="AP49" i="82"/>
  <c r="AP46" i="82"/>
  <c r="AP37" i="82"/>
  <c r="AP36" i="82"/>
  <c r="AP20" i="82"/>
  <c r="AP11" i="82"/>
  <c r="AO98" i="82"/>
  <c r="AO95" i="82"/>
  <c r="AO49" i="82"/>
  <c r="AO46" i="82"/>
  <c r="AO37" i="82"/>
  <c r="AO36" i="82"/>
  <c r="AO20" i="82"/>
  <c r="AO11" i="82"/>
  <c r="AN98" i="82"/>
  <c r="AN95" i="82"/>
  <c r="AN49" i="82"/>
  <c r="AN46" i="82"/>
  <c r="AN37" i="82"/>
  <c r="AN36" i="82"/>
  <c r="AN20" i="82"/>
  <c r="AN11" i="82"/>
  <c r="AJ98" i="82"/>
  <c r="AJ95" i="82"/>
  <c r="AJ49" i="82"/>
  <c r="AJ46" i="82"/>
  <c r="AJ37" i="82"/>
  <c r="AJ36" i="82"/>
  <c r="AJ20" i="82"/>
  <c r="AJ11" i="82"/>
  <c r="AI98" i="82"/>
  <c r="AI95" i="82"/>
  <c r="AI49" i="82"/>
  <c r="AI46" i="82"/>
  <c r="AI37" i="82"/>
  <c r="AI36" i="82"/>
  <c r="AI20" i="82"/>
  <c r="AI11" i="82"/>
  <c r="AH98" i="82"/>
  <c r="AH95" i="82"/>
  <c r="AH49" i="82"/>
  <c r="AH46" i="82"/>
  <c r="AH37" i="82"/>
  <c r="AH36" i="82"/>
  <c r="AH20" i="82"/>
  <c r="AH11" i="82"/>
  <c r="AG98" i="82"/>
  <c r="AG95" i="82"/>
  <c r="AG49" i="82"/>
  <c r="AG46" i="82"/>
  <c r="AG37" i="82"/>
  <c r="AG36" i="82"/>
  <c r="AG20" i="82"/>
  <c r="AG11" i="82"/>
  <c r="AC98" i="82"/>
  <c r="AC95" i="82"/>
  <c r="AC49" i="82"/>
  <c r="AC46" i="82"/>
  <c r="AC37" i="82"/>
  <c r="AC36" i="82"/>
  <c r="AC20" i="82"/>
  <c r="AC11" i="82"/>
  <c r="AB98" i="82"/>
  <c r="AB95" i="82"/>
  <c r="AB49" i="82"/>
  <c r="AB46" i="82"/>
  <c r="AB37" i="82"/>
  <c r="AB36" i="82"/>
  <c r="AB20" i="82"/>
  <c r="AB11" i="82"/>
  <c r="AA98" i="82"/>
  <c r="AA95" i="82"/>
  <c r="AA49" i="82"/>
  <c r="AA46" i="82"/>
  <c r="AA37" i="82"/>
  <c r="AA36" i="82"/>
  <c r="AA20" i="82"/>
  <c r="AA11" i="82"/>
  <c r="Z98" i="82"/>
  <c r="Z95" i="82"/>
  <c r="Z49" i="82"/>
  <c r="Z46" i="82"/>
  <c r="Z37" i="82"/>
  <c r="Z36" i="82"/>
  <c r="Z20" i="82"/>
  <c r="Z11" i="82"/>
  <c r="I98" i="82"/>
  <c r="I95" i="82"/>
  <c r="I49" i="82"/>
  <c r="I46" i="82"/>
  <c r="I37" i="82"/>
  <c r="I36" i="82"/>
  <c r="I20" i="82"/>
  <c r="I11" i="82"/>
  <c r="H98" i="82"/>
  <c r="H95" i="82"/>
  <c r="H49" i="82"/>
  <c r="H46" i="82"/>
  <c r="H37" i="82"/>
  <c r="H36" i="82"/>
  <c r="H20" i="82"/>
  <c r="H11" i="82"/>
  <c r="G98" i="82"/>
  <c r="G95" i="82"/>
  <c r="G49" i="82"/>
  <c r="G46" i="82"/>
  <c r="G37" i="82"/>
  <c r="G36" i="82"/>
  <c r="G20" i="82"/>
  <c r="G11" i="82"/>
  <c r="F98" i="82"/>
  <c r="F95" i="82"/>
  <c r="F49" i="82"/>
  <c r="F46" i="82"/>
  <c r="F37" i="82"/>
  <c r="F36" i="82"/>
  <c r="F20" i="82"/>
  <c r="F11" i="82"/>
  <c r="G32" i="82" l="1"/>
  <c r="BI32" i="82"/>
  <c r="BL32" i="82"/>
  <c r="AJ32" i="82"/>
  <c r="AP32" i="82"/>
  <c r="H32" i="82"/>
  <c r="AA32" i="82"/>
  <c r="AG32" i="82"/>
  <c r="I32" i="82"/>
  <c r="AN32" i="82"/>
  <c r="BK32" i="82"/>
  <c r="BP32" i="82"/>
  <c r="AB32" i="82"/>
  <c r="AG107" i="82"/>
  <c r="AO107" i="82"/>
  <c r="AI32" i="82"/>
  <c r="AP107" i="82"/>
  <c r="AP111" i="82" s="1"/>
  <c r="G107" i="82"/>
  <c r="AI107" i="82"/>
  <c r="AN107" i="82"/>
  <c r="BR32" i="82"/>
  <c r="F32" i="82"/>
  <c r="AH32" i="82"/>
  <c r="Z32" i="82"/>
  <c r="Z107" i="82"/>
  <c r="AC32" i="82"/>
  <c r="AA107" i="82"/>
  <c r="AC107" i="82"/>
  <c r="AO32" i="82"/>
  <c r="H107" i="82"/>
  <c r="AH107" i="82"/>
  <c r="AJ107" i="82"/>
  <c r="BJ32" i="82"/>
  <c r="F107" i="82"/>
  <c r="I107" i="82"/>
  <c r="AB107" i="82"/>
  <c r="AQ107" i="82"/>
  <c r="AQ32" i="82"/>
  <c r="BQ32" i="82"/>
  <c r="BS32" i="82"/>
  <c r="L57" i="39"/>
  <c r="L55" i="39"/>
  <c r="L43" i="39"/>
  <c r="L33" i="39"/>
  <c r="L18" i="39"/>
  <c r="L16" i="39"/>
  <c r="L13" i="39"/>
  <c r="L12" i="39"/>
  <c r="K57" i="39"/>
  <c r="K55" i="39"/>
  <c r="K43" i="39"/>
  <c r="K33" i="39"/>
  <c r="K18" i="39"/>
  <c r="K16" i="39"/>
  <c r="K13" i="39"/>
  <c r="K12" i="39"/>
  <c r="I57" i="39"/>
  <c r="I55" i="39"/>
  <c r="I43" i="39"/>
  <c r="I33" i="39"/>
  <c r="I18" i="39"/>
  <c r="I16" i="39"/>
  <c r="I13" i="39"/>
  <c r="I12" i="39"/>
  <c r="G57" i="39"/>
  <c r="G55" i="39"/>
  <c r="G43" i="39"/>
  <c r="G33" i="39"/>
  <c r="G18" i="39"/>
  <c r="G16" i="39"/>
  <c r="G13" i="39"/>
  <c r="G12" i="39"/>
  <c r="B55" i="39"/>
  <c r="B39" i="39"/>
  <c r="AJ111" i="82" l="1"/>
  <c r="AJ113" i="82" s="1"/>
  <c r="AO111" i="82"/>
  <c r="K39" i="39"/>
  <c r="K37" i="39" s="1"/>
  <c r="K36" i="39" s="1"/>
  <c r="G39" i="39"/>
  <c r="G37" i="39" s="1"/>
  <c r="G36" i="39" s="1"/>
  <c r="L39" i="39"/>
  <c r="L37" i="39" s="1"/>
  <c r="L36" i="39" s="1"/>
  <c r="I39" i="39"/>
  <c r="I37" i="39" s="1"/>
  <c r="I36" i="39" s="1"/>
  <c r="AH111" i="82"/>
  <c r="AH113" i="82" s="1"/>
  <c r="AN111" i="82"/>
  <c r="AG111" i="82"/>
  <c r="AG113" i="82" s="1"/>
  <c r="AQ111" i="82"/>
  <c r="AI111" i="82"/>
  <c r="AI113" i="82" s="1"/>
  <c r="Z111" i="82"/>
  <c r="Z113" i="82" s="1"/>
  <c r="B18" i="39"/>
  <c r="B11" i="39"/>
  <c r="M104" i="58"/>
  <c r="M103" i="58" s="1"/>
  <c r="M101" i="58"/>
  <c r="M96" i="58" s="1"/>
  <c r="M80" i="58"/>
  <c r="M75" i="58"/>
  <c r="M71" i="58"/>
  <c r="M54" i="58"/>
  <c r="M49" i="58"/>
  <c r="M43" i="58"/>
  <c r="G34" i="106" s="1"/>
  <c r="G17" i="106" s="1"/>
  <c r="G61" i="106" s="1"/>
  <c r="M42" i="58"/>
  <c r="M41" i="58"/>
  <c r="M39" i="58"/>
  <c r="M34" i="58"/>
  <c r="M28" i="58"/>
  <c r="M23" i="58"/>
  <c r="M14" i="58"/>
  <c r="L104" i="58"/>
  <c r="L103" i="58"/>
  <c r="L101" i="58"/>
  <c r="L96" i="58" s="1"/>
  <c r="L80" i="58"/>
  <c r="L75" i="58"/>
  <c r="J23" i="105" s="1"/>
  <c r="J15" i="105" s="1"/>
  <c r="J58" i="105" s="1"/>
  <c r="L71" i="58"/>
  <c r="L54" i="58"/>
  <c r="L49" i="58"/>
  <c r="I23" i="105" s="1"/>
  <c r="L43" i="58"/>
  <c r="L42" i="58"/>
  <c r="L41" i="58"/>
  <c r="L39" i="58"/>
  <c r="L38" i="58" s="1"/>
  <c r="L34" i="58"/>
  <c r="F23" i="106" s="1"/>
  <c r="F15" i="106" s="1"/>
  <c r="F59" i="106" s="1"/>
  <c r="L28" i="58"/>
  <c r="L23" i="58"/>
  <c r="L14" i="58"/>
  <c r="K9" i="58"/>
  <c r="K10" i="58"/>
  <c r="K11" i="58"/>
  <c r="K12" i="58"/>
  <c r="K15" i="58"/>
  <c r="K17" i="58"/>
  <c r="K18" i="58"/>
  <c r="K19" i="58"/>
  <c r="K20" i="58"/>
  <c r="K21" i="58"/>
  <c r="K22" i="58"/>
  <c r="K24" i="58"/>
  <c r="K25" i="58"/>
  <c r="K26" i="58"/>
  <c r="K29" i="58"/>
  <c r="K30" i="58"/>
  <c r="K31" i="58"/>
  <c r="K32" i="58"/>
  <c r="K33" i="58"/>
  <c r="K35" i="58"/>
  <c r="K36" i="58"/>
  <c r="K37" i="58"/>
  <c r="K40" i="58"/>
  <c r="K50" i="58"/>
  <c r="K51" i="58"/>
  <c r="K53" i="58"/>
  <c r="K55" i="58"/>
  <c r="K56" i="58"/>
  <c r="K57" i="58"/>
  <c r="K58" i="58"/>
  <c r="K59" i="58"/>
  <c r="K60" i="58"/>
  <c r="K61" i="58"/>
  <c r="K62" i="58"/>
  <c r="K63" i="58"/>
  <c r="K64" i="58"/>
  <c r="K65" i="58"/>
  <c r="K66" i="58"/>
  <c r="K68" i="58"/>
  <c r="K70" i="58"/>
  <c r="K72" i="58"/>
  <c r="K73" i="58"/>
  <c r="K76" i="58"/>
  <c r="K77" i="58"/>
  <c r="K78" i="58"/>
  <c r="K81" i="58"/>
  <c r="K82" i="58"/>
  <c r="K83" i="58"/>
  <c r="K84" i="58"/>
  <c r="K85" i="58"/>
  <c r="K87" i="58"/>
  <c r="K88" i="58"/>
  <c r="K89" i="58"/>
  <c r="K90" i="58"/>
  <c r="K91" i="58"/>
  <c r="K92" i="58"/>
  <c r="K93" i="58"/>
  <c r="K94" i="58"/>
  <c r="K97" i="58"/>
  <c r="K98" i="58"/>
  <c r="K99" i="58"/>
  <c r="K100" i="58"/>
  <c r="K102" i="58"/>
  <c r="K105" i="58"/>
  <c r="K106" i="58"/>
  <c r="K107" i="58"/>
  <c r="K108" i="58"/>
  <c r="J104" i="58"/>
  <c r="J103" i="58" s="1"/>
  <c r="J101" i="58"/>
  <c r="J96" i="58" s="1"/>
  <c r="K21" i="105" s="1"/>
  <c r="K13" i="105" s="1"/>
  <c r="K56" i="105" s="1"/>
  <c r="J80" i="58"/>
  <c r="J75" i="58"/>
  <c r="J71" i="58"/>
  <c r="J54" i="58"/>
  <c r="J49" i="58"/>
  <c r="J43" i="58"/>
  <c r="J42" i="58"/>
  <c r="J41" i="58"/>
  <c r="J39" i="58"/>
  <c r="J38" i="58" s="1"/>
  <c r="J34" i="58"/>
  <c r="J28" i="58"/>
  <c r="J23" i="58"/>
  <c r="J14" i="58"/>
  <c r="H104" i="58"/>
  <c r="H103" i="58" s="1"/>
  <c r="H101" i="58"/>
  <c r="H96" i="58" s="1"/>
  <c r="K20" i="105" s="1"/>
  <c r="K12" i="105" s="1"/>
  <c r="K55" i="105" s="1"/>
  <c r="H80" i="58"/>
  <c r="H75" i="58"/>
  <c r="H71" i="58"/>
  <c r="H54" i="58"/>
  <c r="H49" i="58"/>
  <c r="H43" i="58"/>
  <c r="H42" i="58"/>
  <c r="H41" i="58"/>
  <c r="H39" i="58"/>
  <c r="H34" i="58"/>
  <c r="F21" i="106" s="1"/>
  <c r="F13" i="106" s="1"/>
  <c r="F57" i="106" s="1"/>
  <c r="H28" i="58"/>
  <c r="H23" i="58"/>
  <c r="H13" i="58" s="1"/>
  <c r="E21" i="106" s="1"/>
  <c r="H14" i="58"/>
  <c r="M142" i="57"/>
  <c r="M141" i="57" s="1"/>
  <c r="L142" i="57"/>
  <c r="L141" i="57" s="1"/>
  <c r="F23" i="105" s="1"/>
  <c r="J142" i="57"/>
  <c r="J141" i="57" s="1"/>
  <c r="H142" i="57"/>
  <c r="H141" i="57" s="1"/>
  <c r="M121" i="57"/>
  <c r="M118" i="57"/>
  <c r="M113" i="57"/>
  <c r="M105" i="57"/>
  <c r="M93" i="57"/>
  <c r="M84" i="57"/>
  <c r="M80" i="57"/>
  <c r="M62" i="57"/>
  <c r="M60" i="57"/>
  <c r="M59" i="57"/>
  <c r="M57" i="57"/>
  <c r="M55" i="57" s="1"/>
  <c r="M54" i="57"/>
  <c r="M53" i="57" s="1"/>
  <c r="M49" i="57"/>
  <c r="M48" i="57" s="1"/>
  <c r="M43" i="57"/>
  <c r="M38" i="57"/>
  <c r="M32" i="57"/>
  <c r="M30" i="57"/>
  <c r="M12" i="57"/>
  <c r="M11" i="57" s="1"/>
  <c r="L121" i="57"/>
  <c r="L118" i="57"/>
  <c r="L113" i="57"/>
  <c r="L105" i="57"/>
  <c r="C23" i="106" s="1"/>
  <c r="C15" i="106" s="1"/>
  <c r="C59" i="106" s="1"/>
  <c r="L93" i="57"/>
  <c r="L84" i="57"/>
  <c r="L80" i="57"/>
  <c r="L62" i="57"/>
  <c r="L60" i="57"/>
  <c r="L59" i="57"/>
  <c r="L57" i="57"/>
  <c r="L55" i="57" s="1"/>
  <c r="L54" i="57"/>
  <c r="L53" i="57" s="1"/>
  <c r="L49" i="57"/>
  <c r="L48" i="57" s="1"/>
  <c r="L43" i="57"/>
  <c r="L38" i="57"/>
  <c r="K14" i="39" s="1"/>
  <c r="L32" i="57"/>
  <c r="K15" i="39" s="1"/>
  <c r="L30" i="57"/>
  <c r="L12" i="57"/>
  <c r="L11" i="57" s="1"/>
  <c r="J121" i="57"/>
  <c r="J118" i="57"/>
  <c r="J113" i="57"/>
  <c r="J105" i="57"/>
  <c r="C22" i="106" s="1"/>
  <c r="C14" i="106" s="1"/>
  <c r="C58" i="106" s="1"/>
  <c r="J93" i="57"/>
  <c r="J84" i="57"/>
  <c r="J80" i="57"/>
  <c r="J62" i="57"/>
  <c r="J60" i="57"/>
  <c r="J59" i="57"/>
  <c r="J57" i="57"/>
  <c r="J55" i="57" s="1"/>
  <c r="J54" i="57"/>
  <c r="J53" i="57" s="1"/>
  <c r="J49" i="57"/>
  <c r="J48" i="57" s="1"/>
  <c r="J43" i="57"/>
  <c r="J38" i="57"/>
  <c r="I14" i="39" s="1"/>
  <c r="J32" i="57"/>
  <c r="I15" i="39" s="1"/>
  <c r="J30" i="57"/>
  <c r="J12" i="57"/>
  <c r="J11" i="57" s="1"/>
  <c r="H121" i="57"/>
  <c r="H118" i="57"/>
  <c r="H113" i="57"/>
  <c r="H105" i="57"/>
  <c r="C21" i="106" s="1"/>
  <c r="C13" i="106" s="1"/>
  <c r="C57" i="106" s="1"/>
  <c r="H93" i="57"/>
  <c r="H84" i="57"/>
  <c r="H80" i="57"/>
  <c r="H62" i="57"/>
  <c r="H60" i="57"/>
  <c r="H59" i="57"/>
  <c r="H57" i="57"/>
  <c r="H55" i="57" s="1"/>
  <c r="H54" i="57"/>
  <c r="H53" i="57" s="1"/>
  <c r="H49" i="57"/>
  <c r="H48" i="57" s="1"/>
  <c r="H43" i="57"/>
  <c r="H38" i="57"/>
  <c r="G14" i="39" s="1"/>
  <c r="H32" i="57"/>
  <c r="G15" i="39" s="1"/>
  <c r="H30" i="57"/>
  <c r="H12" i="57"/>
  <c r="H11" i="57" s="1"/>
  <c r="C142" i="57"/>
  <c r="C141" i="57" s="1"/>
  <c r="C121" i="57"/>
  <c r="C118" i="57"/>
  <c r="C115" i="57"/>
  <c r="C114" i="57"/>
  <c r="C105" i="57"/>
  <c r="C47" i="36" s="1"/>
  <c r="D12" i="102" s="1"/>
  <c r="C93" i="57"/>
  <c r="C30" i="36" s="1"/>
  <c r="D11" i="102" s="1"/>
  <c r="C84" i="57"/>
  <c r="C80" i="57"/>
  <c r="C67" i="57"/>
  <c r="C62" i="57" s="1"/>
  <c r="C60" i="57"/>
  <c r="C59" i="57"/>
  <c r="C57" i="57"/>
  <c r="C55" i="57" s="1"/>
  <c r="C54" i="57"/>
  <c r="C53" i="57" s="1"/>
  <c r="C49" i="57"/>
  <c r="C48" i="57" s="1"/>
  <c r="C43" i="57"/>
  <c r="C38" i="57"/>
  <c r="C37" i="57" s="1"/>
  <c r="C32" i="57"/>
  <c r="C30" i="57"/>
  <c r="C17" i="57"/>
  <c r="C14" i="57"/>
  <c r="C13" i="57"/>
  <c r="I21" i="102"/>
  <c r="C86" i="36"/>
  <c r="I20" i="102" s="1"/>
  <c r="C82" i="36"/>
  <c r="C80" i="36"/>
  <c r="C78" i="36"/>
  <c r="I16" i="102" s="1"/>
  <c r="C72" i="36"/>
  <c r="I12" i="102" s="1"/>
  <c r="C62" i="36"/>
  <c r="C60" i="36"/>
  <c r="C59" i="36"/>
  <c r="D22" i="102" s="1"/>
  <c r="C51" i="36"/>
  <c r="D17" i="102" s="1"/>
  <c r="G22" i="104"/>
  <c r="G23" i="104" s="1"/>
  <c r="G20" i="104"/>
  <c r="H20" i="104" s="1"/>
  <c r="M23" i="80"/>
  <c r="M24" i="80"/>
  <c r="F32" i="80"/>
  <c r="F31" i="80"/>
  <c r="P46" i="80"/>
  <c r="E22" i="99"/>
  <c r="D43" i="81"/>
  <c r="D66" i="81"/>
  <c r="E74" i="81"/>
  <c r="E75" i="81"/>
  <c r="E47" i="81"/>
  <c r="C48" i="81"/>
  <c r="B47" i="81"/>
  <c r="B46" i="81"/>
  <c r="C46" i="81"/>
  <c r="J58" i="57" l="1"/>
  <c r="L58" i="57"/>
  <c r="F15" i="105"/>
  <c r="H23" i="105"/>
  <c r="K28" i="58"/>
  <c r="I15" i="105"/>
  <c r="M23" i="105"/>
  <c r="L23" i="105"/>
  <c r="K43" i="58"/>
  <c r="K34" i="58"/>
  <c r="F22" i="106"/>
  <c r="F14" i="106" s="1"/>
  <c r="F58" i="106" s="1"/>
  <c r="E13" i="106"/>
  <c r="E57" i="106" s="1"/>
  <c r="H21" i="106"/>
  <c r="K104" i="58"/>
  <c r="K14" i="58"/>
  <c r="K101" i="58"/>
  <c r="C112" i="57"/>
  <c r="D23" i="102"/>
  <c r="C58" i="57"/>
  <c r="C79" i="36"/>
  <c r="I17" i="102" s="1"/>
  <c r="K49" i="58"/>
  <c r="K103" i="58"/>
  <c r="K42" i="58"/>
  <c r="L13" i="58"/>
  <c r="K96" i="58"/>
  <c r="M48" i="58"/>
  <c r="H8" i="58"/>
  <c r="K54" i="58"/>
  <c r="H23" i="104"/>
  <c r="H74" i="58"/>
  <c r="J20" i="105" s="1"/>
  <c r="J12" i="105" s="1"/>
  <c r="J55" i="105" s="1"/>
  <c r="J74" i="58"/>
  <c r="J21" i="105" s="1"/>
  <c r="J13" i="105" s="1"/>
  <c r="J56" i="105" s="1"/>
  <c r="H38" i="58"/>
  <c r="J48" i="58"/>
  <c r="M38" i="58"/>
  <c r="K71" i="58"/>
  <c r="K38" i="58"/>
  <c r="H48" i="58"/>
  <c r="K23" i="58"/>
  <c r="K41" i="58"/>
  <c r="M13" i="58"/>
  <c r="J13" i="58"/>
  <c r="L48" i="58"/>
  <c r="I22" i="105" s="1"/>
  <c r="K80" i="58"/>
  <c r="L74" i="58"/>
  <c r="J22" i="105" s="1"/>
  <c r="J14" i="105" s="1"/>
  <c r="J57" i="105" s="1"/>
  <c r="M74" i="58"/>
  <c r="J24" i="105" s="1"/>
  <c r="J16" i="105" s="1"/>
  <c r="J59" i="105" s="1"/>
  <c r="C58" i="36"/>
  <c r="M76" i="57"/>
  <c r="M112" i="57"/>
  <c r="C28" i="57"/>
  <c r="C26" i="57" s="1"/>
  <c r="J112" i="57"/>
  <c r="H58" i="57"/>
  <c r="H47" i="57" s="1"/>
  <c r="H112" i="57"/>
  <c r="H28" i="57"/>
  <c r="H26" i="57" s="1"/>
  <c r="J28" i="57"/>
  <c r="J26" i="57" s="1"/>
  <c r="L28" i="57"/>
  <c r="L26" i="57" s="1"/>
  <c r="M28" i="57"/>
  <c r="M26" i="57" s="1"/>
  <c r="L15" i="39"/>
  <c r="C76" i="57"/>
  <c r="C23" i="36" s="1"/>
  <c r="D10" i="102" s="1"/>
  <c r="M37" i="57"/>
  <c r="L14" i="39"/>
  <c r="M58" i="57"/>
  <c r="M47" i="57" s="1"/>
  <c r="C12" i="57"/>
  <c r="C11" i="57" s="1"/>
  <c r="H37" i="57"/>
  <c r="H76" i="57"/>
  <c r="J37" i="57"/>
  <c r="J76" i="57"/>
  <c r="L37" i="57"/>
  <c r="L76" i="57"/>
  <c r="L112" i="57"/>
  <c r="G11" i="39"/>
  <c r="G10" i="39" s="1"/>
  <c r="G9" i="39" s="1"/>
  <c r="G68" i="39" s="1"/>
  <c r="F20" i="105" s="1"/>
  <c r="F12" i="105" s="1"/>
  <c r="F55" i="105" s="1"/>
  <c r="I11" i="39"/>
  <c r="I10" i="39" s="1"/>
  <c r="I9" i="39" s="1"/>
  <c r="I68" i="39" s="1"/>
  <c r="F21" i="105" s="1"/>
  <c r="F13" i="105" s="1"/>
  <c r="F56" i="105" s="1"/>
  <c r="J47" i="57"/>
  <c r="K11" i="39"/>
  <c r="K10" i="39" s="1"/>
  <c r="K9" i="39" s="1"/>
  <c r="K68" i="39" s="1"/>
  <c r="F22" i="105" s="1"/>
  <c r="F14" i="105" s="1"/>
  <c r="F57" i="105" s="1"/>
  <c r="L47" i="57"/>
  <c r="C84" i="36"/>
  <c r="C83" i="36" s="1"/>
  <c r="B10" i="39"/>
  <c r="K75" i="58"/>
  <c r="K39" i="58"/>
  <c r="C47" i="57"/>
  <c r="H18" i="104"/>
  <c r="G18" i="104"/>
  <c r="P23" i="105" l="1"/>
  <c r="F58" i="105"/>
  <c r="H15" i="105"/>
  <c r="H58" i="105" s="1"/>
  <c r="M8" i="58"/>
  <c r="M45" i="58" s="1"/>
  <c r="E34" i="106"/>
  <c r="J47" i="58"/>
  <c r="I21" i="105"/>
  <c r="M47" i="58"/>
  <c r="M46" i="58" s="1"/>
  <c r="M109" i="58" s="1"/>
  <c r="M110" i="58" s="1"/>
  <c r="I24" i="105"/>
  <c r="H47" i="58"/>
  <c r="I20" i="105"/>
  <c r="H13" i="106"/>
  <c r="I14" i="105"/>
  <c r="L22" i="105"/>
  <c r="L8" i="58"/>
  <c r="K8" i="58" s="1"/>
  <c r="E23" i="106"/>
  <c r="M15" i="105"/>
  <c r="L15" i="105"/>
  <c r="I58" i="105"/>
  <c r="J8" i="58"/>
  <c r="J45" i="58" s="1"/>
  <c r="E22" i="106"/>
  <c r="C57" i="36"/>
  <c r="D21" i="102"/>
  <c r="H45" i="58"/>
  <c r="J46" i="58"/>
  <c r="J109" i="58" s="1"/>
  <c r="J110" i="58" s="1"/>
  <c r="K74" i="58"/>
  <c r="L10" i="57"/>
  <c r="L9" i="57" s="1"/>
  <c r="L8" i="57" s="1"/>
  <c r="L123" i="57" s="1"/>
  <c r="C10" i="57"/>
  <c r="C9" i="57" s="1"/>
  <c r="C10" i="36" s="1"/>
  <c r="D9" i="102" s="1"/>
  <c r="M10" i="57"/>
  <c r="M9" i="57" s="1"/>
  <c r="M8" i="57" s="1"/>
  <c r="M123" i="57" s="1"/>
  <c r="H46" i="58"/>
  <c r="H109" i="58" s="1"/>
  <c r="K48" i="58"/>
  <c r="L47" i="58"/>
  <c r="L46" i="58" s="1"/>
  <c r="K13" i="58"/>
  <c r="J10" i="57"/>
  <c r="J9" i="57" s="1"/>
  <c r="J8" i="57" s="1"/>
  <c r="J123" i="57" s="1"/>
  <c r="H10" i="57"/>
  <c r="H9" i="57" s="1"/>
  <c r="H8" i="57" s="1"/>
  <c r="H123" i="57" s="1"/>
  <c r="L11" i="39"/>
  <c r="L10" i="39" s="1"/>
  <c r="L9" i="39" s="1"/>
  <c r="L68" i="39" s="1"/>
  <c r="F24" i="105" s="1"/>
  <c r="F16" i="105" s="1"/>
  <c r="F59" i="105" s="1"/>
  <c r="L45" i="58"/>
  <c r="D29" i="104"/>
  <c r="I16" i="105" l="1"/>
  <c r="L24" i="105"/>
  <c r="L14" i="105"/>
  <c r="L57" i="105" s="1"/>
  <c r="I57" i="105"/>
  <c r="L58" i="105"/>
  <c r="P15" i="105"/>
  <c r="P58" i="105" s="1"/>
  <c r="I13" i="105"/>
  <c r="L21" i="105"/>
  <c r="H57" i="106"/>
  <c r="E15" i="106"/>
  <c r="E59" i="106" s="1"/>
  <c r="H23" i="106"/>
  <c r="I12" i="105"/>
  <c r="L20" i="105"/>
  <c r="E17" i="106"/>
  <c r="E61" i="106" s="1"/>
  <c r="H34" i="106"/>
  <c r="E14" i="106"/>
  <c r="E58" i="106" s="1"/>
  <c r="H22" i="106"/>
  <c r="C55" i="36"/>
  <c r="C8" i="57"/>
  <c r="C123" i="57" s="1"/>
  <c r="K47" i="58"/>
  <c r="K45" i="58"/>
  <c r="L109" i="58"/>
  <c r="K109" i="58" s="1"/>
  <c r="K46" i="58"/>
  <c r="C29" i="104"/>
  <c r="E29" i="104"/>
  <c r="I55" i="105" l="1"/>
  <c r="L12" i="105"/>
  <c r="L55" i="105" s="1"/>
  <c r="L13" i="105"/>
  <c r="L56" i="105" s="1"/>
  <c r="I56" i="105"/>
  <c r="H15" i="106"/>
  <c r="I59" i="105"/>
  <c r="L16" i="105"/>
  <c r="L59" i="105" s="1"/>
  <c r="H14" i="106"/>
  <c r="M34" i="106"/>
  <c r="H17" i="106"/>
  <c r="L110" i="58"/>
  <c r="H58" i="106" l="1"/>
  <c r="H61" i="106"/>
  <c r="H59" i="106"/>
  <c r="C47" i="81"/>
  <c r="F47" i="81" s="1"/>
  <c r="AD95" i="83" l="1"/>
  <c r="D16" i="81" s="1"/>
  <c r="AD46" i="83"/>
  <c r="N85" i="83"/>
  <c r="N72" i="83"/>
  <c r="N69" i="83"/>
  <c r="N51" i="83"/>
  <c r="N42" i="83"/>
  <c r="N33" i="83"/>
  <c r="N32" i="83"/>
  <c r="N29" i="83"/>
  <c r="G85" i="83"/>
  <c r="G72" i="83"/>
  <c r="G69" i="83"/>
  <c r="G51" i="83"/>
  <c r="G42" i="83"/>
  <c r="G33" i="83"/>
  <c r="G32" i="83"/>
  <c r="G29" i="83"/>
  <c r="J115" i="57"/>
  <c r="I8" i="39"/>
  <c r="BQ98" i="82"/>
  <c r="BQ95" i="82"/>
  <c r="BQ49" i="82"/>
  <c r="BQ46" i="82"/>
  <c r="BQ37" i="82"/>
  <c r="BQ36" i="82"/>
  <c r="BJ98" i="82"/>
  <c r="BJ95" i="82"/>
  <c r="BJ49" i="82"/>
  <c r="BJ46" i="82"/>
  <c r="BJ37" i="82"/>
  <c r="BJ36" i="82"/>
  <c r="AO113" i="82"/>
  <c r="T98" i="82"/>
  <c r="T95" i="82"/>
  <c r="T49" i="82"/>
  <c r="G81" i="83" l="1"/>
  <c r="N81" i="83"/>
  <c r="N84" i="83" s="1"/>
  <c r="G88" i="83"/>
  <c r="G84" i="83"/>
  <c r="J136" i="57"/>
  <c r="J135" i="57" s="1"/>
  <c r="BQ107" i="82"/>
  <c r="BQ111" i="82" s="1"/>
  <c r="BQ113" i="82" s="1"/>
  <c r="BJ107" i="82"/>
  <c r="AA111" i="82"/>
  <c r="AA113" i="82" s="1"/>
  <c r="G15" i="96" l="1"/>
  <c r="G17" i="96"/>
  <c r="G18" i="96"/>
  <c r="G19" i="96"/>
  <c r="G21" i="96"/>
  <c r="G22" i="96"/>
  <c r="G23" i="96"/>
  <c r="G24" i="96"/>
  <c r="E48" i="81"/>
  <c r="F48" i="81" s="1"/>
  <c r="E46" i="81"/>
  <c r="F46" i="81" s="1"/>
  <c r="E23" i="99" l="1"/>
  <c r="H9" i="103" l="1"/>
  <c r="E39" i="80"/>
  <c r="F39" i="80"/>
  <c r="G39" i="80"/>
  <c r="H39" i="80"/>
  <c r="I39" i="80"/>
  <c r="L39" i="80"/>
  <c r="M39" i="80"/>
  <c r="Q39" i="80"/>
  <c r="R39" i="80"/>
  <c r="S39" i="80"/>
  <c r="T39" i="80"/>
  <c r="U39" i="80"/>
  <c r="V39" i="80"/>
  <c r="W39" i="80"/>
  <c r="X39" i="80"/>
  <c r="Q58" i="80"/>
  <c r="R58" i="80"/>
  <c r="S58" i="80"/>
  <c r="T58" i="80"/>
  <c r="U58" i="80"/>
  <c r="V58" i="80"/>
  <c r="W58" i="80"/>
  <c r="X58" i="80"/>
  <c r="Q59" i="80"/>
  <c r="R59" i="80"/>
  <c r="S59" i="80"/>
  <c r="T59" i="80"/>
  <c r="U59" i="80"/>
  <c r="V59" i="80"/>
  <c r="W59" i="80"/>
  <c r="X59" i="80"/>
  <c r="P47" i="80"/>
  <c r="P39" i="80" s="1"/>
  <c r="F30" i="80"/>
  <c r="J30" i="80" s="1"/>
  <c r="O30" i="80" s="1"/>
  <c r="P30" i="80"/>
  <c r="P29" i="80"/>
  <c r="N30" i="80"/>
  <c r="I22" i="80"/>
  <c r="I14" i="80" s="1"/>
  <c r="E170" i="81"/>
  <c r="E169" i="81"/>
  <c r="E171" i="81"/>
  <c r="E162" i="81"/>
  <c r="E154" i="81"/>
  <c r="E145" i="81"/>
  <c r="E146" i="81"/>
  <c r="Q14" i="80"/>
  <c r="R14" i="80"/>
  <c r="S14" i="80"/>
  <c r="S57" i="80" s="1"/>
  <c r="T14" i="80"/>
  <c r="U14" i="80"/>
  <c r="U57" i="80" s="1"/>
  <c r="V14" i="80"/>
  <c r="W14" i="80"/>
  <c r="X14" i="80"/>
  <c r="P22" i="80"/>
  <c r="P14" i="80" s="1"/>
  <c r="M22" i="80"/>
  <c r="M14" i="80" s="1"/>
  <c r="A57" i="80"/>
  <c r="A39" i="80"/>
  <c r="A30" i="80"/>
  <c r="A22" i="80"/>
  <c r="A14" i="80"/>
  <c r="A49" i="99"/>
  <c r="A47" i="80" s="1"/>
  <c r="D41" i="99"/>
  <c r="I32" i="99"/>
  <c r="L32" i="99" s="1"/>
  <c r="M32" i="99" s="1"/>
  <c r="C15" i="99"/>
  <c r="E15" i="99"/>
  <c r="K15" i="99"/>
  <c r="K59" i="99" s="1"/>
  <c r="G32" i="99"/>
  <c r="C72" i="81"/>
  <c r="E72" i="81"/>
  <c r="E73" i="81"/>
  <c r="D41" i="81"/>
  <c r="F49" i="99" s="1"/>
  <c r="F41" i="99" s="1"/>
  <c r="E23" i="81"/>
  <c r="B82" i="81"/>
  <c r="B98" i="81" s="1"/>
  <c r="B23" i="81"/>
  <c r="B32" i="81" s="1"/>
  <c r="B41" i="81" s="1"/>
  <c r="I57" i="80" l="1"/>
  <c r="T57" i="80"/>
  <c r="F72" i="81"/>
  <c r="P57" i="80"/>
  <c r="W57" i="80"/>
  <c r="Q57" i="80"/>
  <c r="V57" i="80"/>
  <c r="X57" i="80"/>
  <c r="R57" i="80"/>
  <c r="B55" i="81"/>
  <c r="B64" i="81" s="1"/>
  <c r="B73" i="81" s="1"/>
  <c r="M57" i="80"/>
  <c r="E41" i="81"/>
  <c r="B114" i="81"/>
  <c r="B122" i="81" s="1"/>
  <c r="B130" i="81" s="1"/>
  <c r="B138" i="81" s="1"/>
  <c r="B146" i="81" s="1"/>
  <c r="B154" i="81" s="1"/>
  <c r="B162" i="81" s="1"/>
  <c r="B170" i="81" s="1"/>
  <c r="B89" i="81"/>
  <c r="B105" i="81" s="1"/>
  <c r="K73" i="39" l="1"/>
  <c r="AB46" i="83" l="1"/>
  <c r="AC46" i="83"/>
  <c r="AC97" i="83"/>
  <c r="H7" i="103"/>
  <c r="H19" i="103"/>
  <c r="L88" i="36"/>
  <c r="L86" i="36"/>
  <c r="L80" i="36"/>
  <c r="L60" i="36"/>
  <c r="L41" i="36"/>
  <c r="C171" i="81"/>
  <c r="F23" i="99"/>
  <c r="F15" i="99" s="1"/>
  <c r="F59" i="99" s="1"/>
  <c r="K100" i="57"/>
  <c r="K93" i="57"/>
  <c r="K84" i="57"/>
  <c r="AC96" i="83"/>
  <c r="K62" i="57"/>
  <c r="K60" i="57"/>
  <c r="K58" i="57"/>
  <c r="K55" i="57"/>
  <c r="K53" i="57"/>
  <c r="K43" i="57"/>
  <c r="K17" i="57"/>
  <c r="K16" i="57"/>
  <c r="AD93" i="83"/>
  <c r="D57" i="81" s="1"/>
  <c r="AD89" i="83"/>
  <c r="AD87" i="83"/>
  <c r="AD83" i="83"/>
  <c r="AD82" i="83"/>
  <c r="AD80" i="83"/>
  <c r="AD79" i="83"/>
  <c r="AD78" i="83"/>
  <c r="AD77" i="83"/>
  <c r="AD76" i="83"/>
  <c r="AD75" i="83"/>
  <c r="AD74" i="83"/>
  <c r="AD73" i="83"/>
  <c r="AD71" i="83"/>
  <c r="AD70" i="83"/>
  <c r="AD68" i="83"/>
  <c r="AD67" i="83"/>
  <c r="AD65" i="83"/>
  <c r="AD64" i="83"/>
  <c r="AD63" i="83"/>
  <c r="AD62" i="83"/>
  <c r="AD61" i="83"/>
  <c r="AD60" i="83"/>
  <c r="AD59" i="83"/>
  <c r="AD58" i="83"/>
  <c r="AD57" i="83"/>
  <c r="AD56" i="83"/>
  <c r="AD55" i="83"/>
  <c r="AD54" i="83"/>
  <c r="AD53" i="83"/>
  <c r="AD52" i="83"/>
  <c r="AD50" i="83"/>
  <c r="AD49" i="83"/>
  <c r="AD48" i="83"/>
  <c r="AD47" i="83"/>
  <c r="AD45" i="83"/>
  <c r="AD44" i="83"/>
  <c r="AD43" i="83"/>
  <c r="AD41" i="83"/>
  <c r="AD40" i="83"/>
  <c r="AD39" i="83"/>
  <c r="AD38" i="83"/>
  <c r="AD37" i="83"/>
  <c r="AD36" i="83"/>
  <c r="AD35" i="83"/>
  <c r="AD34" i="83"/>
  <c r="AD31" i="83"/>
  <c r="AD30" i="83"/>
  <c r="AD28" i="83"/>
  <c r="AD27" i="83"/>
  <c r="AD26" i="83"/>
  <c r="AD25" i="83"/>
  <c r="AD23" i="83"/>
  <c r="AD22" i="83"/>
  <c r="AD21" i="83"/>
  <c r="AD20" i="83"/>
  <c r="AD18" i="83"/>
  <c r="AD17" i="83"/>
  <c r="AD16" i="83"/>
  <c r="AD15" i="83"/>
  <c r="AD14" i="83"/>
  <c r="AD13" i="83"/>
  <c r="AD11" i="83"/>
  <c r="AC95" i="83"/>
  <c r="D14" i="81" s="1"/>
  <c r="B49" i="106" s="1"/>
  <c r="AC93" i="83"/>
  <c r="D55" i="81" s="1"/>
  <c r="AC89" i="83"/>
  <c r="AC87" i="83"/>
  <c r="AC83" i="83"/>
  <c r="AC82" i="83"/>
  <c r="AC80" i="83"/>
  <c r="AC79" i="83"/>
  <c r="AC78" i="83"/>
  <c r="AC77" i="83"/>
  <c r="AC76" i="83"/>
  <c r="AC75" i="83"/>
  <c r="AC74" i="83"/>
  <c r="AC73" i="83"/>
  <c r="AC71" i="83"/>
  <c r="AC70" i="83"/>
  <c r="AC68" i="83"/>
  <c r="AC67" i="83"/>
  <c r="AC65" i="83"/>
  <c r="AC64" i="83"/>
  <c r="AC63" i="83"/>
  <c r="AC62" i="83"/>
  <c r="AC61" i="83"/>
  <c r="AC60" i="83"/>
  <c r="AC59" i="83"/>
  <c r="AC58" i="83"/>
  <c r="AC57" i="83"/>
  <c r="AC56" i="83"/>
  <c r="AC55" i="83"/>
  <c r="AC54" i="83"/>
  <c r="AC53" i="83"/>
  <c r="AC52" i="83"/>
  <c r="AC50" i="83"/>
  <c r="AC49" i="83"/>
  <c r="AC48" i="83"/>
  <c r="AC47" i="83"/>
  <c r="AC45" i="83"/>
  <c r="AC44" i="83"/>
  <c r="AC43" i="83"/>
  <c r="AC41" i="83"/>
  <c r="AC40" i="83"/>
  <c r="AC39" i="83"/>
  <c r="AC38" i="83"/>
  <c r="AC37" i="83"/>
  <c r="AC36" i="83"/>
  <c r="AC35" i="83"/>
  <c r="AC34" i="83"/>
  <c r="AC31" i="83"/>
  <c r="AC30" i="83"/>
  <c r="AC28" i="83"/>
  <c r="AC27" i="83"/>
  <c r="AC26" i="83"/>
  <c r="AC25" i="83"/>
  <c r="AC23" i="83"/>
  <c r="AC22" i="83"/>
  <c r="AC21" i="83"/>
  <c r="AC20" i="83"/>
  <c r="AC18" i="83"/>
  <c r="AC17" i="83"/>
  <c r="AC16" i="83"/>
  <c r="AC15" i="83"/>
  <c r="AC14" i="83"/>
  <c r="AC13" i="83"/>
  <c r="AC11" i="83"/>
  <c r="P85" i="83"/>
  <c r="P72" i="83"/>
  <c r="P69" i="83"/>
  <c r="P51" i="83"/>
  <c r="P42" i="83"/>
  <c r="P33" i="83"/>
  <c r="P32" i="83"/>
  <c r="P29" i="83"/>
  <c r="O85" i="83"/>
  <c r="O72" i="83"/>
  <c r="O69" i="83"/>
  <c r="O51" i="83"/>
  <c r="O42" i="83"/>
  <c r="O33" i="83"/>
  <c r="O32" i="83"/>
  <c r="O29" i="83"/>
  <c r="I85" i="83"/>
  <c r="I72" i="83"/>
  <c r="I69" i="83"/>
  <c r="I51" i="83"/>
  <c r="I42" i="83"/>
  <c r="I33" i="83"/>
  <c r="I32" i="83"/>
  <c r="I29" i="83"/>
  <c r="H85" i="83"/>
  <c r="H72" i="83"/>
  <c r="H69" i="83"/>
  <c r="H51" i="83"/>
  <c r="H42" i="83"/>
  <c r="H33" i="83"/>
  <c r="H32" i="83"/>
  <c r="H29" i="83"/>
  <c r="AC9" i="83"/>
  <c r="O9" i="83"/>
  <c r="L82" i="36"/>
  <c r="L23" i="80"/>
  <c r="K23" i="80"/>
  <c r="L64" i="36"/>
  <c r="L62" i="36" s="1"/>
  <c r="L59" i="36"/>
  <c r="J23" i="99" s="1"/>
  <c r="J15" i="99" s="1"/>
  <c r="J59" i="99" s="1"/>
  <c r="I23" i="99"/>
  <c r="J57" i="39"/>
  <c r="J51" i="39"/>
  <c r="K8" i="39"/>
  <c r="J63" i="39"/>
  <c r="J62" i="39"/>
  <c r="J61" i="39"/>
  <c r="J60" i="39"/>
  <c r="J59" i="39"/>
  <c r="J56" i="39"/>
  <c r="J55" i="39"/>
  <c r="J54" i="39"/>
  <c r="J53" i="39"/>
  <c r="J52" i="39"/>
  <c r="J50" i="39"/>
  <c r="J47" i="39"/>
  <c r="J46" i="39"/>
  <c r="J45" i="39"/>
  <c r="J44" i="39"/>
  <c r="J42" i="39"/>
  <c r="J41" i="39"/>
  <c r="J40" i="39"/>
  <c r="J38" i="39"/>
  <c r="J35" i="39"/>
  <c r="J34" i="39"/>
  <c r="J33" i="39"/>
  <c r="J32" i="39"/>
  <c r="J31" i="39"/>
  <c r="J30" i="39"/>
  <c r="J29" i="39"/>
  <c r="J28" i="39"/>
  <c r="J27" i="39"/>
  <c r="J26" i="39"/>
  <c r="J25" i="39"/>
  <c r="J24" i="39"/>
  <c r="J23" i="39"/>
  <c r="J22" i="39"/>
  <c r="J21" i="39"/>
  <c r="J20" i="39"/>
  <c r="J19" i="39"/>
  <c r="J18" i="39"/>
  <c r="J17" i="39"/>
  <c r="L7" i="58"/>
  <c r="L7" i="57"/>
  <c r="K144" i="57"/>
  <c r="K143" i="57"/>
  <c r="K140" i="57"/>
  <c r="K139" i="57"/>
  <c r="K138" i="57"/>
  <c r="K137" i="57"/>
  <c r="K119" i="57"/>
  <c r="K118" i="57"/>
  <c r="K117" i="57"/>
  <c r="K116" i="57"/>
  <c r="K114" i="57"/>
  <c r="K111" i="57"/>
  <c r="K110" i="57"/>
  <c r="K109" i="57"/>
  <c r="K108" i="57"/>
  <c r="K107" i="57"/>
  <c r="K106" i="57"/>
  <c r="K104" i="57"/>
  <c r="K103" i="57"/>
  <c r="K102" i="57"/>
  <c r="K101" i="57"/>
  <c r="K99" i="57"/>
  <c r="K98" i="57"/>
  <c r="K97" i="57"/>
  <c r="K96" i="57"/>
  <c r="K95" i="57"/>
  <c r="K94" i="57"/>
  <c r="K88" i="57"/>
  <c r="K87" i="57"/>
  <c r="K86" i="57"/>
  <c r="K85" i="57"/>
  <c r="K83" i="57"/>
  <c r="K82" i="57"/>
  <c r="K81" i="57"/>
  <c r="K79" i="57"/>
  <c r="K78" i="57"/>
  <c r="K77" i="57"/>
  <c r="K75" i="57"/>
  <c r="K74" i="57"/>
  <c r="K73" i="57"/>
  <c r="K72" i="57"/>
  <c r="K71" i="57"/>
  <c r="K70" i="57"/>
  <c r="K68" i="57"/>
  <c r="K67" i="57"/>
  <c r="K64" i="57"/>
  <c r="K63" i="57"/>
  <c r="K61" i="57"/>
  <c r="K57" i="57"/>
  <c r="K56" i="57"/>
  <c r="K52" i="57"/>
  <c r="K51" i="57"/>
  <c r="K50" i="57"/>
  <c r="K49" i="57"/>
  <c r="K46" i="57"/>
  <c r="K45" i="57"/>
  <c r="K44" i="57"/>
  <c r="K42" i="57"/>
  <c r="K41" i="57"/>
  <c r="K40" i="57"/>
  <c r="K39" i="57"/>
  <c r="K38" i="57"/>
  <c r="K37" i="57"/>
  <c r="K36" i="57"/>
  <c r="K35" i="57"/>
  <c r="K34" i="57"/>
  <c r="K33" i="57"/>
  <c r="K29" i="57"/>
  <c r="K27" i="57"/>
  <c r="K25" i="57"/>
  <c r="K24" i="57"/>
  <c r="K23" i="57"/>
  <c r="K22" i="57"/>
  <c r="K21" i="57"/>
  <c r="K20" i="57"/>
  <c r="K19" i="57"/>
  <c r="K18" i="57"/>
  <c r="K15" i="57"/>
  <c r="K14" i="57"/>
  <c r="K13" i="57"/>
  <c r="K90" i="36"/>
  <c r="K89" i="36"/>
  <c r="K87" i="36"/>
  <c r="K85" i="36"/>
  <c r="K81" i="36"/>
  <c r="K75" i="36"/>
  <c r="K74" i="36"/>
  <c r="K11" i="36"/>
  <c r="K12" i="36"/>
  <c r="K13" i="36"/>
  <c r="K14" i="36"/>
  <c r="K15" i="36"/>
  <c r="K16" i="36"/>
  <c r="K18" i="36"/>
  <c r="K19" i="36"/>
  <c r="K20" i="36"/>
  <c r="K21" i="36"/>
  <c r="K22" i="36"/>
  <c r="K24" i="36"/>
  <c r="K25" i="36"/>
  <c r="K26" i="36"/>
  <c r="K27" i="36"/>
  <c r="K28" i="36"/>
  <c r="K29" i="36"/>
  <c r="K31" i="36"/>
  <c r="K32" i="36"/>
  <c r="K33" i="36"/>
  <c r="K34" i="36"/>
  <c r="K35" i="36"/>
  <c r="K36" i="36"/>
  <c r="K37" i="36"/>
  <c r="K38" i="36"/>
  <c r="K39" i="36"/>
  <c r="K40" i="36"/>
  <c r="K42" i="36"/>
  <c r="K43" i="36"/>
  <c r="K44" i="36"/>
  <c r="K45" i="36"/>
  <c r="K46" i="36"/>
  <c r="K48" i="36"/>
  <c r="K49" i="36"/>
  <c r="K50" i="36"/>
  <c r="K52" i="36"/>
  <c r="K53" i="36"/>
  <c r="K54" i="36"/>
  <c r="BY12" i="82"/>
  <c r="BZ12" i="82"/>
  <c r="BY13" i="82"/>
  <c r="BZ13" i="82"/>
  <c r="BY14" i="82"/>
  <c r="BZ14" i="82"/>
  <c r="BY15" i="82"/>
  <c r="BZ15" i="82"/>
  <c r="BY16" i="82"/>
  <c r="BZ16" i="82"/>
  <c r="BY17" i="82"/>
  <c r="BY18" i="82"/>
  <c r="BZ18" i="82"/>
  <c r="BY19" i="82"/>
  <c r="BZ19" i="82"/>
  <c r="BY24" i="82"/>
  <c r="BZ24" i="82"/>
  <c r="BY26" i="82"/>
  <c r="BZ26" i="82"/>
  <c r="BY27" i="82"/>
  <c r="BZ27" i="82"/>
  <c r="BY29" i="82"/>
  <c r="BY31" i="82"/>
  <c r="BZ31" i="82"/>
  <c r="BY34" i="82"/>
  <c r="BZ34" i="82"/>
  <c r="BY38" i="82"/>
  <c r="BZ38" i="82"/>
  <c r="BY40" i="82"/>
  <c r="BZ40" i="82"/>
  <c r="BY41" i="82"/>
  <c r="BZ41" i="82"/>
  <c r="BY42" i="82"/>
  <c r="BZ42" i="82"/>
  <c r="BY43" i="82"/>
  <c r="BZ43" i="82"/>
  <c r="BY44" i="82"/>
  <c r="BZ44" i="82"/>
  <c r="BY45" i="82"/>
  <c r="BZ45" i="82"/>
  <c r="BY48" i="82"/>
  <c r="BZ48" i="82"/>
  <c r="BY51" i="82"/>
  <c r="BZ51" i="82"/>
  <c r="BY54" i="82"/>
  <c r="BZ54" i="82"/>
  <c r="BY56" i="82"/>
  <c r="BZ56" i="82"/>
  <c r="BY57" i="82"/>
  <c r="BZ57" i="82"/>
  <c r="BY59" i="82"/>
  <c r="BZ59" i="82"/>
  <c r="BZ60" i="82"/>
  <c r="BY61" i="82"/>
  <c r="BZ61" i="82"/>
  <c r="BY63" i="82"/>
  <c r="BZ63" i="82"/>
  <c r="BZ66" i="82"/>
  <c r="BY68" i="82"/>
  <c r="BZ68" i="82"/>
  <c r="BY70" i="82"/>
  <c r="BZ70" i="82"/>
  <c r="BY71" i="82"/>
  <c r="BZ71" i="82"/>
  <c r="BY72" i="82"/>
  <c r="BZ72" i="82"/>
  <c r="BY74" i="82"/>
  <c r="BZ74" i="82"/>
  <c r="BZ75" i="82"/>
  <c r="BY76" i="82"/>
  <c r="BZ76" i="82"/>
  <c r="BY77" i="82"/>
  <c r="BZ77" i="82"/>
  <c r="BZ79" i="82"/>
  <c r="BY80" i="82"/>
  <c r="BZ80" i="82"/>
  <c r="BY81" i="82"/>
  <c r="BZ81" i="82"/>
  <c r="BY82" i="82"/>
  <c r="BZ82" i="82"/>
  <c r="BY86" i="82"/>
  <c r="BZ86" i="82"/>
  <c r="BY87" i="82"/>
  <c r="BZ87" i="82"/>
  <c r="BY88" i="82"/>
  <c r="BZ88" i="82"/>
  <c r="BY89" i="82"/>
  <c r="BZ89" i="82"/>
  <c r="BY96" i="82"/>
  <c r="BZ96" i="82"/>
  <c r="BZ97" i="82"/>
  <c r="BZ100" i="82"/>
  <c r="BZ101" i="82"/>
  <c r="BY102" i="82"/>
  <c r="BZ102" i="82"/>
  <c r="BY104" i="82"/>
  <c r="BZ104" i="82"/>
  <c r="BZ105" i="82"/>
  <c r="BY106" i="82"/>
  <c r="BZ106" i="82"/>
  <c r="BY109" i="82"/>
  <c r="BZ109" i="82"/>
  <c r="BY10" i="82"/>
  <c r="BS98" i="82"/>
  <c r="BS95" i="82"/>
  <c r="BS46" i="82"/>
  <c r="BS37" i="82"/>
  <c r="BR95" i="82"/>
  <c r="BR49" i="82"/>
  <c r="BR46" i="82"/>
  <c r="BR37" i="82"/>
  <c r="BR36" i="82"/>
  <c r="BR10" i="82"/>
  <c r="BL98" i="82"/>
  <c r="BL95" i="82"/>
  <c r="BZ65" i="82"/>
  <c r="BZ64" i="82"/>
  <c r="BZ62" i="82"/>
  <c r="BL49" i="82"/>
  <c r="BL46" i="82"/>
  <c r="BL37" i="82"/>
  <c r="BL36" i="82"/>
  <c r="BK98" i="82"/>
  <c r="BK95" i="82"/>
  <c r="BY65" i="82"/>
  <c r="BY64" i="82"/>
  <c r="BY62" i="82"/>
  <c r="BK46" i="82"/>
  <c r="BK37" i="82"/>
  <c r="BK36" i="82"/>
  <c r="BZ108" i="82"/>
  <c r="BY108" i="82"/>
  <c r="AP10" i="82"/>
  <c r="BK10" i="82" s="1"/>
  <c r="BZ69" i="82"/>
  <c r="BZ55" i="82"/>
  <c r="BZ17" i="82"/>
  <c r="BY79" i="82"/>
  <c r="BY55" i="82"/>
  <c r="AI10" i="82"/>
  <c r="BZ85" i="82"/>
  <c r="BZ53" i="82"/>
  <c r="BY53" i="82"/>
  <c r="BY28" i="82"/>
  <c r="AA10" i="82"/>
  <c r="AB10" i="82"/>
  <c r="U10" i="82"/>
  <c r="V98" i="82"/>
  <c r="V95" i="82"/>
  <c r="V49" i="82"/>
  <c r="V46" i="82"/>
  <c r="V37" i="82"/>
  <c r="V36" i="82"/>
  <c r="V20" i="82"/>
  <c r="V11" i="82"/>
  <c r="U98" i="82"/>
  <c r="U95" i="82"/>
  <c r="BY50" i="82"/>
  <c r="U49" i="82"/>
  <c r="U46" i="82"/>
  <c r="U37" i="82"/>
  <c r="U36" i="82"/>
  <c r="U20" i="82"/>
  <c r="U11" i="82"/>
  <c r="BZ83" i="82"/>
  <c r="BZ78" i="82"/>
  <c r="BZ67" i="82"/>
  <c r="BZ58" i="82"/>
  <c r="BZ52" i="82"/>
  <c r="BZ35" i="82"/>
  <c r="BZ33" i="82"/>
  <c r="BZ29" i="82"/>
  <c r="BZ25" i="82"/>
  <c r="BZ23" i="82"/>
  <c r="BZ22" i="82"/>
  <c r="BZ21" i="82"/>
  <c r="BY105" i="82"/>
  <c r="BY101" i="82"/>
  <c r="BY99" i="82"/>
  <c r="BY83" i="82"/>
  <c r="BY78" i="82"/>
  <c r="BY69" i="82"/>
  <c r="BY67" i="82"/>
  <c r="BY60" i="82"/>
  <c r="BY58" i="82"/>
  <c r="BY52" i="82"/>
  <c r="BY25" i="82"/>
  <c r="BY23" i="82"/>
  <c r="BY22" i="82"/>
  <c r="BY21" i="82"/>
  <c r="B41" i="106" l="1"/>
  <c r="D49" i="106"/>
  <c r="BY46" i="82"/>
  <c r="BY95" i="82"/>
  <c r="BY36" i="82"/>
  <c r="L129" i="57" s="1"/>
  <c r="C122" i="81" s="1"/>
  <c r="C22" i="105" s="1"/>
  <c r="C14" i="105" s="1"/>
  <c r="C57" i="105" s="1"/>
  <c r="AC85" i="83"/>
  <c r="D138" i="81" s="1"/>
  <c r="E138" i="81" s="1"/>
  <c r="E55" i="81"/>
  <c r="C49" i="99"/>
  <c r="C41" i="99" s="1"/>
  <c r="C59" i="99" s="1"/>
  <c r="AC69" i="83"/>
  <c r="AC42" i="83"/>
  <c r="AC33" i="83"/>
  <c r="AC32" i="83"/>
  <c r="L134" i="57"/>
  <c r="L72" i="36" s="1"/>
  <c r="C146" i="81"/>
  <c r="E22" i="105" s="1"/>
  <c r="J58" i="39"/>
  <c r="L79" i="36"/>
  <c r="L115" i="57"/>
  <c r="H17" i="103"/>
  <c r="H16" i="103" s="1"/>
  <c r="H15" i="103" s="1"/>
  <c r="H8" i="103" s="1"/>
  <c r="C170" i="81"/>
  <c r="F170" i="81" s="1"/>
  <c r="D15" i="81"/>
  <c r="B50" i="106" s="1"/>
  <c r="L58" i="36"/>
  <c r="L57" i="36" s="1"/>
  <c r="C41" i="81" s="1"/>
  <c r="K112" i="57"/>
  <c r="K105" i="57"/>
  <c r="D23" i="99"/>
  <c r="D15" i="99" s="1"/>
  <c r="D59" i="99" s="1"/>
  <c r="K113" i="57"/>
  <c r="K141" i="57"/>
  <c r="F23" i="80"/>
  <c r="C155" i="81"/>
  <c r="L51" i="36"/>
  <c r="I15" i="99"/>
  <c r="I59" i="99" s="1"/>
  <c r="I81" i="83"/>
  <c r="I88" i="83" s="1"/>
  <c r="P81" i="83"/>
  <c r="P88" i="83" s="1"/>
  <c r="AD32" i="83"/>
  <c r="AD29" i="83"/>
  <c r="BY39" i="82"/>
  <c r="BY11" i="82"/>
  <c r="AB111" i="82"/>
  <c r="AB113" i="82" s="1"/>
  <c r="BY37" i="82"/>
  <c r="BR98" i="82"/>
  <c r="BR107" i="82" s="1"/>
  <c r="BR111" i="82" s="1"/>
  <c r="BR113" i="82" s="1"/>
  <c r="BS36" i="82"/>
  <c r="BY97" i="82"/>
  <c r="BY66" i="82"/>
  <c r="BZ47" i="82"/>
  <c r="BZ28" i="82"/>
  <c r="BZ50" i="82"/>
  <c r="BY47" i="82"/>
  <c r="BY35" i="82"/>
  <c r="BK49" i="82"/>
  <c r="BK107" i="82" s="1"/>
  <c r="BZ99" i="82"/>
  <c r="BY85" i="82"/>
  <c r="BZ30" i="82"/>
  <c r="AQ113" i="82"/>
  <c r="BY33" i="82"/>
  <c r="BY30" i="82"/>
  <c r="BS49" i="82"/>
  <c r="BS107" i="82" s="1"/>
  <c r="BZ39" i="82"/>
  <c r="L84" i="36"/>
  <c r="O22" i="105" s="1"/>
  <c r="O14" i="105" s="1"/>
  <c r="BL107" i="82"/>
  <c r="BL111" i="82" s="1"/>
  <c r="BL113" i="82" s="1"/>
  <c r="L47" i="36"/>
  <c r="L30" i="36"/>
  <c r="K76" i="57"/>
  <c r="L23" i="36"/>
  <c r="AC29" i="83"/>
  <c r="AC51" i="83"/>
  <c r="H81" i="83"/>
  <c r="H84" i="83" s="1"/>
  <c r="AC72" i="83"/>
  <c r="O81" i="83"/>
  <c r="K12" i="57"/>
  <c r="K30" i="57"/>
  <c r="K48" i="57"/>
  <c r="K47" i="57"/>
  <c r="K32" i="57"/>
  <c r="AD100" i="83"/>
  <c r="K59" i="57"/>
  <c r="K142" i="57"/>
  <c r="K54" i="57"/>
  <c r="K80" i="57"/>
  <c r="K121" i="57"/>
  <c r="AC100" i="83"/>
  <c r="K31" i="57"/>
  <c r="L22" i="80"/>
  <c r="L14" i="80" s="1"/>
  <c r="L57" i="80" s="1"/>
  <c r="AP113" i="82"/>
  <c r="BY20" i="82"/>
  <c r="U32" i="82"/>
  <c r="V107" i="82"/>
  <c r="U107" i="82"/>
  <c r="V32" i="82"/>
  <c r="B42" i="106" l="1"/>
  <c r="B60" i="106" s="1"/>
  <c r="D50" i="106"/>
  <c r="D41" i="106"/>
  <c r="M41" i="106" s="1"/>
  <c r="M49" i="106"/>
  <c r="F55" i="81"/>
  <c r="C22" i="80"/>
  <c r="C14" i="80" s="1"/>
  <c r="E14" i="105"/>
  <c r="M22" i="105"/>
  <c r="K47" i="80"/>
  <c r="N47" i="80" s="1"/>
  <c r="AC81" i="83"/>
  <c r="AC84" i="83" s="1"/>
  <c r="AC88" i="83" s="1"/>
  <c r="AC101" i="83" s="1"/>
  <c r="I84" i="83"/>
  <c r="L130" i="57"/>
  <c r="D122" i="81"/>
  <c r="L127" i="57"/>
  <c r="D114" i="81"/>
  <c r="F146" i="81"/>
  <c r="E22" i="80"/>
  <c r="E14" i="80" s="1"/>
  <c r="E57" i="80" s="1"/>
  <c r="K22" i="80"/>
  <c r="H23" i="99"/>
  <c r="L17" i="36"/>
  <c r="C23" i="81" s="1"/>
  <c r="F23" i="81" s="1"/>
  <c r="L56" i="36"/>
  <c r="L55" i="36" s="1"/>
  <c r="B49" i="99"/>
  <c r="B41" i="99" s="1"/>
  <c r="E14" i="81"/>
  <c r="L83" i="36"/>
  <c r="H22" i="80"/>
  <c r="H14" i="80" s="1"/>
  <c r="H57" i="80" s="1"/>
  <c r="BS111" i="82"/>
  <c r="BS113" i="82" s="1"/>
  <c r="C138" i="81"/>
  <c r="F138" i="81" s="1"/>
  <c r="I112" i="82"/>
  <c r="BZ112" i="82" s="1"/>
  <c r="L77" i="36"/>
  <c r="P84" i="83"/>
  <c r="H88" i="83"/>
  <c r="F41" i="81"/>
  <c r="BY32" i="82"/>
  <c r="L126" i="57" s="1"/>
  <c r="C114" i="81" s="1"/>
  <c r="B22" i="105" s="1"/>
  <c r="B14" i="105" s="1"/>
  <c r="B57" i="105" s="1"/>
  <c r="H112" i="82"/>
  <c r="BY112" i="82" s="1"/>
  <c r="L78" i="36"/>
  <c r="BK111" i="82"/>
  <c r="BK113" i="82" s="1"/>
  <c r="AC111" i="82"/>
  <c r="AC113" i="82" s="1"/>
  <c r="O84" i="83"/>
  <c r="O88" i="83"/>
  <c r="K26" i="57"/>
  <c r="K28" i="57"/>
  <c r="K11" i="57"/>
  <c r="V111" i="82"/>
  <c r="V113" i="82" s="1"/>
  <c r="U111" i="82"/>
  <c r="U113" i="82" s="1"/>
  <c r="K39" i="80" l="1"/>
  <c r="N39" i="80" s="1"/>
  <c r="D42" i="106"/>
  <c r="M50" i="106"/>
  <c r="M14" i="105"/>
  <c r="E57" i="105"/>
  <c r="D130" i="81"/>
  <c r="E130" i="81" s="1"/>
  <c r="L133" i="57"/>
  <c r="E122" i="81"/>
  <c r="F122" i="81" s="1"/>
  <c r="C47" i="80"/>
  <c r="C39" i="80" s="1"/>
  <c r="C57" i="80" s="1"/>
  <c r="AD102" i="83"/>
  <c r="E114" i="81"/>
  <c r="F114" i="81" s="1"/>
  <c r="B47" i="80"/>
  <c r="B39" i="80" s="1"/>
  <c r="B22" i="80"/>
  <c r="B14" i="80" s="1"/>
  <c r="H15" i="99"/>
  <c r="H59" i="99" s="1"/>
  <c r="L23" i="99"/>
  <c r="L15" i="99" s="1"/>
  <c r="L59" i="99" s="1"/>
  <c r="K10" i="57"/>
  <c r="L76" i="36"/>
  <c r="K14" i="80"/>
  <c r="N22" i="80"/>
  <c r="AC102" i="83"/>
  <c r="D64" i="81"/>
  <c r="L10" i="36"/>
  <c r="L9" i="36" s="1"/>
  <c r="L65" i="36" s="1"/>
  <c r="F22" i="80"/>
  <c r="F29" i="80"/>
  <c r="P38" i="80"/>
  <c r="X38" i="80"/>
  <c r="W38" i="80"/>
  <c r="V38" i="80"/>
  <c r="U38" i="80"/>
  <c r="T38" i="80"/>
  <c r="S38" i="80"/>
  <c r="R38" i="80"/>
  <c r="Q38" i="80"/>
  <c r="P21" i="80"/>
  <c r="P13" i="80" s="1"/>
  <c r="X13" i="80"/>
  <c r="W13" i="80"/>
  <c r="V13" i="80"/>
  <c r="U13" i="80"/>
  <c r="T13" i="80"/>
  <c r="S13" i="80"/>
  <c r="R13" i="80"/>
  <c r="Q13" i="80"/>
  <c r="I31" i="99"/>
  <c r="D40" i="81"/>
  <c r="M42" i="106" l="1"/>
  <c r="D60" i="106"/>
  <c r="M60" i="106" s="1"/>
  <c r="D47" i="80"/>
  <c r="D39" i="80" s="1"/>
  <c r="D98" i="81"/>
  <c r="E98" i="81" s="1"/>
  <c r="B57" i="80"/>
  <c r="V56" i="80"/>
  <c r="S56" i="80"/>
  <c r="N14" i="80"/>
  <c r="N57" i="80" s="1"/>
  <c r="K57" i="80"/>
  <c r="J47" i="80"/>
  <c r="E64" i="81"/>
  <c r="D32" i="81"/>
  <c r="E49" i="99"/>
  <c r="F14" i="80"/>
  <c r="Q56" i="80"/>
  <c r="R56" i="80"/>
  <c r="X56" i="80"/>
  <c r="W56" i="80"/>
  <c r="T56" i="80"/>
  <c r="U56" i="80"/>
  <c r="L136" i="57"/>
  <c r="H110" i="82"/>
  <c r="K9" i="57"/>
  <c r="C14" i="81"/>
  <c r="B23" i="106" s="1"/>
  <c r="AB95" i="83"/>
  <c r="AB93" i="83"/>
  <c r="D54" i="81" s="1"/>
  <c r="C48" i="99" s="1"/>
  <c r="F89" i="81" l="1"/>
  <c r="N22" i="105"/>
  <c r="N14" i="105" s="1"/>
  <c r="B15" i="106"/>
  <c r="B59" i="106" s="1"/>
  <c r="D23" i="106"/>
  <c r="E41" i="99"/>
  <c r="E59" i="99" s="1"/>
  <c r="G49" i="99"/>
  <c r="G22" i="80"/>
  <c r="F64" i="81"/>
  <c r="J39" i="80"/>
  <c r="O39" i="80" s="1"/>
  <c r="O47" i="80"/>
  <c r="D82" i="81"/>
  <c r="E82" i="81" s="1"/>
  <c r="E32" i="81"/>
  <c r="F14" i="81"/>
  <c r="B23" i="99"/>
  <c r="L135" i="57"/>
  <c r="L73" i="36" s="1"/>
  <c r="C154" i="81"/>
  <c r="F57" i="80"/>
  <c r="K123" i="57"/>
  <c r="K8" i="57"/>
  <c r="BY110" i="82"/>
  <c r="H111" i="82"/>
  <c r="I109" i="57"/>
  <c r="G130" i="96"/>
  <c r="I31" i="57"/>
  <c r="I90" i="36"/>
  <c r="I89" i="36"/>
  <c r="I87" i="36"/>
  <c r="I85" i="36"/>
  <c r="I81" i="36"/>
  <c r="I75" i="36"/>
  <c r="I74" i="36"/>
  <c r="I54" i="36"/>
  <c r="I53" i="36"/>
  <c r="I52" i="36"/>
  <c r="I50" i="36"/>
  <c r="I49" i="36"/>
  <c r="I48" i="36"/>
  <c r="I46" i="36"/>
  <c r="I45" i="36"/>
  <c r="I44" i="36"/>
  <c r="I43" i="36"/>
  <c r="I42" i="36"/>
  <c r="I40" i="36"/>
  <c r="I39" i="36"/>
  <c r="I38" i="36"/>
  <c r="I37" i="36"/>
  <c r="I36" i="36"/>
  <c r="I35" i="36"/>
  <c r="I34" i="36"/>
  <c r="I33" i="36"/>
  <c r="I32" i="36"/>
  <c r="I31" i="36"/>
  <c r="I29" i="36"/>
  <c r="I28" i="36"/>
  <c r="I27" i="36"/>
  <c r="I26" i="36"/>
  <c r="I25" i="36"/>
  <c r="I24" i="36"/>
  <c r="I22" i="36"/>
  <c r="I21" i="36"/>
  <c r="I20" i="36"/>
  <c r="I19" i="36"/>
  <c r="I18" i="36"/>
  <c r="I16" i="36"/>
  <c r="I15" i="36"/>
  <c r="I14" i="36"/>
  <c r="I13" i="36"/>
  <c r="I12" i="36"/>
  <c r="I11" i="36"/>
  <c r="I144" i="57"/>
  <c r="I143" i="57"/>
  <c r="I140" i="57"/>
  <c r="I139" i="57"/>
  <c r="I119" i="57"/>
  <c r="I117" i="57"/>
  <c r="I116" i="57"/>
  <c r="I111" i="57"/>
  <c r="I110" i="57"/>
  <c r="I108" i="57"/>
  <c r="I107" i="57"/>
  <c r="I106" i="57"/>
  <c r="I103" i="57"/>
  <c r="I102" i="57"/>
  <c r="I98" i="57"/>
  <c r="I95" i="57"/>
  <c r="I94" i="57"/>
  <c r="I87" i="57"/>
  <c r="I86" i="57"/>
  <c r="I85" i="57"/>
  <c r="I83" i="57"/>
  <c r="I82" i="57"/>
  <c r="I79" i="57"/>
  <c r="I78" i="57"/>
  <c r="I77" i="57"/>
  <c r="I75" i="57"/>
  <c r="I74" i="57"/>
  <c r="I73" i="57"/>
  <c r="I72" i="57"/>
  <c r="I71" i="57"/>
  <c r="I70" i="57"/>
  <c r="I68" i="57"/>
  <c r="I63" i="57"/>
  <c r="I61" i="57"/>
  <c r="I56" i="57"/>
  <c r="I52" i="57"/>
  <c r="I51" i="57"/>
  <c r="I50" i="57"/>
  <c r="I45" i="57"/>
  <c r="I44" i="57"/>
  <c r="I42" i="57"/>
  <c r="I41" i="57"/>
  <c r="I40" i="57"/>
  <c r="I39" i="57"/>
  <c r="I36" i="57"/>
  <c r="I35" i="57"/>
  <c r="I34" i="57"/>
  <c r="I29" i="57"/>
  <c r="I27" i="57"/>
  <c r="I24" i="57"/>
  <c r="I22" i="57"/>
  <c r="I21" i="57"/>
  <c r="I20" i="57"/>
  <c r="I19" i="57"/>
  <c r="I18" i="57"/>
  <c r="I15" i="57"/>
  <c r="I108" i="58"/>
  <c r="I107" i="58"/>
  <c r="I106" i="58"/>
  <c r="I105" i="58"/>
  <c r="I102" i="58"/>
  <c r="I100" i="58"/>
  <c r="I99" i="58"/>
  <c r="I98" i="58"/>
  <c r="I97" i="58"/>
  <c r="I94" i="58"/>
  <c r="I93" i="58"/>
  <c r="I92" i="58"/>
  <c r="I91" i="58"/>
  <c r="I90" i="58"/>
  <c r="I89" i="58"/>
  <c r="I88" i="58"/>
  <c r="I87" i="58"/>
  <c r="I85" i="58"/>
  <c r="I84" i="58"/>
  <c r="I83" i="58"/>
  <c r="I82" i="58"/>
  <c r="I78" i="58"/>
  <c r="I77" i="58"/>
  <c r="I76" i="58"/>
  <c r="I73" i="58"/>
  <c r="I70" i="58"/>
  <c r="I68" i="58"/>
  <c r="I66" i="58"/>
  <c r="I65" i="58"/>
  <c r="I61" i="58"/>
  <c r="I60" i="58"/>
  <c r="I59" i="58"/>
  <c r="I55" i="58"/>
  <c r="I53" i="58"/>
  <c r="I51" i="58"/>
  <c r="I50" i="58"/>
  <c r="I37" i="58"/>
  <c r="I36" i="58"/>
  <c r="I35" i="58"/>
  <c r="I33" i="58"/>
  <c r="I32" i="58"/>
  <c r="I31" i="58"/>
  <c r="I30" i="58"/>
  <c r="I29" i="58"/>
  <c r="I26" i="58"/>
  <c r="I25" i="58"/>
  <c r="I24" i="58"/>
  <c r="I22" i="58"/>
  <c r="I21" i="58"/>
  <c r="I20" i="58"/>
  <c r="I19" i="58"/>
  <c r="I18" i="58"/>
  <c r="I17" i="58"/>
  <c r="I15" i="58"/>
  <c r="I12" i="58"/>
  <c r="I11" i="58"/>
  <c r="I10" i="58"/>
  <c r="I9" i="58"/>
  <c r="H63" i="39"/>
  <c r="H62" i="39"/>
  <c r="H61" i="39"/>
  <c r="H60" i="39"/>
  <c r="H56" i="39"/>
  <c r="H54" i="39"/>
  <c r="H53" i="39"/>
  <c r="H52" i="39"/>
  <c r="H47" i="39"/>
  <c r="H46" i="39"/>
  <c r="H45" i="39"/>
  <c r="H44" i="39"/>
  <c r="H42" i="39"/>
  <c r="H41" i="39"/>
  <c r="H40" i="39"/>
  <c r="H38" i="39"/>
  <c r="H35" i="39"/>
  <c r="H34" i="39"/>
  <c r="H32" i="39"/>
  <c r="H31" i="39"/>
  <c r="H30" i="39"/>
  <c r="H29" i="39"/>
  <c r="H28" i="39"/>
  <c r="H27" i="39"/>
  <c r="H26" i="39"/>
  <c r="H25" i="39"/>
  <c r="H24" i="39"/>
  <c r="H23" i="39"/>
  <c r="H22" i="39"/>
  <c r="H21" i="39"/>
  <c r="H20" i="39"/>
  <c r="H17" i="39"/>
  <c r="G19" i="103"/>
  <c r="G7" i="103"/>
  <c r="T46" i="82"/>
  <c r="T37" i="82"/>
  <c r="T36" i="82"/>
  <c r="T20" i="82"/>
  <c r="T11" i="82"/>
  <c r="J16" i="39"/>
  <c r="J13" i="39"/>
  <c r="M21" i="80"/>
  <c r="M115" i="57"/>
  <c r="I22" i="99"/>
  <c r="G9" i="103"/>
  <c r="K115" i="57"/>
  <c r="J14" i="39"/>
  <c r="J12" i="39"/>
  <c r="J43" i="39"/>
  <c r="J39" i="39" s="1"/>
  <c r="D15" i="106" l="1"/>
  <c r="M23" i="106"/>
  <c r="T107" i="82"/>
  <c r="C172" i="81"/>
  <c r="G14" i="80"/>
  <c r="F105" i="81"/>
  <c r="C162" i="81"/>
  <c r="F162" i="81" s="1"/>
  <c r="M49" i="99"/>
  <c r="G41" i="99"/>
  <c r="M41" i="99" s="1"/>
  <c r="F154" i="81"/>
  <c r="B15" i="99"/>
  <c r="B59" i="99" s="1"/>
  <c r="G23" i="99"/>
  <c r="H113" i="82"/>
  <c r="T32" i="82"/>
  <c r="G17" i="103"/>
  <c r="G16" i="103" s="1"/>
  <c r="G15" i="103" s="1"/>
  <c r="G8" i="103" s="1"/>
  <c r="C169" i="81"/>
  <c r="G112" i="82"/>
  <c r="I33" i="57"/>
  <c r="L24" i="80"/>
  <c r="K24" i="80"/>
  <c r="D59" i="106" l="1"/>
  <c r="M59" i="106" s="1"/>
  <c r="M15" i="106"/>
  <c r="T111" i="82"/>
  <c r="T113" i="82" s="1"/>
  <c r="I110" i="82"/>
  <c r="F24" i="80"/>
  <c r="G57" i="80"/>
  <c r="G15" i="99"/>
  <c r="M23" i="99"/>
  <c r="J15" i="39"/>
  <c r="H22" i="99"/>
  <c r="L21" i="80"/>
  <c r="K21" i="80"/>
  <c r="D22" i="99"/>
  <c r="J37" i="39"/>
  <c r="I111" i="82" l="1"/>
  <c r="I113" i="82" s="1"/>
  <c r="BZ110" i="82"/>
  <c r="M15" i="99"/>
  <c r="G59" i="99"/>
  <c r="M59" i="99" s="1"/>
  <c r="J11" i="39"/>
  <c r="N21" i="80"/>
  <c r="J36" i="39"/>
  <c r="J10" i="39" l="1"/>
  <c r="J9" i="39"/>
  <c r="B8" i="39" l="1"/>
  <c r="C7" i="58"/>
  <c r="G11" i="96"/>
  <c r="I16" i="57"/>
  <c r="I137" i="57"/>
  <c r="H58" i="39"/>
  <c r="G176" i="96"/>
  <c r="H19" i="39"/>
  <c r="T59" i="101"/>
  <c r="R59" i="101"/>
  <c r="O59" i="101"/>
  <c r="N59" i="101"/>
  <c r="M59" i="101"/>
  <c r="L59" i="101"/>
  <c r="K59" i="101"/>
  <c r="P59" i="101" s="1"/>
  <c r="H59" i="101"/>
  <c r="G59" i="101"/>
  <c r="F59" i="101"/>
  <c r="E59" i="101"/>
  <c r="D59" i="101"/>
  <c r="B59" i="101"/>
  <c r="O58" i="101"/>
  <c r="P58" i="101" s="1"/>
  <c r="Q58" i="101" s="1"/>
  <c r="L58" i="101"/>
  <c r="P57" i="101"/>
  <c r="I57" i="101"/>
  <c r="Q57" i="101" s="1"/>
  <c r="P56" i="101"/>
  <c r="I56" i="101"/>
  <c r="Q56" i="101" s="1"/>
  <c r="P55" i="101"/>
  <c r="I55" i="101"/>
  <c r="Q55" i="101" s="1"/>
  <c r="P54" i="101"/>
  <c r="I54" i="101"/>
  <c r="Q54" i="101" s="1"/>
  <c r="P53" i="101"/>
  <c r="I53" i="101"/>
  <c r="Q53" i="101" s="1"/>
  <c r="P52" i="101"/>
  <c r="I52" i="101"/>
  <c r="Q52" i="101" s="1"/>
  <c r="P51" i="101"/>
  <c r="I51" i="101"/>
  <c r="Q51" i="101" s="1"/>
  <c r="P50" i="101"/>
  <c r="I50" i="101"/>
  <c r="Q50" i="101" s="1"/>
  <c r="P49" i="101"/>
  <c r="I49" i="101"/>
  <c r="Q49" i="101" s="1"/>
  <c r="P48" i="101"/>
  <c r="I48" i="101"/>
  <c r="Q48" i="101" s="1"/>
  <c r="P47" i="101"/>
  <c r="I47" i="101"/>
  <c r="Q47" i="101" s="1"/>
  <c r="P46" i="101"/>
  <c r="I46" i="101"/>
  <c r="Q46" i="101" s="1"/>
  <c r="P45" i="101"/>
  <c r="I45" i="101"/>
  <c r="Q45" i="101" s="1"/>
  <c r="G2" i="96"/>
  <c r="Q59" i="101" l="1"/>
  <c r="I59" i="101"/>
  <c r="G154" i="96"/>
  <c r="I88" i="57" l="1"/>
  <c r="AA95" i="83"/>
  <c r="C37" i="101"/>
  <c r="B37" i="101"/>
  <c r="T20" i="101"/>
  <c r="R20" i="101"/>
  <c r="P20" i="101"/>
  <c r="O20" i="101"/>
  <c r="N20" i="101"/>
  <c r="M20" i="101"/>
  <c r="L20" i="101"/>
  <c r="K20" i="101"/>
  <c r="H20" i="101"/>
  <c r="F20" i="101"/>
  <c r="E20" i="101"/>
  <c r="D20" i="101"/>
  <c r="E21" i="101" s="1"/>
  <c r="B20" i="101"/>
  <c r="O19" i="101"/>
  <c r="P19" i="101" s="1"/>
  <c r="Q19" i="101" s="1"/>
  <c r="S19" i="101" s="1"/>
  <c r="L19" i="101"/>
  <c r="Q18" i="101"/>
  <c r="S18" i="101" s="1"/>
  <c r="P18" i="101"/>
  <c r="I18" i="101"/>
  <c r="P17" i="101"/>
  <c r="I17" i="101"/>
  <c r="Q17" i="101" s="1"/>
  <c r="S17" i="101" s="1"/>
  <c r="P16" i="101"/>
  <c r="I16" i="101"/>
  <c r="Q16" i="101" s="1"/>
  <c r="S16" i="101" s="1"/>
  <c r="Q15" i="101"/>
  <c r="S15" i="101" s="1"/>
  <c r="P15" i="101"/>
  <c r="I15" i="101"/>
  <c r="P14" i="101"/>
  <c r="I14" i="101"/>
  <c r="Q14" i="101" s="1"/>
  <c r="S14" i="101" s="1"/>
  <c r="P13" i="101"/>
  <c r="I13" i="101"/>
  <c r="Q13" i="101" s="1"/>
  <c r="S13" i="101" s="1"/>
  <c r="Q12" i="101"/>
  <c r="S12" i="101" s="1"/>
  <c r="P12" i="101"/>
  <c r="I12" i="101"/>
  <c r="P11" i="101"/>
  <c r="I11" i="101"/>
  <c r="Q11" i="101" s="1"/>
  <c r="S11" i="101" s="1"/>
  <c r="P10" i="101"/>
  <c r="I10" i="101"/>
  <c r="Q10" i="101" s="1"/>
  <c r="S10" i="101" s="1"/>
  <c r="Q9" i="101"/>
  <c r="S9" i="101" s="1"/>
  <c r="P9" i="101"/>
  <c r="I9" i="101"/>
  <c r="P8" i="101"/>
  <c r="I8" i="101"/>
  <c r="Q8" i="101" s="1"/>
  <c r="S8" i="101" s="1"/>
  <c r="P7" i="101"/>
  <c r="I7" i="101"/>
  <c r="Q7" i="101" s="1"/>
  <c r="S7" i="101" s="1"/>
  <c r="Q6" i="101"/>
  <c r="P6" i="101"/>
  <c r="K6" i="101"/>
  <c r="I6" i="101"/>
  <c r="Q20" i="101" l="1"/>
  <c r="S20" i="101" s="1"/>
  <c r="I20" i="101"/>
  <c r="S6" i="101"/>
  <c r="X128" i="82" l="1"/>
  <c r="X130" i="82"/>
  <c r="X134" i="82"/>
  <c r="X129" i="82"/>
  <c r="X126" i="82"/>
  <c r="M15" i="56" l="1"/>
  <c r="X125" i="82"/>
  <c r="X124" i="82"/>
  <c r="AE75" i="82"/>
  <c r="Q165" i="82"/>
  <c r="AE99" i="82" s="1"/>
  <c r="AE98" i="82" s="1"/>
  <c r="X37" i="80"/>
  <c r="W37" i="80"/>
  <c r="V37" i="80"/>
  <c r="U37" i="80"/>
  <c r="T37" i="80"/>
  <c r="S37" i="80"/>
  <c r="R37" i="80"/>
  <c r="Q37" i="80"/>
  <c r="X36" i="80"/>
  <c r="W36" i="80"/>
  <c r="V36" i="80"/>
  <c r="U36" i="80"/>
  <c r="T36" i="80"/>
  <c r="S36" i="80"/>
  <c r="R36" i="80"/>
  <c r="Q36" i="80"/>
  <c r="X89" i="83"/>
  <c r="M14" i="56" l="1"/>
  <c r="BY75" i="82"/>
  <c r="BY49" i="82"/>
  <c r="P44" i="80"/>
  <c r="P36" i="80" s="1"/>
  <c r="P45" i="80"/>
  <c r="P37" i="80" s="1"/>
  <c r="P43" i="80"/>
  <c r="P35" i="80" s="1"/>
  <c r="P27" i="80"/>
  <c r="P28" i="80"/>
  <c r="P26" i="80"/>
  <c r="P19" i="80"/>
  <c r="P20" i="80"/>
  <c r="P23" i="80"/>
  <c r="P24" i="80"/>
  <c r="P18" i="80"/>
  <c r="X10" i="80"/>
  <c r="X53" i="80" s="1"/>
  <c r="X11" i="80"/>
  <c r="X54" i="80" s="1"/>
  <c r="X12" i="80"/>
  <c r="X55" i="80" s="1"/>
  <c r="Q10" i="80"/>
  <c r="Q53" i="80" s="1"/>
  <c r="R10" i="80"/>
  <c r="R53" i="80" s="1"/>
  <c r="S10" i="80"/>
  <c r="S53" i="80" s="1"/>
  <c r="T10" i="80"/>
  <c r="T53" i="80" s="1"/>
  <c r="U10" i="80"/>
  <c r="U53" i="80" s="1"/>
  <c r="V10" i="80"/>
  <c r="V53" i="80" s="1"/>
  <c r="W10" i="80"/>
  <c r="W53" i="80" s="1"/>
  <c r="Q11" i="80"/>
  <c r="Q54" i="80" s="1"/>
  <c r="R11" i="80"/>
  <c r="R54" i="80" s="1"/>
  <c r="S11" i="80"/>
  <c r="S54" i="80" s="1"/>
  <c r="T11" i="80"/>
  <c r="T54" i="80" s="1"/>
  <c r="U11" i="80"/>
  <c r="U54" i="80" s="1"/>
  <c r="V11" i="80"/>
  <c r="V54" i="80" s="1"/>
  <c r="W11" i="80"/>
  <c r="W54" i="80" s="1"/>
  <c r="Q12" i="80"/>
  <c r="Q55" i="80" s="1"/>
  <c r="R12" i="80"/>
  <c r="R55" i="80" s="1"/>
  <c r="S12" i="80"/>
  <c r="S55" i="80" s="1"/>
  <c r="T12" i="80"/>
  <c r="T55" i="80" s="1"/>
  <c r="U12" i="80"/>
  <c r="U55" i="80" s="1"/>
  <c r="V12" i="80"/>
  <c r="V55" i="80" s="1"/>
  <c r="W12" i="80"/>
  <c r="W55" i="80" s="1"/>
  <c r="P48" i="80"/>
  <c r="P49" i="80"/>
  <c r="P25" i="80"/>
  <c r="I67" i="57"/>
  <c r="AL98" i="82" l="1"/>
  <c r="AL95" i="82"/>
  <c r="X98" i="82"/>
  <c r="X95" i="82"/>
  <c r="Q98" i="82"/>
  <c r="Q95" i="82"/>
  <c r="BU105" i="82"/>
  <c r="BU101" i="82"/>
  <c r="BU99" i="82"/>
  <c r="BU83" i="82"/>
  <c r="BU79" i="82"/>
  <c r="AE46" i="82"/>
  <c r="X53" i="82"/>
  <c r="X46" i="82"/>
  <c r="Q49" i="82"/>
  <c r="Q46" i="82"/>
  <c r="BU67" i="82"/>
  <c r="BU58" i="82"/>
  <c r="AL11" i="82"/>
  <c r="AL32" i="82" s="1"/>
  <c r="AE37" i="82"/>
  <c r="AE36" i="82"/>
  <c r="AE20" i="82"/>
  <c r="AE11" i="82"/>
  <c r="X37" i="82"/>
  <c r="X36" i="82"/>
  <c r="X20" i="82"/>
  <c r="X11" i="82"/>
  <c r="Q37" i="82"/>
  <c r="Q36" i="82"/>
  <c r="Q20" i="82"/>
  <c r="Q11" i="82"/>
  <c r="BU21" i="82"/>
  <c r="D11" i="82"/>
  <c r="D32" i="82" s="1"/>
  <c r="BU12" i="82"/>
  <c r="BU13" i="82"/>
  <c r="BU14" i="82"/>
  <c r="BU15" i="82"/>
  <c r="BU16" i="82"/>
  <c r="BU17" i="82"/>
  <c r="BU18" i="82"/>
  <c r="BU19" i="82"/>
  <c r="BU22" i="82"/>
  <c r="BU23" i="82"/>
  <c r="BU24" i="82"/>
  <c r="BU25" i="82"/>
  <c r="BU26" i="82"/>
  <c r="BU27" i="82"/>
  <c r="BU29" i="82"/>
  <c r="BU30" i="82"/>
  <c r="BU31" i="82"/>
  <c r="BU34" i="82"/>
  <c r="BU35" i="82"/>
  <c r="BU38" i="82"/>
  <c r="BU39" i="82"/>
  <c r="BU40" i="82"/>
  <c r="BU41" i="82"/>
  <c r="BU42" i="82"/>
  <c r="BU43" i="82"/>
  <c r="BU44" i="82"/>
  <c r="BU45" i="82"/>
  <c r="BU47" i="82"/>
  <c r="BU48" i="82"/>
  <c r="BU50" i="82"/>
  <c r="BU51" i="82"/>
  <c r="BU54" i="82"/>
  <c r="BU55" i="82"/>
  <c r="BU56" i="82"/>
  <c r="BU57" i="82"/>
  <c r="BU59" i="82"/>
  <c r="BU60" i="82"/>
  <c r="BU61" i="82"/>
  <c r="BU63" i="82"/>
  <c r="BU64" i="82"/>
  <c r="BU65" i="82"/>
  <c r="BU66" i="82"/>
  <c r="BU68" i="82"/>
  <c r="BU69" i="82"/>
  <c r="BU70" i="82"/>
  <c r="BU71" i="82"/>
  <c r="BU72" i="82"/>
  <c r="BU74" i="82"/>
  <c r="BU75" i="82"/>
  <c r="BU76" i="82"/>
  <c r="BU77" i="82"/>
  <c r="BU78" i="82"/>
  <c r="BU80" i="82"/>
  <c r="BU81" i="82"/>
  <c r="BU82" i="82"/>
  <c r="BU85" i="82"/>
  <c r="BU86" i="82"/>
  <c r="BU87" i="82"/>
  <c r="BU88" i="82"/>
  <c r="BU89" i="82"/>
  <c r="BU94" i="82"/>
  <c r="BU96" i="82"/>
  <c r="BU97" i="82"/>
  <c r="BU100" i="82"/>
  <c r="BU102" i="82"/>
  <c r="BU104" i="82"/>
  <c r="BU106" i="82"/>
  <c r="BU108" i="82"/>
  <c r="D134" i="57" s="1"/>
  <c r="BU109" i="82"/>
  <c r="BU114" i="82"/>
  <c r="BU10" i="82"/>
  <c r="BN10" i="82"/>
  <c r="AL10" i="82"/>
  <c r="BG10" i="82" s="1"/>
  <c r="AE10" i="82"/>
  <c r="X10" i="82"/>
  <c r="Q10" i="82"/>
  <c r="H51" i="39"/>
  <c r="I25" i="57"/>
  <c r="E18" i="80" l="1"/>
  <c r="E18" i="105"/>
  <c r="E10" i="105" s="1"/>
  <c r="E53" i="105" s="1"/>
  <c r="BU53" i="82"/>
  <c r="X170" i="82"/>
  <c r="BY100" i="82"/>
  <c r="AE32" i="82"/>
  <c r="AE49" i="82"/>
  <c r="AE107" i="82" s="1"/>
  <c r="X49" i="82"/>
  <c r="X107" i="82" s="1"/>
  <c r="X32" i="82"/>
  <c r="Q32" i="82"/>
  <c r="AL107" i="82"/>
  <c r="BU62" i="82"/>
  <c r="Q107" i="82"/>
  <c r="BU52" i="82"/>
  <c r="BU28" i="82"/>
  <c r="BU33" i="82"/>
  <c r="BY98" i="82" l="1"/>
  <c r="AE111" i="82"/>
  <c r="AE113" i="82" s="1"/>
  <c r="X111" i="82"/>
  <c r="X113" i="82" s="1"/>
  <c r="Q111" i="82"/>
  <c r="Q113" i="82" s="1"/>
  <c r="AL111" i="82"/>
  <c r="AL113" i="82" s="1"/>
  <c r="BY107" i="82" l="1"/>
  <c r="L132" i="57" s="1"/>
  <c r="C130" i="81" s="1"/>
  <c r="D22" i="105" s="1"/>
  <c r="Y67" i="83"/>
  <c r="Y77" i="83"/>
  <c r="Y46" i="83"/>
  <c r="Y36" i="83"/>
  <c r="Y13" i="83"/>
  <c r="Y14" i="83"/>
  <c r="Y15" i="83"/>
  <c r="Y16" i="83"/>
  <c r="Y17" i="83"/>
  <c r="Y18" i="83"/>
  <c r="Y20" i="83"/>
  <c r="Y21" i="83"/>
  <c r="Y22" i="83"/>
  <c r="Y23" i="83"/>
  <c r="Y25" i="83"/>
  <c r="Y26" i="83"/>
  <c r="Y27" i="83"/>
  <c r="Y28" i="83"/>
  <c r="Y31" i="83"/>
  <c r="Y35" i="83"/>
  <c r="Y37" i="83"/>
  <c r="Y38" i="83"/>
  <c r="Y39" i="83"/>
  <c r="Y40" i="83"/>
  <c r="Y41" i="83"/>
  <c r="Y43" i="83"/>
  <c r="Y44" i="83"/>
  <c r="Y47" i="83"/>
  <c r="Y48" i="83"/>
  <c r="Y49" i="83"/>
  <c r="Y50" i="83"/>
  <c r="Y52" i="83"/>
  <c r="Y53" i="83"/>
  <c r="Y54" i="83"/>
  <c r="Y55" i="83"/>
  <c r="Y56" i="83"/>
  <c r="Y57" i="83"/>
  <c r="Y58" i="83"/>
  <c r="Y59" i="83"/>
  <c r="Y60" i="83"/>
  <c r="Y61" i="83"/>
  <c r="Y62" i="83"/>
  <c r="Y63" i="83"/>
  <c r="Y64" i="83"/>
  <c r="Y65" i="83"/>
  <c r="Y68" i="83"/>
  <c r="Y70" i="83"/>
  <c r="Y71" i="83"/>
  <c r="Y73" i="83"/>
  <c r="Y74" i="83"/>
  <c r="Y75" i="83"/>
  <c r="Y76" i="83"/>
  <c r="Y78" i="83"/>
  <c r="Y79" i="83"/>
  <c r="Y80" i="83"/>
  <c r="Y82" i="83"/>
  <c r="Y83" i="83"/>
  <c r="Y87" i="83"/>
  <c r="X11" i="83"/>
  <c r="Y9" i="83"/>
  <c r="K9" i="83"/>
  <c r="R9" i="83" s="1"/>
  <c r="F17" i="39"/>
  <c r="F19" i="39"/>
  <c r="F20" i="39"/>
  <c r="F21" i="39"/>
  <c r="F22" i="39"/>
  <c r="F23" i="39"/>
  <c r="F24" i="39"/>
  <c r="F25" i="39"/>
  <c r="F26" i="39"/>
  <c r="F27" i="39"/>
  <c r="F28" i="39"/>
  <c r="F29" i="39"/>
  <c r="F30" i="39"/>
  <c r="F31" i="39"/>
  <c r="F32" i="39"/>
  <c r="F34" i="39"/>
  <c r="F35" i="39"/>
  <c r="F38" i="39"/>
  <c r="F40" i="39"/>
  <c r="F41" i="39"/>
  <c r="F42" i="39"/>
  <c r="F44" i="39"/>
  <c r="F45" i="39"/>
  <c r="F46" i="39"/>
  <c r="F47" i="39"/>
  <c r="F51" i="39"/>
  <c r="F52" i="39"/>
  <c r="F53" i="39"/>
  <c r="F54" i="39"/>
  <c r="F56" i="39"/>
  <c r="F58" i="39"/>
  <c r="F60" i="39"/>
  <c r="F61" i="39"/>
  <c r="F62" i="39"/>
  <c r="F63" i="39"/>
  <c r="F64" i="39"/>
  <c r="F65" i="39"/>
  <c r="F66" i="39"/>
  <c r="F67" i="39"/>
  <c r="B73" i="39"/>
  <c r="B70" i="39" s="1"/>
  <c r="B37" i="39"/>
  <c r="B57" i="39"/>
  <c r="B33" i="39"/>
  <c r="B9" i="39" s="1"/>
  <c r="F17" i="80" s="1"/>
  <c r="G50" i="58"/>
  <c r="G51" i="58"/>
  <c r="G53" i="58"/>
  <c r="G55" i="58"/>
  <c r="G59" i="58"/>
  <c r="G60" i="58"/>
  <c r="G61" i="58"/>
  <c r="G65" i="58"/>
  <c r="G66" i="58"/>
  <c r="G68" i="58"/>
  <c r="G70" i="58"/>
  <c r="G73" i="58"/>
  <c r="G76" i="58"/>
  <c r="G77" i="58"/>
  <c r="G78" i="58"/>
  <c r="G82" i="58"/>
  <c r="G83" i="58"/>
  <c r="G84" i="58"/>
  <c r="G85" i="58"/>
  <c r="G87" i="58"/>
  <c r="G88" i="58"/>
  <c r="G89" i="58"/>
  <c r="G90" i="58"/>
  <c r="G91" i="58"/>
  <c r="G92" i="58"/>
  <c r="G93" i="58"/>
  <c r="G94" i="58"/>
  <c r="G97" i="58"/>
  <c r="G98" i="58"/>
  <c r="G99" i="58"/>
  <c r="G100" i="58"/>
  <c r="G102" i="58"/>
  <c r="G105" i="58"/>
  <c r="G106" i="58"/>
  <c r="G107" i="58"/>
  <c r="G108" i="58"/>
  <c r="G9" i="58"/>
  <c r="G10" i="58"/>
  <c r="G11" i="58"/>
  <c r="G12" i="58"/>
  <c r="G15" i="58"/>
  <c r="G17" i="58"/>
  <c r="G18" i="58"/>
  <c r="G19" i="58"/>
  <c r="G20" i="58"/>
  <c r="G21" i="58"/>
  <c r="G22" i="58"/>
  <c r="G24" i="58"/>
  <c r="G25" i="58"/>
  <c r="G26" i="58"/>
  <c r="G29" i="58"/>
  <c r="G30" i="58"/>
  <c r="G31" i="58"/>
  <c r="G32" i="58"/>
  <c r="G33" i="58"/>
  <c r="G35" i="58"/>
  <c r="G36" i="58"/>
  <c r="G37" i="58"/>
  <c r="C104" i="58"/>
  <c r="C103" i="58" s="1"/>
  <c r="C71" i="58"/>
  <c r="C39" i="58"/>
  <c r="C38" i="58" s="1"/>
  <c r="C28" i="58"/>
  <c r="C41" i="36" s="1"/>
  <c r="D16" i="102" s="1"/>
  <c r="C13" i="58"/>
  <c r="C17" i="36" s="1"/>
  <c r="D15" i="102" s="1"/>
  <c r="G143" i="57"/>
  <c r="G144" i="57"/>
  <c r="G140" i="57"/>
  <c r="G116" i="57"/>
  <c r="G117" i="57"/>
  <c r="G119" i="57"/>
  <c r="G15" i="57"/>
  <c r="G16" i="57"/>
  <c r="G18" i="57"/>
  <c r="G19" i="57"/>
  <c r="G20" i="57"/>
  <c r="G21" i="57"/>
  <c r="G22" i="57"/>
  <c r="G24" i="57"/>
  <c r="G27" i="57"/>
  <c r="G29" i="57"/>
  <c r="G31" i="57"/>
  <c r="G33" i="57"/>
  <c r="G34" i="57"/>
  <c r="G35" i="57"/>
  <c r="G36" i="57"/>
  <c r="G39" i="57"/>
  <c r="G40" i="57"/>
  <c r="G41" i="57"/>
  <c r="G42" i="57"/>
  <c r="G44" i="57"/>
  <c r="G45" i="57"/>
  <c r="G50" i="57"/>
  <c r="G51" i="57"/>
  <c r="G52" i="57"/>
  <c r="G56" i="57"/>
  <c r="G61" i="57"/>
  <c r="G63" i="57"/>
  <c r="G68" i="57"/>
  <c r="G70" i="57"/>
  <c r="G71" i="57"/>
  <c r="G72" i="57"/>
  <c r="G73" i="57"/>
  <c r="G74" i="57"/>
  <c r="G75" i="57"/>
  <c r="G77" i="57"/>
  <c r="G78" i="57"/>
  <c r="G79" i="57"/>
  <c r="G82" i="57"/>
  <c r="G83" i="57"/>
  <c r="G85" i="57"/>
  <c r="G86" i="57"/>
  <c r="G87" i="57"/>
  <c r="G94" i="57"/>
  <c r="G95" i="57"/>
  <c r="G98" i="57"/>
  <c r="G102" i="57"/>
  <c r="G103" i="57"/>
  <c r="G106" i="57"/>
  <c r="G107" i="57"/>
  <c r="G108" i="57"/>
  <c r="G109" i="57"/>
  <c r="G110" i="57"/>
  <c r="G111" i="57"/>
  <c r="C7" i="57"/>
  <c r="G74" i="36"/>
  <c r="G75" i="36"/>
  <c r="G81" i="36"/>
  <c r="G85" i="36"/>
  <c r="G87" i="36"/>
  <c r="G89" i="36"/>
  <c r="G90" i="36"/>
  <c r="G11" i="36"/>
  <c r="G12" i="36"/>
  <c r="G13" i="36"/>
  <c r="G14" i="36"/>
  <c r="G15" i="36"/>
  <c r="G16" i="36"/>
  <c r="G18" i="36"/>
  <c r="G19" i="36"/>
  <c r="G20" i="36"/>
  <c r="G21" i="36"/>
  <c r="G22" i="36"/>
  <c r="G24" i="36"/>
  <c r="G25" i="36"/>
  <c r="G26" i="36"/>
  <c r="G27" i="36"/>
  <c r="G28" i="36"/>
  <c r="G29" i="36"/>
  <c r="G31" i="36"/>
  <c r="G32" i="36"/>
  <c r="G33" i="36"/>
  <c r="G34" i="36"/>
  <c r="G35" i="36"/>
  <c r="G36" i="36"/>
  <c r="G37" i="36"/>
  <c r="G38" i="36"/>
  <c r="G39" i="36"/>
  <c r="G40" i="36"/>
  <c r="G42" i="36"/>
  <c r="G43" i="36"/>
  <c r="G44" i="36"/>
  <c r="G45" i="36"/>
  <c r="G46" i="36"/>
  <c r="G48" i="36"/>
  <c r="G49" i="36"/>
  <c r="G50" i="36"/>
  <c r="G52" i="36"/>
  <c r="G53" i="36"/>
  <c r="G54" i="36"/>
  <c r="D14" i="105" l="1"/>
  <c r="H22" i="105"/>
  <c r="P22" i="105" s="1"/>
  <c r="F9" i="80"/>
  <c r="F52" i="80" s="1"/>
  <c r="C9" i="36"/>
  <c r="C65" i="36" s="1"/>
  <c r="D22" i="80"/>
  <c r="F130" i="81"/>
  <c r="C98" i="81"/>
  <c r="F98" i="81" s="1"/>
  <c r="BY113" i="82"/>
  <c r="BY111" i="82"/>
  <c r="Y72" i="83"/>
  <c r="Y69" i="83"/>
  <c r="Y42" i="83"/>
  <c r="C112" i="82"/>
  <c r="Y33" i="83"/>
  <c r="Y85" i="83"/>
  <c r="D134" i="81" s="1"/>
  <c r="Y30" i="83"/>
  <c r="Y34" i="83"/>
  <c r="Y45" i="83"/>
  <c r="Y11" i="83"/>
  <c r="B36" i="39"/>
  <c r="C47" i="58"/>
  <c r="C8" i="58"/>
  <c r="C45" i="58" s="1"/>
  <c r="D57" i="105" l="1"/>
  <c r="H14" i="105"/>
  <c r="O62" i="99"/>
  <c r="Y29" i="83"/>
  <c r="Y32" i="83"/>
  <c r="D130" i="57" s="1"/>
  <c r="C46" i="58"/>
  <c r="C109" i="58" s="1"/>
  <c r="C77" i="36"/>
  <c r="D14" i="80"/>
  <c r="J22" i="80"/>
  <c r="O22" i="80" s="1"/>
  <c r="Y51" i="83"/>
  <c r="Y81" i="83"/>
  <c r="D133" i="57" s="1"/>
  <c r="B68" i="39"/>
  <c r="P14" i="105" l="1"/>
  <c r="P57" i="105" s="1"/>
  <c r="H57" i="105"/>
  <c r="C110" i="82"/>
  <c r="C136" i="57"/>
  <c r="C135" i="57" s="1"/>
  <c r="C73" i="36" s="1"/>
  <c r="I13" i="102" s="1"/>
  <c r="C76" i="36"/>
  <c r="I15" i="102"/>
  <c r="D110" i="81"/>
  <c r="D127" i="57"/>
  <c r="D118" i="81"/>
  <c r="D57" i="80"/>
  <c r="J14" i="80"/>
  <c r="Y84" i="83"/>
  <c r="Y88" i="83" s="1"/>
  <c r="D126" i="81"/>
  <c r="G177" i="96"/>
  <c r="G167" i="96"/>
  <c r="G163" i="96"/>
  <c r="G152" i="96"/>
  <c r="O14" i="80" l="1"/>
  <c r="O57" i="80" s="1"/>
  <c r="J57" i="80"/>
  <c r="G63" i="58" l="1"/>
  <c r="I63" i="58"/>
  <c r="G179" i="96"/>
  <c r="G209" i="96"/>
  <c r="G208" i="96" s="1"/>
  <c r="F208" i="96"/>
  <c r="E208" i="96"/>
  <c r="G207" i="96"/>
  <c r="I206" i="96"/>
  <c r="G206" i="96"/>
  <c r="G205" i="96"/>
  <c r="G204" i="96"/>
  <c r="F203" i="96"/>
  <c r="F183" i="96" s="1"/>
  <c r="E203" i="96"/>
  <c r="E183" i="96" s="1"/>
  <c r="G202" i="96"/>
  <c r="G201" i="96"/>
  <c r="G200" i="96"/>
  <c r="G199" i="96"/>
  <c r="G198" i="96"/>
  <c r="G197" i="96"/>
  <c r="G196" i="96"/>
  <c r="G195" i="96"/>
  <c r="G194" i="96"/>
  <c r="G193" i="96"/>
  <c r="G192" i="96"/>
  <c r="G190" i="96"/>
  <c r="G189" i="96"/>
  <c r="G188" i="96"/>
  <c r="G187" i="96"/>
  <c r="G186" i="96"/>
  <c r="G185" i="96"/>
  <c r="G184" i="96"/>
  <c r="G182" i="96"/>
  <c r="G181" i="96"/>
  <c r="G180" i="96"/>
  <c r="G178" i="96"/>
  <c r="G175" i="96"/>
  <c r="G174" i="96"/>
  <c r="G173" i="96"/>
  <c r="G172" i="96"/>
  <c r="G171" i="96"/>
  <c r="G170" i="96"/>
  <c r="G169" i="96"/>
  <c r="G168" i="96"/>
  <c r="G166" i="96"/>
  <c r="G165" i="96"/>
  <c r="G164" i="96"/>
  <c r="G162" i="96"/>
  <c r="G161" i="96"/>
  <c r="G160" i="96"/>
  <c r="G159" i="96"/>
  <c r="G158" i="96"/>
  <c r="G157" i="96"/>
  <c r="G155" i="96"/>
  <c r="G153" i="96"/>
  <c r="G151" i="96"/>
  <c r="G150" i="96"/>
  <c r="G149" i="96"/>
  <c r="G148" i="96"/>
  <c r="G146" i="96"/>
  <c r="G145" i="96"/>
  <c r="G144" i="96"/>
  <c r="G143" i="96"/>
  <c r="G142" i="96"/>
  <c r="G141" i="96"/>
  <c r="G140" i="96"/>
  <c r="G139" i="96"/>
  <c r="G137" i="96"/>
  <c r="G136" i="96"/>
  <c r="G135" i="96"/>
  <c r="G134" i="96"/>
  <c r="G133" i="96"/>
  <c r="G132" i="96"/>
  <c r="G131" i="96"/>
  <c r="G129" i="96"/>
  <c r="G128" i="96"/>
  <c r="G127" i="96"/>
  <c r="G126" i="96"/>
  <c r="G125" i="96"/>
  <c r="G124" i="96"/>
  <c r="G123" i="96"/>
  <c r="G122" i="96"/>
  <c r="G121" i="96"/>
  <c r="G120" i="96"/>
  <c r="G119" i="96"/>
  <c r="G118" i="96"/>
  <c r="G117" i="96"/>
  <c r="G116" i="96"/>
  <c r="G115" i="96"/>
  <c r="G114" i="96"/>
  <c r="G113" i="96"/>
  <c r="G112" i="96"/>
  <c r="G111" i="96"/>
  <c r="G110" i="96"/>
  <c r="G108" i="96"/>
  <c r="G107" i="96"/>
  <c r="G106" i="96"/>
  <c r="G104" i="96"/>
  <c r="G103" i="96"/>
  <c r="G102" i="96"/>
  <c r="G101" i="96"/>
  <c r="G100" i="96"/>
  <c r="G99" i="96"/>
  <c r="G98" i="96"/>
  <c r="G97" i="96"/>
  <c r="G96" i="96"/>
  <c r="G95" i="96"/>
  <c r="G94" i="96"/>
  <c r="G93" i="96"/>
  <c r="G92" i="96"/>
  <c r="G91" i="96"/>
  <c r="G90" i="96"/>
  <c r="G89" i="96"/>
  <c r="G88" i="96"/>
  <c r="G87" i="96"/>
  <c r="G86" i="96"/>
  <c r="G85" i="96"/>
  <c r="G84" i="96"/>
  <c r="F83" i="96"/>
  <c r="G80" i="96"/>
  <c r="G79" i="96" s="1"/>
  <c r="F79" i="96"/>
  <c r="E79" i="96"/>
  <c r="G78" i="96"/>
  <c r="G77" i="96"/>
  <c r="G76" i="96"/>
  <c r="F75" i="96"/>
  <c r="F74" i="96" s="1"/>
  <c r="E75" i="96"/>
  <c r="E74" i="96" s="1"/>
  <c r="G72" i="96"/>
  <c r="G71" i="96" s="1"/>
  <c r="F71" i="96"/>
  <c r="E71" i="96"/>
  <c r="G70" i="96"/>
  <c r="G69" i="96"/>
  <c r="G68" i="96"/>
  <c r="F67" i="96"/>
  <c r="E67" i="96"/>
  <c r="G65" i="96"/>
  <c r="G64" i="96" s="1"/>
  <c r="F64" i="96"/>
  <c r="E64" i="96"/>
  <c r="G62" i="96"/>
  <c r="G61" i="96"/>
  <c r="E50" i="96"/>
  <c r="G59" i="96"/>
  <c r="G58" i="96"/>
  <c r="G57" i="96"/>
  <c r="G56" i="96"/>
  <c r="G55" i="96"/>
  <c r="G54" i="96"/>
  <c r="G53" i="96"/>
  <c r="G51" i="96"/>
  <c r="F50" i="96"/>
  <c r="G49" i="96"/>
  <c r="G48" i="96"/>
  <c r="G47" i="96"/>
  <c r="G46" i="96"/>
  <c r="F45" i="96"/>
  <c r="E45" i="96"/>
  <c r="G44" i="96"/>
  <c r="G43" i="96"/>
  <c r="G42" i="96"/>
  <c r="G41" i="96"/>
  <c r="G40" i="96"/>
  <c r="F39" i="96"/>
  <c r="E39" i="96"/>
  <c r="G38" i="96"/>
  <c r="G37" i="96"/>
  <c r="G36" i="96"/>
  <c r="G35" i="96"/>
  <c r="G34" i="96"/>
  <c r="G33" i="96"/>
  <c r="G31" i="96"/>
  <c r="G30" i="96"/>
  <c r="G29" i="96"/>
  <c r="G28" i="96"/>
  <c r="G27" i="96"/>
  <c r="G26" i="96"/>
  <c r="G25" i="96"/>
  <c r="G14" i="96"/>
  <c r="G13" i="96"/>
  <c r="G12" i="96"/>
  <c r="F10" i="96"/>
  <c r="E10" i="96"/>
  <c r="E73" i="96" l="1"/>
  <c r="F73" i="96"/>
  <c r="E83" i="96"/>
  <c r="E82" i="96" s="1"/>
  <c r="E210" i="96" s="1"/>
  <c r="F82" i="96"/>
  <c r="F210" i="96" s="1"/>
  <c r="G203" i="96"/>
  <c r="G183" i="96" s="1"/>
  <c r="G60" i="96"/>
  <c r="G50" i="96" s="1"/>
  <c r="G10" i="96"/>
  <c r="G39" i="96"/>
  <c r="F9" i="96"/>
  <c r="G67" i="96"/>
  <c r="G75" i="96"/>
  <c r="G74" i="96" s="1"/>
  <c r="G73" i="96" s="1"/>
  <c r="E9" i="96"/>
  <c r="G45" i="96"/>
  <c r="I181" i="96"/>
  <c r="G83" i="96"/>
  <c r="N26" i="53"/>
  <c r="Q26" i="53" s="1"/>
  <c r="I104" i="57"/>
  <c r="K27" i="53"/>
  <c r="G27" i="53"/>
  <c r="F27" i="53"/>
  <c r="E27" i="53"/>
  <c r="D27" i="53"/>
  <c r="C27" i="53"/>
  <c r="B27" i="53"/>
  <c r="N24" i="53"/>
  <c r="Q24" i="53" s="1"/>
  <c r="N23" i="53"/>
  <c r="Q23" i="53" s="1"/>
  <c r="N22" i="53"/>
  <c r="M27" i="53"/>
  <c r="L27" i="53"/>
  <c r="J27" i="53"/>
  <c r="I27" i="53"/>
  <c r="H27" i="53"/>
  <c r="H19" i="53"/>
  <c r="G19" i="53"/>
  <c r="G28" i="53" s="1"/>
  <c r="F19" i="53"/>
  <c r="F28" i="53" s="1"/>
  <c r="E19" i="53"/>
  <c r="D19" i="53"/>
  <c r="C19" i="53"/>
  <c r="B19" i="53"/>
  <c r="N18" i="53"/>
  <c r="Q18" i="53" s="1"/>
  <c r="N16" i="53"/>
  <c r="N15" i="53"/>
  <c r="N14" i="53"/>
  <c r="Q14" i="53" s="1"/>
  <c r="N13" i="53"/>
  <c r="Q13" i="53" s="1"/>
  <c r="M19" i="53"/>
  <c r="K19" i="53"/>
  <c r="I19" i="53"/>
  <c r="N11" i="53"/>
  <c r="N10" i="53"/>
  <c r="Q10" i="53" s="1"/>
  <c r="L19" i="53"/>
  <c r="I58" i="58"/>
  <c r="BI98" i="82"/>
  <c r="BI95" i="82"/>
  <c r="BI49" i="82"/>
  <c r="BP46" i="82"/>
  <c r="BI46" i="82"/>
  <c r="I99" i="57"/>
  <c r="AA93" i="83"/>
  <c r="F85" i="83"/>
  <c r="F72" i="83"/>
  <c r="F69" i="83"/>
  <c r="AA46" i="83"/>
  <c r="M32" i="83"/>
  <c r="I30" i="99"/>
  <c r="I14" i="99"/>
  <c r="I58" i="99" s="1"/>
  <c r="I34" i="99"/>
  <c r="I17" i="99" s="1"/>
  <c r="I61" i="99" s="1"/>
  <c r="K13" i="99"/>
  <c r="K57" i="99" s="1"/>
  <c r="E13" i="99"/>
  <c r="C13" i="99"/>
  <c r="M2" i="99"/>
  <c r="C11" i="99"/>
  <c r="E11" i="99"/>
  <c r="K11" i="99"/>
  <c r="C12" i="99"/>
  <c r="E12" i="99"/>
  <c r="K12" i="99"/>
  <c r="K56" i="99" s="1"/>
  <c r="C14" i="99"/>
  <c r="B16" i="99"/>
  <c r="C16" i="99"/>
  <c r="D16" i="99"/>
  <c r="E16" i="99"/>
  <c r="F16" i="99"/>
  <c r="H16" i="99"/>
  <c r="H60" i="99" s="1"/>
  <c r="J16" i="99"/>
  <c r="J60" i="99" s="1"/>
  <c r="K16" i="99"/>
  <c r="C17" i="99"/>
  <c r="D14" i="99"/>
  <c r="G24" i="99"/>
  <c r="L24" i="99"/>
  <c r="D25" i="99"/>
  <c r="D17" i="99" s="1"/>
  <c r="E25" i="99"/>
  <c r="E17" i="99" s="1"/>
  <c r="G26" i="99"/>
  <c r="L26" i="99"/>
  <c r="G28" i="99"/>
  <c r="G29" i="99"/>
  <c r="I29" i="99"/>
  <c r="L29" i="99" s="1"/>
  <c r="G30" i="99"/>
  <c r="G31" i="99"/>
  <c r="G33" i="99"/>
  <c r="A34" i="99"/>
  <c r="G34" i="99"/>
  <c r="A35" i="99"/>
  <c r="G35" i="99"/>
  <c r="L35" i="99"/>
  <c r="D37" i="99"/>
  <c r="D38" i="99"/>
  <c r="D39" i="99"/>
  <c r="D40" i="99"/>
  <c r="D42" i="99"/>
  <c r="D43" i="99"/>
  <c r="A45" i="99"/>
  <c r="A46" i="99"/>
  <c r="A47" i="99"/>
  <c r="A48" i="99"/>
  <c r="C50" i="99"/>
  <c r="C42" i="99" s="1"/>
  <c r="E50" i="99"/>
  <c r="F50" i="99"/>
  <c r="F42" i="99" s="1"/>
  <c r="A51" i="99"/>
  <c r="A52" i="99"/>
  <c r="G52" i="99"/>
  <c r="M52" i="99" s="1"/>
  <c r="G53" i="99"/>
  <c r="M53" i="99" s="1"/>
  <c r="K55" i="99"/>
  <c r="K60" i="99"/>
  <c r="H59" i="39"/>
  <c r="H18" i="39"/>
  <c r="H16" i="39"/>
  <c r="H13" i="39"/>
  <c r="I104" i="58"/>
  <c r="I101" i="58"/>
  <c r="I81" i="58"/>
  <c r="I75" i="58"/>
  <c r="I64" i="58"/>
  <c r="I57" i="58"/>
  <c r="I56" i="58"/>
  <c r="I49" i="58"/>
  <c r="I43" i="58"/>
  <c r="I41" i="58"/>
  <c r="I40" i="58"/>
  <c r="I34" i="58"/>
  <c r="I28" i="58"/>
  <c r="I23" i="58"/>
  <c r="I14" i="58"/>
  <c r="I121" i="57"/>
  <c r="I118" i="57"/>
  <c r="I114" i="57"/>
  <c r="I105" i="57"/>
  <c r="I101" i="57"/>
  <c r="I100" i="57"/>
  <c r="I97" i="57"/>
  <c r="I96" i="57"/>
  <c r="I84" i="57"/>
  <c r="I81" i="57"/>
  <c r="I64" i="57"/>
  <c r="I60" i="57"/>
  <c r="I59" i="57"/>
  <c r="I57" i="57"/>
  <c r="I54" i="57"/>
  <c r="I49" i="57"/>
  <c r="I46" i="57"/>
  <c r="I38" i="57"/>
  <c r="I32" i="57"/>
  <c r="I30" i="57"/>
  <c r="H12" i="39"/>
  <c r="I23" i="57"/>
  <c r="I17" i="57"/>
  <c r="I14" i="57"/>
  <c r="I13" i="57"/>
  <c r="E81" i="96" l="1"/>
  <c r="E212" i="96" s="1"/>
  <c r="D28" i="53"/>
  <c r="C28" i="53"/>
  <c r="B28" i="53"/>
  <c r="B29" i="53" s="1"/>
  <c r="C29" i="53" s="1"/>
  <c r="D29" i="53" s="1"/>
  <c r="E29" i="53" s="1"/>
  <c r="F29" i="53" s="1"/>
  <c r="G29" i="53" s="1"/>
  <c r="H29" i="53" s="1"/>
  <c r="I29" i="53" s="1"/>
  <c r="I42" i="58"/>
  <c r="H115" i="57"/>
  <c r="I115" i="57" s="1"/>
  <c r="I48" i="57"/>
  <c r="M24" i="99"/>
  <c r="F50" i="39"/>
  <c r="H50" i="39"/>
  <c r="G62" i="58"/>
  <c r="I62" i="58"/>
  <c r="I80" i="57"/>
  <c r="F81" i="96"/>
  <c r="F213" i="96" s="1"/>
  <c r="E28" i="53"/>
  <c r="I28" i="57"/>
  <c r="I53" i="57"/>
  <c r="D21" i="99"/>
  <c r="D13" i="99" s="1"/>
  <c r="D57" i="99" s="1"/>
  <c r="I62" i="57"/>
  <c r="H15" i="39"/>
  <c r="I55" i="57"/>
  <c r="I113" i="57"/>
  <c r="I37" i="57"/>
  <c r="I58" i="57"/>
  <c r="I43" i="57"/>
  <c r="I13" i="58"/>
  <c r="I80" i="58"/>
  <c r="I96" i="58"/>
  <c r="I103" i="58"/>
  <c r="I39" i="58"/>
  <c r="I21" i="99"/>
  <c r="I13" i="99" s="1"/>
  <c r="I57" i="99" s="1"/>
  <c r="L28" i="53"/>
  <c r="F42" i="83"/>
  <c r="F51" i="83"/>
  <c r="M26" i="99"/>
  <c r="G16" i="99"/>
  <c r="D60" i="99"/>
  <c r="I12" i="57"/>
  <c r="I76" i="57"/>
  <c r="H14" i="39"/>
  <c r="G82" i="96"/>
  <c r="G210" i="96" s="1"/>
  <c r="G9" i="96"/>
  <c r="G81" i="96" s="1"/>
  <c r="K28" i="53"/>
  <c r="M28" i="53"/>
  <c r="H28" i="53"/>
  <c r="N27" i="53"/>
  <c r="I28" i="53"/>
  <c r="N12" i="53"/>
  <c r="Q12" i="53" s="1"/>
  <c r="N21" i="53"/>
  <c r="J19" i="53"/>
  <c r="J28" i="53" s="1"/>
  <c r="N9" i="53"/>
  <c r="Q9" i="53" s="1"/>
  <c r="I54" i="58"/>
  <c r="M29" i="83"/>
  <c r="F29" i="83"/>
  <c r="I93" i="57"/>
  <c r="E42" i="99"/>
  <c r="E60" i="99" s="1"/>
  <c r="L30" i="99"/>
  <c r="M30" i="99" s="1"/>
  <c r="M35" i="99"/>
  <c r="F60" i="99"/>
  <c r="D61" i="99"/>
  <c r="M29" i="99"/>
  <c r="D58" i="99"/>
  <c r="C60" i="99"/>
  <c r="E14" i="99"/>
  <c r="I112" i="57"/>
  <c r="F212" i="96" l="1"/>
  <c r="I74" i="58"/>
  <c r="I8" i="58"/>
  <c r="I38" i="58"/>
  <c r="I47" i="57"/>
  <c r="I26" i="57"/>
  <c r="I48" i="58"/>
  <c r="H21" i="99"/>
  <c r="H13" i="99" s="1"/>
  <c r="H57" i="99" s="1"/>
  <c r="I11" i="57"/>
  <c r="H81" i="96"/>
  <c r="H210" i="96"/>
  <c r="G212" i="96"/>
  <c r="N19" i="53"/>
  <c r="J29" i="53"/>
  <c r="K29" i="53" s="1"/>
  <c r="L29" i="53" s="1"/>
  <c r="M29" i="53" s="1"/>
  <c r="N28" i="53" l="1"/>
  <c r="N29" i="53" s="1"/>
  <c r="G139" i="57"/>
  <c r="I9" i="57" l="1"/>
  <c r="I10" i="57"/>
  <c r="I8" i="57"/>
  <c r="G137" i="57"/>
  <c r="G81" i="58" l="1"/>
  <c r="G64" i="58"/>
  <c r="G14" i="58"/>
  <c r="F59" i="39" l="1"/>
  <c r="BT29" i="82" l="1"/>
  <c r="BV29" i="82"/>
  <c r="BW29" i="82"/>
  <c r="BX29" i="82"/>
  <c r="G57" i="58"/>
  <c r="G60" i="57" l="1"/>
  <c r="G46" i="57"/>
  <c r="G59" i="57"/>
  <c r="F16" i="39"/>
  <c r="G57" i="57"/>
  <c r="G54" i="57"/>
  <c r="G23" i="57"/>
  <c r="G13" i="57"/>
  <c r="F12" i="39" l="1"/>
  <c r="G25" i="57"/>
  <c r="Z46" i="83"/>
  <c r="G49" i="57"/>
  <c r="M88" i="36"/>
  <c r="M86" i="36"/>
  <c r="M80" i="36"/>
  <c r="J88" i="36"/>
  <c r="K88" i="36" s="1"/>
  <c r="J86" i="36"/>
  <c r="K86" i="36" s="1"/>
  <c r="J80" i="36"/>
  <c r="K80" i="36" s="1"/>
  <c r="H88" i="36"/>
  <c r="H86" i="36"/>
  <c r="H80" i="36"/>
  <c r="F86" i="36"/>
  <c r="F80" i="36"/>
  <c r="BV86" i="82"/>
  <c r="BW86" i="82"/>
  <c r="BX86" i="82"/>
  <c r="BV87" i="82"/>
  <c r="BW87" i="82"/>
  <c r="BX87" i="82"/>
  <c r="BV88" i="82"/>
  <c r="BW88" i="82"/>
  <c r="BX88" i="82"/>
  <c r="BV23" i="82"/>
  <c r="BW23" i="82"/>
  <c r="BX23" i="82"/>
  <c r="BV14" i="82"/>
  <c r="BW14" i="82"/>
  <c r="BX14" i="82"/>
  <c r="BP98" i="82"/>
  <c r="BP95" i="82"/>
  <c r="BP49" i="82"/>
  <c r="BP37" i="82"/>
  <c r="BP36" i="82"/>
  <c r="BI37" i="82"/>
  <c r="BI36" i="82"/>
  <c r="S98" i="82"/>
  <c r="S95" i="82"/>
  <c r="S49" i="82"/>
  <c r="S46" i="82"/>
  <c r="S37" i="82"/>
  <c r="S36" i="82"/>
  <c r="S20" i="82"/>
  <c r="R46" i="82"/>
  <c r="R37" i="82"/>
  <c r="R107" i="82" s="1"/>
  <c r="R36" i="82"/>
  <c r="R20" i="82"/>
  <c r="L73" i="39"/>
  <c r="I73" i="39"/>
  <c r="G73" i="39"/>
  <c r="H57" i="39"/>
  <c r="H55" i="39"/>
  <c r="F18" i="39"/>
  <c r="F13" i="39"/>
  <c r="AB97" i="83"/>
  <c r="AA97" i="83"/>
  <c r="Z97" i="83"/>
  <c r="Z16" i="83"/>
  <c r="AA16" i="83"/>
  <c r="AB16" i="83"/>
  <c r="Z89" i="83"/>
  <c r="AA89" i="83"/>
  <c r="AB89" i="83"/>
  <c r="M85" i="83"/>
  <c r="M72" i="83"/>
  <c r="M69" i="83"/>
  <c r="M51" i="83"/>
  <c r="M42" i="83"/>
  <c r="M33" i="83"/>
  <c r="F33" i="83"/>
  <c r="F81" i="83" s="1"/>
  <c r="F32" i="83"/>
  <c r="G80" i="58"/>
  <c r="G75" i="58"/>
  <c r="G58" i="58"/>
  <c r="G56" i="58"/>
  <c r="G49" i="58"/>
  <c r="K34" i="99"/>
  <c r="K17" i="99" s="1"/>
  <c r="K61" i="99" s="1"/>
  <c r="K14" i="99"/>
  <c r="K58" i="99" s="1"/>
  <c r="G43" i="58"/>
  <c r="G42" i="58"/>
  <c r="F115" i="57" s="1"/>
  <c r="E115" i="57" s="1"/>
  <c r="G41" i="58"/>
  <c r="G34" i="58"/>
  <c r="G28" i="58"/>
  <c r="I142" i="57"/>
  <c r="AB96" i="83"/>
  <c r="D13" i="81" s="1"/>
  <c r="B48" i="106" s="1"/>
  <c r="AA96" i="83"/>
  <c r="G121" i="57"/>
  <c r="G118" i="57"/>
  <c r="G104" i="57"/>
  <c r="G101" i="57"/>
  <c r="G100" i="57"/>
  <c r="G99" i="57"/>
  <c r="G97" i="57"/>
  <c r="G96" i="57"/>
  <c r="G88" i="57"/>
  <c r="G84" i="57"/>
  <c r="G81" i="57"/>
  <c r="G64" i="57"/>
  <c r="G58" i="57"/>
  <c r="G55" i="57"/>
  <c r="G53" i="57"/>
  <c r="G43" i="57"/>
  <c r="G32" i="57"/>
  <c r="G30" i="57"/>
  <c r="G17" i="57"/>
  <c r="B40" i="106" l="1"/>
  <c r="D48" i="106"/>
  <c r="F33" i="39"/>
  <c r="H33" i="39"/>
  <c r="G115" i="57"/>
  <c r="I80" i="36"/>
  <c r="G48" i="57"/>
  <c r="G138" i="57"/>
  <c r="I138" i="57"/>
  <c r="I86" i="36"/>
  <c r="I88" i="36"/>
  <c r="G88" i="36"/>
  <c r="G142" i="57"/>
  <c r="F14" i="39"/>
  <c r="G38" i="57"/>
  <c r="D20" i="99"/>
  <c r="D12" i="99" s="1"/>
  <c r="D56" i="99" s="1"/>
  <c r="G105" i="57"/>
  <c r="Z96" i="83"/>
  <c r="Z100" i="83" s="1"/>
  <c r="G67" i="57"/>
  <c r="G113" i="57"/>
  <c r="G114" i="57"/>
  <c r="G86" i="36"/>
  <c r="G14" i="57"/>
  <c r="G80" i="57"/>
  <c r="G96" i="58"/>
  <c r="G101" i="58"/>
  <c r="G39" i="58"/>
  <c r="G40" i="58"/>
  <c r="G103" i="58"/>
  <c r="G104" i="58"/>
  <c r="G23" i="58"/>
  <c r="F55" i="39"/>
  <c r="F57" i="39"/>
  <c r="F84" i="83"/>
  <c r="G80" i="36"/>
  <c r="I20" i="99"/>
  <c r="I12" i="99" s="1"/>
  <c r="I56" i="99" s="1"/>
  <c r="I33" i="99"/>
  <c r="M78" i="36"/>
  <c r="M82" i="36"/>
  <c r="M79" i="36" s="1"/>
  <c r="M81" i="83"/>
  <c r="M88" i="83" s="1"/>
  <c r="N88" i="83"/>
  <c r="E105" i="83"/>
  <c r="BI107" i="82"/>
  <c r="H34" i="99"/>
  <c r="H84" i="36"/>
  <c r="O20" i="105" s="1"/>
  <c r="O12" i="105" s="1"/>
  <c r="J82" i="36"/>
  <c r="K82" i="36" s="1"/>
  <c r="J84" i="36"/>
  <c r="G93" i="57"/>
  <c r="G37" i="57"/>
  <c r="M84" i="36"/>
  <c r="O24" i="105" s="1"/>
  <c r="O16" i="105" s="1"/>
  <c r="H11" i="39"/>
  <c r="H43" i="39"/>
  <c r="H39" i="39" s="1"/>
  <c r="G112" i="57"/>
  <c r="F84" i="36"/>
  <c r="O19" i="105" s="1"/>
  <c r="O11" i="105" s="1"/>
  <c r="G62" i="57"/>
  <c r="G8" i="58"/>
  <c r="H78" i="36"/>
  <c r="J78" i="36"/>
  <c r="K78" i="36" s="1"/>
  <c r="F82" i="36"/>
  <c r="F112" i="82"/>
  <c r="H82" i="36"/>
  <c r="BP107" i="82"/>
  <c r="S107" i="82"/>
  <c r="I123" i="57"/>
  <c r="F88" i="83"/>
  <c r="M48" i="106" l="1"/>
  <c r="D40" i="106"/>
  <c r="M40" i="106" s="1"/>
  <c r="K84" i="36"/>
  <c r="O21" i="105"/>
  <c r="O13" i="105" s="1"/>
  <c r="F79" i="36"/>
  <c r="F83" i="36"/>
  <c r="G76" i="57"/>
  <c r="M83" i="36"/>
  <c r="G38" i="58"/>
  <c r="G141" i="57"/>
  <c r="I141" i="57"/>
  <c r="I78" i="36"/>
  <c r="J79" i="36"/>
  <c r="K79" i="36" s="1"/>
  <c r="I82" i="36"/>
  <c r="J83" i="36"/>
  <c r="K83" i="36" s="1"/>
  <c r="I84" i="36"/>
  <c r="G11" i="57"/>
  <c r="G12" i="57"/>
  <c r="G26" i="57"/>
  <c r="G28" i="57"/>
  <c r="G47" i="57"/>
  <c r="F78" i="36"/>
  <c r="G74" i="58"/>
  <c r="G48" i="58"/>
  <c r="G54" i="58"/>
  <c r="H20" i="99"/>
  <c r="H12" i="99" s="1"/>
  <c r="H56" i="99" s="1"/>
  <c r="G13" i="58"/>
  <c r="F43" i="39"/>
  <c r="F39" i="39" s="1"/>
  <c r="F15" i="39"/>
  <c r="H10" i="39"/>
  <c r="H79" i="36"/>
  <c r="G82" i="36"/>
  <c r="H83" i="36"/>
  <c r="G84" i="36"/>
  <c r="I16" i="99"/>
  <c r="I60" i="99" s="1"/>
  <c r="L33" i="99"/>
  <c r="H17" i="99"/>
  <c r="H61" i="99" s="1"/>
  <c r="L34" i="99"/>
  <c r="M34" i="99" s="1"/>
  <c r="M84" i="83"/>
  <c r="E107" i="82"/>
  <c r="L88" i="83"/>
  <c r="H21" i="102"/>
  <c r="H20" i="102"/>
  <c r="B10" i="52"/>
  <c r="C8" i="52"/>
  <c r="B8" i="52"/>
  <c r="E20" i="102"/>
  <c r="E19" i="102" s="1"/>
  <c r="E18" i="102" s="1"/>
  <c r="D20" i="102"/>
  <c r="D19" i="102" s="1"/>
  <c r="D18" i="102" s="1"/>
  <c r="J19" i="102"/>
  <c r="J18" i="102" s="1"/>
  <c r="I19" i="102"/>
  <c r="I18" i="102" s="1"/>
  <c r="J14" i="102"/>
  <c r="I14" i="102"/>
  <c r="E14" i="102"/>
  <c r="D14" i="102"/>
  <c r="J8" i="102"/>
  <c r="E8" i="102"/>
  <c r="D8" i="102"/>
  <c r="J6" i="102"/>
  <c r="I6" i="102"/>
  <c r="H6" i="102"/>
  <c r="G79" i="36" l="1"/>
  <c r="G83" i="36"/>
  <c r="G78" i="36"/>
  <c r="E112" i="82"/>
  <c r="G10" i="57"/>
  <c r="J68" i="39"/>
  <c r="G110" i="82" s="1"/>
  <c r="G111" i="82" s="1"/>
  <c r="G113" i="82" s="1"/>
  <c r="F21" i="80"/>
  <c r="I79" i="36"/>
  <c r="I83" i="36"/>
  <c r="F19" i="80"/>
  <c r="E110" i="82"/>
  <c r="F11" i="39"/>
  <c r="H37" i="39"/>
  <c r="M136" i="57"/>
  <c r="H9" i="39"/>
  <c r="F10" i="39"/>
  <c r="H14" i="99"/>
  <c r="H58" i="99" s="1"/>
  <c r="L31" i="99"/>
  <c r="M31" i="99" s="1"/>
  <c r="M33" i="99"/>
  <c r="L16" i="99"/>
  <c r="C151" i="81"/>
  <c r="D7" i="102"/>
  <c r="D25" i="102" s="1"/>
  <c r="B15" i="52"/>
  <c r="E7" i="102"/>
  <c r="E25" i="102" s="1"/>
  <c r="J7" i="102"/>
  <c r="J25" i="102" s="1"/>
  <c r="H19" i="102"/>
  <c r="H18" i="102" s="1"/>
  <c r="M135" i="57" l="1"/>
  <c r="M73" i="36" s="1"/>
  <c r="C156" i="81"/>
  <c r="C153" i="81"/>
  <c r="K136" i="57"/>
  <c r="G9" i="57"/>
  <c r="F37" i="39"/>
  <c r="F9" i="39"/>
  <c r="L60" i="99"/>
  <c r="M16" i="99"/>
  <c r="F73" i="36"/>
  <c r="BT88" i="82"/>
  <c r="BT89" i="82"/>
  <c r="BT94" i="82"/>
  <c r="J73" i="36" l="1"/>
  <c r="K73" i="36" s="1"/>
  <c r="K135" i="57"/>
  <c r="F36" i="39"/>
  <c r="H36" i="39"/>
  <c r="G123" i="57"/>
  <c r="G8" i="57"/>
  <c r="H136" i="57" l="1"/>
  <c r="I136" i="57" s="1"/>
  <c r="H68" i="39"/>
  <c r="F20" i="80"/>
  <c r="F68" i="39"/>
  <c r="F110" i="82"/>
  <c r="BT87" i="82"/>
  <c r="C152" i="81" l="1"/>
  <c r="H135" i="57"/>
  <c r="I135" i="57" s="1"/>
  <c r="G136" i="57"/>
  <c r="G135" i="57" l="1"/>
  <c r="H73" i="36"/>
  <c r="G73" i="36" s="1"/>
  <c r="I73" i="36" l="1"/>
  <c r="J19" i="99"/>
  <c r="J11" i="99" s="1"/>
  <c r="J55" i="99" s="1"/>
  <c r="X16" i="83" l="1"/>
  <c r="D9" i="103" l="1"/>
  <c r="C12" i="39" l="1"/>
  <c r="D12" i="39" s="1"/>
  <c r="BT23" i="82" l="1"/>
  <c r="BT24" i="82"/>
  <c r="BT14" i="82" l="1"/>
  <c r="X46" i="83" l="1"/>
  <c r="C16" i="39" l="1"/>
  <c r="D16" i="39" s="1"/>
  <c r="E28" i="52" l="1"/>
  <c r="X54" i="83"/>
  <c r="X55" i="83"/>
  <c r="C13" i="39" l="1"/>
  <c r="D13" i="39" s="1"/>
  <c r="BT51" i="82" l="1"/>
  <c r="Y97" i="83" l="1"/>
  <c r="D19" i="103" l="1"/>
  <c r="E19" i="103"/>
  <c r="D80" i="36"/>
  <c r="E80" i="36" s="1"/>
  <c r="BV109" i="82"/>
  <c r="BW109" i="82"/>
  <c r="BX109" i="82"/>
  <c r="BV85" i="82"/>
  <c r="BV94" i="82"/>
  <c r="BW85" i="82"/>
  <c r="BW94" i="82"/>
  <c r="E9" i="103"/>
  <c r="BM98" i="82"/>
  <c r="BM95" i="82"/>
  <c r="BM49" i="82"/>
  <c r="BM46" i="82"/>
  <c r="BM37" i="82"/>
  <c r="BM36" i="82"/>
  <c r="BM20" i="82"/>
  <c r="BF98" i="82"/>
  <c r="BF95" i="82"/>
  <c r="BF49" i="82"/>
  <c r="BF46" i="82"/>
  <c r="BF37" i="82"/>
  <c r="BF36" i="82"/>
  <c r="BF20" i="82"/>
  <c r="AK98" i="82"/>
  <c r="AK95" i="82"/>
  <c r="AK49" i="82"/>
  <c r="AK46" i="82"/>
  <c r="AK37" i="82"/>
  <c r="AK36" i="82"/>
  <c r="AK20" i="82"/>
  <c r="AK11" i="82"/>
  <c r="AD95" i="82"/>
  <c r="AD46" i="82"/>
  <c r="AD37" i="82"/>
  <c r="AD36" i="82"/>
  <c r="AD20" i="82"/>
  <c r="AD11" i="82"/>
  <c r="BV89" i="82"/>
  <c r="W98" i="82"/>
  <c r="W95" i="82"/>
  <c r="W49" i="82"/>
  <c r="W46" i="82"/>
  <c r="W37" i="82"/>
  <c r="W36" i="82"/>
  <c r="W20" i="82"/>
  <c r="W11" i="82"/>
  <c r="Y11" i="82"/>
  <c r="P49" i="82"/>
  <c r="C98" i="82"/>
  <c r="C95" i="82"/>
  <c r="C67" i="82"/>
  <c r="C46" i="82"/>
  <c r="C36" i="82"/>
  <c r="C11" i="82"/>
  <c r="E11" i="82"/>
  <c r="J85" i="83"/>
  <c r="J72" i="83"/>
  <c r="J69" i="83"/>
  <c r="J51" i="83"/>
  <c r="J42" i="83"/>
  <c r="J33" i="83"/>
  <c r="J32" i="83"/>
  <c r="J29" i="83"/>
  <c r="C85" i="83"/>
  <c r="C72" i="83"/>
  <c r="C69" i="83"/>
  <c r="C51" i="83"/>
  <c r="C42" i="83"/>
  <c r="C33" i="83"/>
  <c r="C32" i="83"/>
  <c r="C29" i="83"/>
  <c r="D17" i="103"/>
  <c r="D16" i="103" s="1"/>
  <c r="D31" i="52"/>
  <c r="D19" i="99"/>
  <c r="D11" i="99" s="1"/>
  <c r="D55" i="99" s="1"/>
  <c r="C81" i="83" l="1"/>
  <c r="C84" i="83" s="1"/>
  <c r="E32" i="82"/>
  <c r="E111" i="82" s="1"/>
  <c r="E113" i="82" s="1"/>
  <c r="Y32" i="82"/>
  <c r="Y111" i="82" s="1"/>
  <c r="Y113" i="82" s="1"/>
  <c r="C49" i="82"/>
  <c r="BT67" i="82"/>
  <c r="C50" i="97"/>
  <c r="C14" i="39"/>
  <c r="D14" i="39" s="1"/>
  <c r="AD32" i="82"/>
  <c r="C20" i="82"/>
  <c r="C32" i="82" s="1"/>
  <c r="AK32" i="82"/>
  <c r="H17" i="102"/>
  <c r="C37" i="82"/>
  <c r="E17" i="103"/>
  <c r="E16" i="103" s="1"/>
  <c r="E15" i="103" s="1"/>
  <c r="E8" i="103" s="1"/>
  <c r="BM107" i="82"/>
  <c r="AK107" i="82"/>
  <c r="W107" i="82"/>
  <c r="D15" i="103"/>
  <c r="D8" i="103" s="1"/>
  <c r="H16" i="102"/>
  <c r="J81" i="83"/>
  <c r="W32" i="82"/>
  <c r="E167" i="81"/>
  <c r="E168" i="81"/>
  <c r="E159" i="81"/>
  <c r="E160" i="81"/>
  <c r="E161" i="81"/>
  <c r="E163" i="81"/>
  <c r="E164" i="81"/>
  <c r="E143" i="81"/>
  <c r="E144" i="81"/>
  <c r="E70" i="81"/>
  <c r="E71" i="81"/>
  <c r="G28" i="52"/>
  <c r="I28" i="52"/>
  <c r="K28" i="52"/>
  <c r="F9" i="103"/>
  <c r="F19" i="103"/>
  <c r="C168" i="81"/>
  <c r="F28" i="80"/>
  <c r="J84" i="83" l="1"/>
  <c r="W111" i="82"/>
  <c r="BU112" i="82"/>
  <c r="I11" i="99"/>
  <c r="I55" i="99" s="1"/>
  <c r="L28" i="99"/>
  <c r="M28" i="99" s="1"/>
  <c r="H19" i="99"/>
  <c r="C36" i="39"/>
  <c r="D36" i="39" s="1"/>
  <c r="C11" i="39"/>
  <c r="C134" i="81"/>
  <c r="C135" i="81"/>
  <c r="F17" i="103"/>
  <c r="BW89" i="82"/>
  <c r="C10" i="39" l="1"/>
  <c r="D11" i="39"/>
  <c r="H11" i="99"/>
  <c r="H55" i="99" s="1"/>
  <c r="L19" i="99"/>
  <c r="L11" i="99" s="1"/>
  <c r="L55" i="99" s="1"/>
  <c r="BX89" i="82"/>
  <c r="C9" i="39" l="1"/>
  <c r="D10" i="39"/>
  <c r="BP111" i="82"/>
  <c r="BP113" i="82" s="1"/>
  <c r="AN113" i="82"/>
  <c r="F111" i="82"/>
  <c r="F113" i="82" s="1"/>
  <c r="F2" i="58"/>
  <c r="F2" i="57"/>
  <c r="D9" i="39" l="1"/>
  <c r="C68" i="39"/>
  <c r="F105" i="83"/>
  <c r="F18" i="105" l="1"/>
  <c r="F10" i="105" s="1"/>
  <c r="F53" i="105" s="1"/>
  <c r="F18" i="80"/>
  <c r="D68" i="39"/>
  <c r="D136" i="57"/>
  <c r="D110" i="82"/>
  <c r="C136" i="81"/>
  <c r="D111" i="82" l="1"/>
  <c r="D113" i="82" s="1"/>
  <c r="BU110" i="82"/>
  <c r="E136" i="57"/>
  <c r="D135" i="57"/>
  <c r="E135" i="57" s="1"/>
  <c r="C150" i="81"/>
  <c r="BT86" i="82"/>
  <c r="F27" i="80" l="1"/>
  <c r="C167" i="81" l="1"/>
  <c r="D75" i="97"/>
  <c r="D72" i="97" s="1"/>
  <c r="F76" i="97"/>
  <c r="F75" i="97" s="1"/>
  <c r="F72" i="97" s="1"/>
  <c r="F80" i="97"/>
  <c r="F79" i="97" s="1"/>
  <c r="D80" i="97"/>
  <c r="D79" i="97" s="1"/>
  <c r="E80" i="97"/>
  <c r="E79" i="97" s="1"/>
  <c r="C84" i="97"/>
  <c r="C82" i="97"/>
  <c r="C76" i="97"/>
  <c r="C80" i="97" l="1"/>
  <c r="C79" i="97" s="1"/>
  <c r="E72" i="97"/>
  <c r="F16" i="103" l="1"/>
  <c r="F15" i="103" s="1"/>
  <c r="E7" i="103"/>
  <c r="F7" i="103"/>
  <c r="D7" i="103"/>
  <c r="E2" i="103"/>
  <c r="C73" i="39"/>
  <c r="C70" i="39" s="1"/>
  <c r="F8" i="103" l="1"/>
  <c r="H40" i="97" l="1"/>
  <c r="D63" i="36" l="1"/>
  <c r="E63" i="36" s="1"/>
  <c r="C78" i="97" l="1"/>
  <c r="C75" i="97" s="1"/>
  <c r="C166" i="81"/>
  <c r="I15" i="56" l="1"/>
  <c r="BT109" i="82"/>
  <c r="J16" i="56" l="1"/>
  <c r="I16" i="56"/>
  <c r="H16" i="56"/>
  <c r="F16" i="56"/>
  <c r="E16" i="56"/>
  <c r="C16" i="56"/>
  <c r="K16" i="56" l="1"/>
  <c r="K20" i="56"/>
  <c r="K21" i="56" s="1"/>
  <c r="K22" i="56" s="1"/>
  <c r="K23" i="56" s="1"/>
  <c r="G16" i="56"/>
  <c r="N2" i="52"/>
  <c r="L30" i="52"/>
  <c r="J30" i="52"/>
  <c r="H30" i="52"/>
  <c r="F30" i="52"/>
  <c r="J28" i="52"/>
  <c r="H28" i="52"/>
  <c r="F28" i="52"/>
  <c r="C28" i="52"/>
  <c r="D26" i="52"/>
  <c r="D24" i="52"/>
  <c r="D28" i="52" l="1"/>
  <c r="L28" i="52"/>
  <c r="M28" i="52"/>
  <c r="N24" i="52"/>
  <c r="N27" i="52"/>
  <c r="N26" i="52"/>
  <c r="N25" i="52"/>
  <c r="N28" i="52" l="1"/>
  <c r="BX85" i="82" l="1"/>
  <c r="BT85" i="82"/>
  <c r="BT26" i="82" l="1"/>
  <c r="BV26" i="82"/>
  <c r="BW26" i="82"/>
  <c r="BX26" i="82"/>
  <c r="D58" i="36" l="1"/>
  <c r="C21" i="102" s="1"/>
  <c r="BX83" i="82" l="1"/>
  <c r="BW83" i="82"/>
  <c r="BV83" i="82"/>
  <c r="BT83" i="82"/>
  <c r="BX82" i="82"/>
  <c r="BW82" i="82"/>
  <c r="BV82" i="82"/>
  <c r="BT82" i="82"/>
  <c r="BX81" i="82"/>
  <c r="BW81" i="82"/>
  <c r="BV81" i="82"/>
  <c r="BT81" i="82"/>
  <c r="BX80" i="82"/>
  <c r="BW80" i="82"/>
  <c r="BV80" i="82"/>
  <c r="BT80" i="82"/>
  <c r="BX79" i="82"/>
  <c r="BW79" i="82"/>
  <c r="BV79" i="82"/>
  <c r="BT79" i="82"/>
  <c r="BX78" i="82"/>
  <c r="BW78" i="82"/>
  <c r="BV78" i="82"/>
  <c r="BT78" i="82"/>
  <c r="BX77" i="82"/>
  <c r="BW77" i="82"/>
  <c r="BV77" i="82"/>
  <c r="BT77" i="82"/>
  <c r="BX76" i="82"/>
  <c r="BW76" i="82"/>
  <c r="BV76" i="82"/>
  <c r="BT76" i="82"/>
  <c r="BX74" i="82"/>
  <c r="BW74" i="82"/>
  <c r="BV74" i="82"/>
  <c r="BT74" i="82"/>
  <c r="BX72" i="82"/>
  <c r="BW72" i="82"/>
  <c r="BV72" i="82"/>
  <c r="BT72" i="82"/>
  <c r="BX71" i="82"/>
  <c r="BW71" i="82"/>
  <c r="BV71" i="82"/>
  <c r="BT71" i="82"/>
  <c r="BX70" i="82"/>
  <c r="BW70" i="82"/>
  <c r="BV70" i="82"/>
  <c r="BT70" i="82"/>
  <c r="BX68" i="82"/>
  <c r="BW68" i="82"/>
  <c r="BV68" i="82"/>
  <c r="BX67" i="82"/>
  <c r="BW67" i="82"/>
  <c r="BV67" i="82"/>
  <c r="BV51" i="82"/>
  <c r="BW51" i="82"/>
  <c r="BX51" i="82"/>
  <c r="BT52" i="82"/>
  <c r="BV52" i="82"/>
  <c r="BW52" i="82"/>
  <c r="BX52" i="82"/>
  <c r="BT53" i="82"/>
  <c r="BV53" i="82"/>
  <c r="BW53" i="82"/>
  <c r="BX53" i="82"/>
  <c r="BT54" i="82"/>
  <c r="BV54" i="82"/>
  <c r="BW54" i="82"/>
  <c r="BX54" i="82"/>
  <c r="BT55" i="82"/>
  <c r="BV55" i="82"/>
  <c r="BW55" i="82"/>
  <c r="BX55" i="82"/>
  <c r="BT56" i="82"/>
  <c r="BV56" i="82"/>
  <c r="BW56" i="82"/>
  <c r="BX56" i="82"/>
  <c r="BT57" i="82"/>
  <c r="BV57" i="82"/>
  <c r="BW57" i="82"/>
  <c r="BX57" i="82"/>
  <c r="BT58" i="82"/>
  <c r="BV58" i="82"/>
  <c r="BW58" i="82"/>
  <c r="BX58" i="82"/>
  <c r="BT59" i="82"/>
  <c r="BV59" i="82"/>
  <c r="BW59" i="82"/>
  <c r="BX59" i="82"/>
  <c r="BT60" i="82"/>
  <c r="BV60" i="82"/>
  <c r="BW60" i="82"/>
  <c r="BX60" i="82"/>
  <c r="BT61" i="82"/>
  <c r="BV61" i="82"/>
  <c r="BW61" i="82"/>
  <c r="BX61" i="82"/>
  <c r="BT62" i="82"/>
  <c r="BV62" i="82"/>
  <c r="BW62" i="82"/>
  <c r="BX62" i="82"/>
  <c r="BT63" i="82"/>
  <c r="BV63" i="82"/>
  <c r="BW63" i="82"/>
  <c r="BX63" i="82"/>
  <c r="BT64" i="82"/>
  <c r="BV64" i="82"/>
  <c r="BW64" i="82"/>
  <c r="BX64" i="82"/>
  <c r="BT65" i="82"/>
  <c r="BV65" i="82"/>
  <c r="BW65" i="82"/>
  <c r="BX65" i="82"/>
  <c r="BT66" i="82"/>
  <c r="BV66" i="82"/>
  <c r="BW66" i="82"/>
  <c r="BX66" i="82"/>
  <c r="BT38" i="82"/>
  <c r="BT39" i="82"/>
  <c r="BT40" i="82"/>
  <c r="BT41" i="82"/>
  <c r="BV12" i="82"/>
  <c r="BW12" i="82"/>
  <c r="BX12" i="82"/>
  <c r="BV13" i="82"/>
  <c r="BW13" i="82"/>
  <c r="BX13" i="82"/>
  <c r="BV15" i="82"/>
  <c r="BW15" i="82"/>
  <c r="BX15" i="82"/>
  <c r="BV16" i="82"/>
  <c r="BW16" i="82"/>
  <c r="BX16" i="82"/>
  <c r="BV17" i="82"/>
  <c r="BW17" i="82"/>
  <c r="BX17" i="82"/>
  <c r="BV18" i="82"/>
  <c r="BW18" i="82"/>
  <c r="BX18" i="82"/>
  <c r="BV19" i="82"/>
  <c r="BW19" i="82"/>
  <c r="BX19" i="82"/>
  <c r="BV21" i="82"/>
  <c r="BW21" i="82"/>
  <c r="BX21" i="82"/>
  <c r="BV24" i="82"/>
  <c r="BW24" i="82"/>
  <c r="BX24" i="82"/>
  <c r="BV25" i="82"/>
  <c r="BW25" i="82"/>
  <c r="BX25" i="82"/>
  <c r="BV27" i="82"/>
  <c r="BW27" i="82"/>
  <c r="BX27" i="82"/>
  <c r="BV28" i="82"/>
  <c r="BW28" i="82"/>
  <c r="BX28" i="82"/>
  <c r="BV30" i="82"/>
  <c r="BW30" i="82"/>
  <c r="BX30" i="82"/>
  <c r="BV69" i="82"/>
  <c r="BW69" i="82" l="1"/>
  <c r="BX69" i="82"/>
  <c r="L105" i="83" l="1"/>
  <c r="M105" i="83"/>
  <c r="N105" i="83"/>
  <c r="P105" i="83"/>
  <c r="I105" i="83" l="1"/>
  <c r="G105" i="83"/>
  <c r="X44" i="83"/>
  <c r="Z44" i="83"/>
  <c r="AA44" i="83"/>
  <c r="AB44" i="83"/>
  <c r="X45" i="83"/>
  <c r="Z45" i="83"/>
  <c r="AA45" i="83"/>
  <c r="AB45" i="83"/>
  <c r="X47" i="83"/>
  <c r="Z47" i="83"/>
  <c r="AA47" i="83"/>
  <c r="AB47" i="83"/>
  <c r="X48" i="83"/>
  <c r="Z48" i="83"/>
  <c r="AA48" i="83"/>
  <c r="AB48" i="83"/>
  <c r="X40" i="83"/>
  <c r="Z40" i="83"/>
  <c r="AA40" i="83"/>
  <c r="AB40" i="83"/>
  <c r="X41" i="83"/>
  <c r="Z41" i="83"/>
  <c r="AA41" i="83"/>
  <c r="AB41" i="83"/>
  <c r="X27" i="83"/>
  <c r="Z27" i="83"/>
  <c r="AA27" i="83"/>
  <c r="AB27" i="83"/>
  <c r="Z11" i="83"/>
  <c r="AA11" i="83"/>
  <c r="AB11" i="83"/>
  <c r="Z13" i="83"/>
  <c r="AA13" i="83"/>
  <c r="AB13" i="83"/>
  <c r="Z14" i="83"/>
  <c r="AA14" i="83"/>
  <c r="AB14" i="83"/>
  <c r="Z15" i="83"/>
  <c r="AA15" i="83"/>
  <c r="AB15" i="83"/>
  <c r="Z17" i="83"/>
  <c r="AA17" i="83"/>
  <c r="AB17" i="83"/>
  <c r="Z18" i="83"/>
  <c r="AA18" i="83"/>
  <c r="AB18" i="83"/>
  <c r="Z20" i="83"/>
  <c r="AA20" i="83"/>
  <c r="AB20" i="83"/>
  <c r="AB21" i="83"/>
  <c r="Z22" i="83"/>
  <c r="AA22" i="83"/>
  <c r="AB22" i="83"/>
  <c r="Z23" i="83"/>
  <c r="AA23" i="83"/>
  <c r="AB23" i="83"/>
  <c r="Z25" i="83"/>
  <c r="AA25" i="83"/>
  <c r="AB25" i="83"/>
  <c r="Z26" i="83"/>
  <c r="AA26" i="83"/>
  <c r="AB26" i="83"/>
  <c r="AB28" i="83"/>
  <c r="X13" i="83"/>
  <c r="X14" i="83"/>
  <c r="X15" i="83"/>
  <c r="X17" i="83"/>
  <c r="X18" i="83"/>
  <c r="X22" i="83"/>
  <c r="X23" i="83"/>
  <c r="X25" i="83"/>
  <c r="X26" i="83"/>
  <c r="AA9" i="83" l="1"/>
  <c r="AB9" i="83"/>
  <c r="AD9" i="83"/>
  <c r="M9" i="83"/>
  <c r="N9" i="83"/>
  <c r="P9" i="83"/>
  <c r="BV2" i="82"/>
  <c r="E69" i="81"/>
  <c r="E142" i="81"/>
  <c r="E166" i="81"/>
  <c r="E158" i="81"/>
  <c r="C61" i="97" l="1"/>
  <c r="X20" i="83" l="1"/>
  <c r="AE149" i="83" l="1"/>
  <c r="BV100" i="82" l="1"/>
  <c r="BT100" i="82"/>
  <c r="AD98" i="82"/>
  <c r="BV22" i="82"/>
  <c r="BW22" i="82"/>
  <c r="Z28" i="83" l="1"/>
  <c r="AA28" i="83"/>
  <c r="X28" i="83"/>
  <c r="Z21" i="83" l="1"/>
  <c r="AA21" i="83"/>
  <c r="X21" i="83"/>
  <c r="BV38" i="82" l="1"/>
  <c r="BW38" i="82"/>
  <c r="BT25" i="82" l="1"/>
  <c r="BT27" i="82"/>
  <c r="BT28" i="82"/>
  <c r="BT30" i="82"/>
  <c r="BT13" i="82"/>
  <c r="BT15" i="82"/>
  <c r="BT16" i="82"/>
  <c r="BT17" i="82"/>
  <c r="BT18" i="82"/>
  <c r="BT19" i="82"/>
  <c r="X64" i="83" l="1"/>
  <c r="Z64" i="83"/>
  <c r="AA64" i="83"/>
  <c r="Z63" i="83"/>
  <c r="X63" i="83"/>
  <c r="AA63" i="83"/>
  <c r="AA62" i="83"/>
  <c r="Z62" i="83"/>
  <c r="X62" i="83"/>
  <c r="AA61" i="83"/>
  <c r="Z61" i="83"/>
  <c r="X61" i="83"/>
  <c r="AA60" i="83"/>
  <c r="Z60" i="83"/>
  <c r="X60" i="83"/>
  <c r="X38" i="83"/>
  <c r="AA38" i="83"/>
  <c r="Z38" i="83"/>
  <c r="N2" i="56"/>
  <c r="F2" i="97"/>
  <c r="Y10" i="82" l="1"/>
  <c r="Z10" i="82"/>
  <c r="W10" i="82"/>
  <c r="BJ111" i="82"/>
  <c r="BJ113" i="82" s="1"/>
  <c r="BI111" i="82"/>
  <c r="BI113" i="82" s="1"/>
  <c r="BF11" i="82"/>
  <c r="BF32" i="82" s="1"/>
  <c r="BF107" i="82" l="1"/>
  <c r="BF111" i="82" l="1"/>
  <c r="BF113" i="82" s="1"/>
  <c r="I20" i="80"/>
  <c r="I12" i="80" s="1"/>
  <c r="E37" i="80"/>
  <c r="G37" i="80"/>
  <c r="H37" i="80"/>
  <c r="I37" i="80"/>
  <c r="L37" i="80"/>
  <c r="M37" i="80"/>
  <c r="A55" i="80"/>
  <c r="A37" i="80"/>
  <c r="A28" i="80"/>
  <c r="A20" i="80"/>
  <c r="P12" i="80"/>
  <c r="A12" i="80"/>
  <c r="A45" i="80"/>
  <c r="P55" i="80" l="1"/>
  <c r="I55" i="80"/>
  <c r="J28" i="80" l="1"/>
  <c r="O28" i="80" s="1"/>
  <c r="BW104" i="82" l="1"/>
  <c r="BW102" i="82"/>
  <c r="BW101" i="82"/>
  <c r="BW99" i="82"/>
  <c r="BW96" i="82"/>
  <c r="BW105" i="82"/>
  <c r="BW45" i="82"/>
  <c r="BW44" i="82"/>
  <c r="BW42" i="82"/>
  <c r="BW41" i="82"/>
  <c r="BW40" i="82"/>
  <c r="BW43" i="82"/>
  <c r="BW39" i="82"/>
  <c r="BW50" i="82"/>
  <c r="L49" i="82"/>
  <c r="L46" i="82"/>
  <c r="BW35" i="82"/>
  <c r="BW34" i="82"/>
  <c r="BW31" i="82"/>
  <c r="BW33" i="82"/>
  <c r="AG10" i="82"/>
  <c r="S10" i="82"/>
  <c r="L10" i="82"/>
  <c r="AA80" i="83"/>
  <c r="AA77" i="83"/>
  <c r="AA76" i="83"/>
  <c r="AA75" i="83"/>
  <c r="AA74" i="83"/>
  <c r="AA71" i="83"/>
  <c r="AA70" i="83"/>
  <c r="AA59" i="83"/>
  <c r="AA58" i="83"/>
  <c r="AA54" i="83"/>
  <c r="AA53" i="83"/>
  <c r="AA50" i="83"/>
  <c r="AA49" i="83"/>
  <c r="AA43" i="83"/>
  <c r="AA39" i="83"/>
  <c r="AA36" i="83"/>
  <c r="AA35" i="83"/>
  <c r="T72" i="83"/>
  <c r="T69" i="83"/>
  <c r="T51" i="83"/>
  <c r="T42" i="83"/>
  <c r="AA79" i="83"/>
  <c r="AA78" i="83"/>
  <c r="AA73" i="83"/>
  <c r="AA68" i="83"/>
  <c r="AA67" i="83"/>
  <c r="AA65" i="83"/>
  <c r="AA57" i="83"/>
  <c r="AA56" i="83"/>
  <c r="AA55" i="83"/>
  <c r="AA52" i="83"/>
  <c r="AA37" i="83"/>
  <c r="AA34" i="83"/>
  <c r="AA69" i="83" l="1"/>
  <c r="BW47" i="82"/>
  <c r="BW48" i="82"/>
  <c r="BW97" i="82"/>
  <c r="AA42" i="83"/>
  <c r="AA72" i="83"/>
  <c r="N2" i="53"/>
  <c r="F2" i="81"/>
  <c r="O2" i="80"/>
  <c r="K20" i="80" l="1"/>
  <c r="K12" i="80" s="1"/>
  <c r="L20" i="80"/>
  <c r="L12" i="80" s="1"/>
  <c r="L55" i="80" s="1"/>
  <c r="AA51" i="83"/>
  <c r="Z9" i="83" l="1"/>
  <c r="S9" i="83"/>
  <c r="L9" i="83"/>
  <c r="AF10" i="82"/>
  <c r="R10" i="82"/>
  <c r="K10" i="82"/>
  <c r="W72" i="83"/>
  <c r="AD72" i="83" s="1"/>
  <c r="W69" i="83"/>
  <c r="AD69" i="83" s="1"/>
  <c r="W51" i="83"/>
  <c r="AD51" i="83" s="1"/>
  <c r="W42" i="83"/>
  <c r="AD42" i="83" s="1"/>
  <c r="W33" i="83"/>
  <c r="AD33" i="83" s="1"/>
  <c r="W32" i="83"/>
  <c r="W29" i="83"/>
  <c r="U72" i="83"/>
  <c r="U69" i="83"/>
  <c r="U51" i="83"/>
  <c r="U42" i="83"/>
  <c r="U33" i="83"/>
  <c r="U32" i="83"/>
  <c r="U29" i="83"/>
  <c r="T33" i="83"/>
  <c r="T32" i="83"/>
  <c r="T29" i="83"/>
  <c r="S72" i="83"/>
  <c r="S69" i="83"/>
  <c r="S51" i="83"/>
  <c r="S42" i="83"/>
  <c r="S33" i="83"/>
  <c r="S32" i="83"/>
  <c r="S29" i="83"/>
  <c r="BV99" i="82"/>
  <c r="BX99" i="82"/>
  <c r="BV101" i="82"/>
  <c r="BX101" i="82"/>
  <c r="BV102" i="82"/>
  <c r="BX102" i="82"/>
  <c r="BV104" i="82"/>
  <c r="BX104" i="82"/>
  <c r="BV105" i="82"/>
  <c r="BX105" i="82"/>
  <c r="O98" i="82"/>
  <c r="O95" i="82"/>
  <c r="M98" i="82"/>
  <c r="M95" i="82"/>
  <c r="L98" i="82"/>
  <c r="L95" i="82"/>
  <c r="K98" i="82"/>
  <c r="BU98" i="82" s="1"/>
  <c r="K95" i="82"/>
  <c r="BU95" i="82" s="1"/>
  <c r="O49" i="82"/>
  <c r="O46" i="82"/>
  <c r="O37" i="82"/>
  <c r="M49" i="82"/>
  <c r="M46" i="82"/>
  <c r="M37" i="82"/>
  <c r="L37" i="82"/>
  <c r="K49" i="82"/>
  <c r="BU49" i="82" s="1"/>
  <c r="K46" i="82"/>
  <c r="BU46" i="82" s="1"/>
  <c r="K37" i="82"/>
  <c r="BU37" i="82" s="1"/>
  <c r="O36" i="82"/>
  <c r="O20" i="82"/>
  <c r="O11" i="82"/>
  <c r="M36" i="82"/>
  <c r="M20" i="82"/>
  <c r="M11" i="82"/>
  <c r="L36" i="82"/>
  <c r="L20" i="82"/>
  <c r="L11" i="82"/>
  <c r="K36" i="82"/>
  <c r="BU36" i="82" s="1"/>
  <c r="D129" i="57" s="1"/>
  <c r="D128" i="57" s="1"/>
  <c r="K20" i="82"/>
  <c r="BU20" i="82" s="1"/>
  <c r="K11" i="82"/>
  <c r="BU11" i="82" s="1"/>
  <c r="BX22" i="82"/>
  <c r="M20" i="80" l="1"/>
  <c r="S81" i="83"/>
  <c r="T81" i="83"/>
  <c r="U81" i="83"/>
  <c r="W81" i="83"/>
  <c r="AD81" i="83" s="1"/>
  <c r="AD84" i="83" s="1"/>
  <c r="L32" i="82"/>
  <c r="M32" i="82"/>
  <c r="K32" i="82"/>
  <c r="BU32" i="82" s="1"/>
  <c r="D126" i="57" s="1"/>
  <c r="D125" i="57" s="1"/>
  <c r="O32" i="82"/>
  <c r="H17" i="36"/>
  <c r="J17" i="36"/>
  <c r="M17" i="36"/>
  <c r="D12" i="81"/>
  <c r="B47" i="99" l="1"/>
  <c r="B39" i="99" s="1"/>
  <c r="B47" i="106"/>
  <c r="B46" i="99"/>
  <c r="B38" i="99" s="1"/>
  <c r="B46" i="106"/>
  <c r="I17" i="36"/>
  <c r="K17" i="36"/>
  <c r="AA100" i="83"/>
  <c r="M12" i="80"/>
  <c r="N20" i="80"/>
  <c r="J10" i="36"/>
  <c r="H20" i="80"/>
  <c r="H12" i="80" s="1"/>
  <c r="H55" i="80" s="1"/>
  <c r="H10" i="36"/>
  <c r="D47" i="106" l="1"/>
  <c r="B39" i="106"/>
  <c r="D46" i="106"/>
  <c r="B38" i="106"/>
  <c r="I10" i="36"/>
  <c r="K10" i="36"/>
  <c r="M55" i="80"/>
  <c r="N12" i="80"/>
  <c r="M10" i="36"/>
  <c r="M47" i="106" l="1"/>
  <c r="D39" i="106"/>
  <c r="M39" i="106" s="1"/>
  <c r="D38" i="106"/>
  <c r="M38" i="106" s="1"/>
  <c r="M46" i="106"/>
  <c r="I18" i="80"/>
  <c r="F26" i="80"/>
  <c r="BT104" i="82" l="1"/>
  <c r="Y96" i="83" l="1"/>
  <c r="D10" i="81" s="1"/>
  <c r="B45" i="106" s="1"/>
  <c r="X31" i="83"/>
  <c r="H47" i="36"/>
  <c r="H59" i="36"/>
  <c r="D39" i="81"/>
  <c r="H64" i="36"/>
  <c r="H51" i="36"/>
  <c r="D53" i="81"/>
  <c r="C47" i="99" s="1"/>
  <c r="AA30" i="83"/>
  <c r="AA31" i="83"/>
  <c r="AA82" i="83"/>
  <c r="AA83" i="83"/>
  <c r="F37" i="80" s="1"/>
  <c r="T85" i="83"/>
  <c r="D30" i="36"/>
  <c r="D47" i="36"/>
  <c r="D60" i="36"/>
  <c r="N16" i="56"/>
  <c r="BT22" i="82"/>
  <c r="J11" i="82"/>
  <c r="J20" i="82"/>
  <c r="P11" i="82"/>
  <c r="P20" i="82"/>
  <c r="AR11" i="82"/>
  <c r="AR20" i="82"/>
  <c r="AY11" i="82"/>
  <c r="AY20" i="82"/>
  <c r="BM11" i="82"/>
  <c r="BM32" i="82" s="1"/>
  <c r="BM111" i="82" s="1"/>
  <c r="BM113" i="82" s="1"/>
  <c r="BT35" i="82"/>
  <c r="J36" i="82"/>
  <c r="P36" i="82"/>
  <c r="AR36" i="82"/>
  <c r="AY36" i="82"/>
  <c r="X30" i="83"/>
  <c r="BT43" i="82"/>
  <c r="J37" i="82"/>
  <c r="J46" i="82"/>
  <c r="J49" i="82"/>
  <c r="J95" i="82"/>
  <c r="J98" i="82"/>
  <c r="P37" i="82"/>
  <c r="P46" i="82"/>
  <c r="P95" i="82"/>
  <c r="P98" i="82"/>
  <c r="AR37" i="82"/>
  <c r="AR46" i="82"/>
  <c r="AR49" i="82"/>
  <c r="AR95" i="82"/>
  <c r="AR98" i="82"/>
  <c r="AY37" i="82"/>
  <c r="AY46" i="82"/>
  <c r="AY95" i="82"/>
  <c r="AY98" i="82"/>
  <c r="Q33" i="83"/>
  <c r="Q42" i="83"/>
  <c r="Q51" i="83"/>
  <c r="Q69" i="83"/>
  <c r="Q72" i="83"/>
  <c r="BT108" i="82"/>
  <c r="D86" i="36"/>
  <c r="E86" i="36" s="1"/>
  <c r="E88" i="36"/>
  <c r="X82" i="83"/>
  <c r="X83" i="83"/>
  <c r="Q85" i="83"/>
  <c r="Z2" i="83"/>
  <c r="E2" i="39"/>
  <c r="F168" i="81"/>
  <c r="A51" i="80"/>
  <c r="BV48" i="82"/>
  <c r="Z57" i="83"/>
  <c r="Z56" i="83"/>
  <c r="Z37" i="83"/>
  <c r="F30" i="36"/>
  <c r="E30" i="36" s="1"/>
  <c r="BT105" i="82"/>
  <c r="BV106" i="82"/>
  <c r="BV33" i="82"/>
  <c r="C46" i="99"/>
  <c r="BV42" i="82"/>
  <c r="BV41" i="82"/>
  <c r="BV96" i="82"/>
  <c r="BX96" i="82"/>
  <c r="BV97" i="82"/>
  <c r="BX97" i="82"/>
  <c r="BV108" i="82"/>
  <c r="BW108" i="82"/>
  <c r="H134" i="57" s="1"/>
  <c r="BX108" i="82"/>
  <c r="BV114" i="82"/>
  <c r="BW114" i="82"/>
  <c r="BX114" i="82"/>
  <c r="BZ114" i="82"/>
  <c r="BV39" i="82"/>
  <c r="BV44" i="82"/>
  <c r="BX44" i="82"/>
  <c r="BV45" i="82"/>
  <c r="BX45" i="82"/>
  <c r="BX50" i="82"/>
  <c r="BV31" i="82"/>
  <c r="BX31" i="82"/>
  <c r="BV34" i="82"/>
  <c r="BX34" i="82"/>
  <c r="Z42" i="83"/>
  <c r="Z31" i="83"/>
  <c r="F149" i="57"/>
  <c r="F150" i="57"/>
  <c r="F41" i="36"/>
  <c r="D150" i="57"/>
  <c r="BT114" i="82"/>
  <c r="BT106" i="82"/>
  <c r="BT96" i="82"/>
  <c r="BT97" i="82"/>
  <c r="BT102" i="82"/>
  <c r="BT44" i="82"/>
  <c r="BT45" i="82"/>
  <c r="BT48" i="82"/>
  <c r="BT50" i="82"/>
  <c r="BT33" i="82"/>
  <c r="BT21" i="82"/>
  <c r="BT31" i="82"/>
  <c r="BT12" i="82"/>
  <c r="C51" i="99"/>
  <c r="C43" i="99" s="1"/>
  <c r="C61" i="99" s="1"/>
  <c r="C40" i="99"/>
  <c r="C58" i="99" s="1"/>
  <c r="M51" i="36"/>
  <c r="M41" i="36"/>
  <c r="J51" i="36"/>
  <c r="BX106" i="82"/>
  <c r="AX98" i="82"/>
  <c r="AV98" i="82"/>
  <c r="BX48" i="82"/>
  <c r="BX42" i="82"/>
  <c r="BX41" i="82"/>
  <c r="BX40" i="82"/>
  <c r="M47" i="36"/>
  <c r="J47" i="36"/>
  <c r="K47" i="36" s="1"/>
  <c r="B48" i="99"/>
  <c r="B40" i="99" s="1"/>
  <c r="AB79" i="83"/>
  <c r="AB73" i="83"/>
  <c r="AB65" i="83"/>
  <c r="AB60" i="83"/>
  <c r="AB52" i="83"/>
  <c r="AB37" i="83"/>
  <c r="I10" i="80"/>
  <c r="A40" i="80"/>
  <c r="E40" i="80"/>
  <c r="G40" i="80"/>
  <c r="H40" i="80"/>
  <c r="I40" i="80"/>
  <c r="L40" i="80"/>
  <c r="M40" i="80"/>
  <c r="P40" i="80"/>
  <c r="A41" i="80"/>
  <c r="E41" i="80"/>
  <c r="G41" i="80"/>
  <c r="H41" i="80"/>
  <c r="I41" i="80"/>
  <c r="L41" i="80"/>
  <c r="M41" i="80"/>
  <c r="P41" i="80"/>
  <c r="L36" i="80"/>
  <c r="M36" i="80"/>
  <c r="L35" i="80"/>
  <c r="M35" i="80"/>
  <c r="L38" i="80"/>
  <c r="M38" i="80"/>
  <c r="E36" i="80"/>
  <c r="G36" i="80"/>
  <c r="H36" i="80"/>
  <c r="I36" i="80"/>
  <c r="E35" i="80"/>
  <c r="G35" i="80"/>
  <c r="H35" i="80"/>
  <c r="I35" i="80"/>
  <c r="E38" i="80"/>
  <c r="G38" i="80"/>
  <c r="H38" i="80"/>
  <c r="I38" i="80"/>
  <c r="K48" i="80"/>
  <c r="K40" i="80" s="1"/>
  <c r="F48" i="80"/>
  <c r="F40" i="80" s="1"/>
  <c r="C48" i="80"/>
  <c r="C40" i="80" s="1"/>
  <c r="D48" i="80"/>
  <c r="D40" i="80" s="1"/>
  <c r="B48" i="80"/>
  <c r="B40" i="80" s="1"/>
  <c r="P11" i="80"/>
  <c r="P10" i="80"/>
  <c r="P15" i="80"/>
  <c r="P16" i="80"/>
  <c r="K15" i="80"/>
  <c r="L15" i="80"/>
  <c r="M15" i="80"/>
  <c r="I15" i="80"/>
  <c r="G15" i="80"/>
  <c r="B15" i="80"/>
  <c r="C15" i="80"/>
  <c r="D15" i="80"/>
  <c r="E15" i="80"/>
  <c r="F15" i="80"/>
  <c r="H15" i="80"/>
  <c r="J31" i="80"/>
  <c r="A54" i="80"/>
  <c r="A53" i="80"/>
  <c r="A56" i="80"/>
  <c r="A58" i="80"/>
  <c r="A59" i="80"/>
  <c r="A48" i="80"/>
  <c r="A36" i="80"/>
  <c r="A35" i="80"/>
  <c r="A38" i="80"/>
  <c r="A33" i="80"/>
  <c r="A27" i="80"/>
  <c r="A26" i="80"/>
  <c r="A29" i="80"/>
  <c r="A31" i="80"/>
  <c r="A19" i="80"/>
  <c r="A18" i="80"/>
  <c r="A43" i="80" s="1"/>
  <c r="A21" i="80"/>
  <c r="A23" i="80"/>
  <c r="A24" i="80"/>
  <c r="A11" i="80"/>
  <c r="A10" i="80"/>
  <c r="A13" i="80"/>
  <c r="A15" i="80"/>
  <c r="A16" i="80"/>
  <c r="A50" i="80"/>
  <c r="A49" i="80"/>
  <c r="A46" i="80"/>
  <c r="A44" i="80"/>
  <c r="A32" i="80"/>
  <c r="D99" i="81"/>
  <c r="E99" i="81" s="1"/>
  <c r="E155" i="81"/>
  <c r="F155" i="81" s="1"/>
  <c r="F147" i="81"/>
  <c r="E139" i="81"/>
  <c r="F139" i="81" s="1"/>
  <c r="E123" i="81"/>
  <c r="F123" i="81" s="1"/>
  <c r="E115" i="81"/>
  <c r="F115" i="81" s="1"/>
  <c r="B79" i="81"/>
  <c r="B111" i="81" s="1"/>
  <c r="B119" i="81" s="1"/>
  <c r="B127" i="81" s="1"/>
  <c r="B135" i="81" s="1"/>
  <c r="B143" i="81" s="1"/>
  <c r="B151" i="81" s="1"/>
  <c r="B159" i="81" s="1"/>
  <c r="B167" i="81" s="1"/>
  <c r="B80" i="81"/>
  <c r="B112" i="81" s="1"/>
  <c r="B120" i="81" s="1"/>
  <c r="B128" i="81" s="1"/>
  <c r="B136" i="81" s="1"/>
  <c r="B144" i="81" s="1"/>
  <c r="B152" i="81" s="1"/>
  <c r="B160" i="81" s="1"/>
  <c r="B168" i="81" s="1"/>
  <c r="B81" i="81"/>
  <c r="B88" i="81" s="1"/>
  <c r="B104" i="81" s="1"/>
  <c r="B83" i="81"/>
  <c r="B115" i="81" s="1"/>
  <c r="B123" i="81" s="1"/>
  <c r="B131" i="81" s="1"/>
  <c r="B139" i="81" s="1"/>
  <c r="B147" i="81" s="1"/>
  <c r="B155" i="81" s="1"/>
  <c r="B163" i="81" s="1"/>
  <c r="B171" i="81" s="1"/>
  <c r="B84" i="81"/>
  <c r="B91" i="81" s="1"/>
  <c r="B107" i="81" s="1"/>
  <c r="B78" i="81"/>
  <c r="B94" i="81" s="1"/>
  <c r="D33" i="81"/>
  <c r="E33" i="81" s="1"/>
  <c r="B20" i="81"/>
  <c r="B29" i="81" s="1"/>
  <c r="B38" i="81" s="1"/>
  <c r="B52" i="81" s="1"/>
  <c r="B61" i="81" s="1"/>
  <c r="B70" i="81" s="1"/>
  <c r="B21" i="81"/>
  <c r="B30" i="81" s="1"/>
  <c r="B39" i="81" s="1"/>
  <c r="B53" i="81" s="1"/>
  <c r="B62" i="81" s="1"/>
  <c r="B71" i="81" s="1"/>
  <c r="B22" i="81"/>
  <c r="B31" i="81" s="1"/>
  <c r="B40" i="81" s="1"/>
  <c r="B54" i="81" s="1"/>
  <c r="B63" i="81" s="1"/>
  <c r="B72" i="81" s="1"/>
  <c r="B24" i="81"/>
  <c r="B33" i="81" s="1"/>
  <c r="B42" i="81" s="1"/>
  <c r="B25" i="81"/>
  <c r="B34" i="81" s="1"/>
  <c r="B43" i="81" s="1"/>
  <c r="BW106" i="82"/>
  <c r="D38" i="81"/>
  <c r="Z87" i="83"/>
  <c r="AA87" i="83"/>
  <c r="AB87" i="83"/>
  <c r="Z83" i="83"/>
  <c r="F36" i="80" s="1"/>
  <c r="AB83" i="83"/>
  <c r="F38" i="80" s="1"/>
  <c r="AB82" i="83"/>
  <c r="Z82" i="83"/>
  <c r="X71" i="83"/>
  <c r="Z71" i="83"/>
  <c r="AB71" i="83"/>
  <c r="X73" i="83"/>
  <c r="Z73" i="83"/>
  <c r="X74" i="83"/>
  <c r="Z74" i="83"/>
  <c r="AB74" i="83"/>
  <c r="X75" i="83"/>
  <c r="Z75" i="83"/>
  <c r="AB75" i="83"/>
  <c r="X76" i="83"/>
  <c r="Z76" i="83"/>
  <c r="AB76" i="83"/>
  <c r="X77" i="83"/>
  <c r="Z77" i="83"/>
  <c r="AB77" i="83"/>
  <c r="X78" i="83"/>
  <c r="Z78" i="83"/>
  <c r="AB78" i="83"/>
  <c r="X79" i="83"/>
  <c r="Z79" i="83"/>
  <c r="X80" i="83"/>
  <c r="Z70" i="83"/>
  <c r="X70" i="83"/>
  <c r="X58" i="83"/>
  <c r="Z58" i="83"/>
  <c r="AB58" i="83"/>
  <c r="X59" i="83"/>
  <c r="Z59" i="83"/>
  <c r="AB59" i="83"/>
  <c r="AB61" i="83"/>
  <c r="AB62" i="83"/>
  <c r="AB63" i="83"/>
  <c r="X65" i="83"/>
  <c r="X67" i="83"/>
  <c r="Z67" i="83"/>
  <c r="AB67" i="83"/>
  <c r="X68" i="83"/>
  <c r="Z68" i="83"/>
  <c r="AB68" i="83"/>
  <c r="X49" i="83"/>
  <c r="Z49" i="83"/>
  <c r="AB49" i="83"/>
  <c r="X50" i="83"/>
  <c r="Z50" i="83"/>
  <c r="AB50" i="83"/>
  <c r="X52" i="83"/>
  <c r="Z52" i="83"/>
  <c r="X53" i="83"/>
  <c r="Z53" i="83"/>
  <c r="AB53" i="83"/>
  <c r="Z54" i="83"/>
  <c r="AB54" i="83"/>
  <c r="Z55" i="83"/>
  <c r="AB55" i="83"/>
  <c r="X56" i="83"/>
  <c r="AB56" i="83"/>
  <c r="X57" i="83"/>
  <c r="AB57" i="83"/>
  <c r="X43" i="83"/>
  <c r="Z43" i="83"/>
  <c r="AB43" i="83"/>
  <c r="X35" i="83"/>
  <c r="Z35" i="83"/>
  <c r="AB35" i="83"/>
  <c r="X36" i="83"/>
  <c r="Z36" i="83"/>
  <c r="AB36" i="83"/>
  <c r="X37" i="83"/>
  <c r="AB38" i="83"/>
  <c r="X39" i="83"/>
  <c r="Z39" i="83"/>
  <c r="AB39" i="83"/>
  <c r="AB34" i="83"/>
  <c r="Z34" i="83"/>
  <c r="X34" i="83"/>
  <c r="AB31" i="83"/>
  <c r="U85" i="83"/>
  <c r="S85" i="83"/>
  <c r="S88" i="83" s="1"/>
  <c r="U9" i="83"/>
  <c r="Z80" i="83"/>
  <c r="Z65" i="83"/>
  <c r="BT34" i="82"/>
  <c r="BV10" i="82"/>
  <c r="BW10" i="82"/>
  <c r="BX10" i="82"/>
  <c r="BZ10" i="82"/>
  <c r="BT10" i="82"/>
  <c r="BO10" i="82"/>
  <c r="BP10" i="82"/>
  <c r="BQ10" i="82"/>
  <c r="BS10" i="82"/>
  <c r="BM10" i="82"/>
  <c r="BA95" i="82"/>
  <c r="BB95" i="82"/>
  <c r="BC95" i="82"/>
  <c r="BA98" i="82"/>
  <c r="BB98" i="82"/>
  <c r="BC98" i="82"/>
  <c r="BA49" i="82"/>
  <c r="BA46" i="82"/>
  <c r="BB46" i="82"/>
  <c r="BC46" i="82"/>
  <c r="BA36" i="82"/>
  <c r="BB36" i="82"/>
  <c r="BC36" i="82"/>
  <c r="BA37" i="82"/>
  <c r="BB37" i="82"/>
  <c r="BC37" i="82"/>
  <c r="BA11" i="82"/>
  <c r="BB11" i="82"/>
  <c r="BC11" i="82"/>
  <c r="BE11" i="82"/>
  <c r="BA20" i="82"/>
  <c r="BB20" i="82"/>
  <c r="BC20" i="82"/>
  <c r="BE20" i="82"/>
  <c r="BA10" i="82"/>
  <c r="BB10" i="82"/>
  <c r="BC10" i="82"/>
  <c r="BE10" i="82"/>
  <c r="AY10" i="82"/>
  <c r="AU98" i="82"/>
  <c r="AU95" i="82"/>
  <c r="AU46" i="82"/>
  <c r="AU49" i="82"/>
  <c r="AU36" i="82"/>
  <c r="AU37" i="82"/>
  <c r="AU11" i="82"/>
  <c r="AU20" i="82"/>
  <c r="AT10" i="82"/>
  <c r="AU10" i="82"/>
  <c r="AV10" i="82"/>
  <c r="AX10" i="82"/>
  <c r="AR10" i="82"/>
  <c r="AV11" i="82"/>
  <c r="AV20" i="82"/>
  <c r="AV36" i="82"/>
  <c r="AV37" i="82"/>
  <c r="AV46" i="82"/>
  <c r="AV49" i="82"/>
  <c r="AV95" i="82"/>
  <c r="AM10" i="82"/>
  <c r="BH10" i="82" s="1"/>
  <c r="AN10" i="82"/>
  <c r="BI10" i="82" s="1"/>
  <c r="AO10" i="82"/>
  <c r="BJ10" i="82" s="1"/>
  <c r="AQ10" i="82"/>
  <c r="BL10" i="82" s="1"/>
  <c r="AK10" i="82"/>
  <c r="BF10" i="82" s="1"/>
  <c r="AH10" i="82"/>
  <c r="AJ10" i="82"/>
  <c r="AD10" i="82"/>
  <c r="T10" i="82"/>
  <c r="V10" i="82"/>
  <c r="P10" i="82"/>
  <c r="BT101" i="82"/>
  <c r="BT42" i="82"/>
  <c r="M10" i="82"/>
  <c r="O10" i="82"/>
  <c r="AC10" i="82" s="1"/>
  <c r="J10" i="82"/>
  <c r="L8" i="39"/>
  <c r="E8" i="39"/>
  <c r="G8" i="39"/>
  <c r="M7" i="58"/>
  <c r="F7" i="58"/>
  <c r="H7" i="58"/>
  <c r="J7" i="58"/>
  <c r="M7" i="57"/>
  <c r="F7" i="57"/>
  <c r="H7" i="57"/>
  <c r="J7" i="57"/>
  <c r="E42" i="81"/>
  <c r="F42" i="81" s="1"/>
  <c r="BE36" i="82"/>
  <c r="BE37" i="82"/>
  <c r="BE46" i="82"/>
  <c r="BE95" i="82"/>
  <c r="BE98" i="82"/>
  <c r="AT36" i="82"/>
  <c r="AX36" i="82"/>
  <c r="BZ36" i="82" s="1"/>
  <c r="L128" i="57" s="1"/>
  <c r="L70" i="36" s="1"/>
  <c r="AT37" i="82"/>
  <c r="AX37" i="82"/>
  <c r="AT46" i="82"/>
  <c r="AX46" i="82"/>
  <c r="AT49" i="82"/>
  <c r="AX49" i="82"/>
  <c r="AT95" i="82"/>
  <c r="AX95" i="82"/>
  <c r="AT98" i="82"/>
  <c r="W85" i="83"/>
  <c r="Q29" i="83"/>
  <c r="D37" i="81"/>
  <c r="D8" i="97"/>
  <c r="E8" i="97"/>
  <c r="F8" i="97"/>
  <c r="D56" i="97"/>
  <c r="E56" i="97"/>
  <c r="F56" i="97"/>
  <c r="C59" i="97"/>
  <c r="D59" i="97"/>
  <c r="E59" i="97"/>
  <c r="F59" i="97"/>
  <c r="D60" i="97"/>
  <c r="E60" i="97"/>
  <c r="F60" i="97"/>
  <c r="W9" i="83"/>
  <c r="J9" i="83"/>
  <c r="Q9" i="83" s="1"/>
  <c r="X9" i="83"/>
  <c r="Q32" i="83"/>
  <c r="X87" i="83"/>
  <c r="R11" i="82"/>
  <c r="R32" i="82" s="1"/>
  <c r="R111" i="82" s="1"/>
  <c r="R113" i="82" s="1"/>
  <c r="S11" i="82"/>
  <c r="S32" i="82" s="1"/>
  <c r="S111" i="82" s="1"/>
  <c r="S113" i="82" s="1"/>
  <c r="AT11" i="82"/>
  <c r="AX11" i="82"/>
  <c r="AT20" i="82"/>
  <c r="AX20" i="82"/>
  <c r="BZ20" i="82" s="1"/>
  <c r="B19" i="81"/>
  <c r="B28" i="81" s="1"/>
  <c r="B37" i="81" s="1"/>
  <c r="B51" i="81" s="1"/>
  <c r="B60" i="81" s="1"/>
  <c r="B69" i="81" s="1"/>
  <c r="E20" i="81"/>
  <c r="E21" i="81"/>
  <c r="E22" i="81"/>
  <c r="E24" i="81"/>
  <c r="F24" i="81" s="1"/>
  <c r="E25" i="81"/>
  <c r="B101" i="81"/>
  <c r="B110" i="81"/>
  <c r="B118" i="81" s="1"/>
  <c r="B126" i="81" s="1"/>
  <c r="B134" i="81" s="1"/>
  <c r="B142" i="81" s="1"/>
  <c r="B150" i="81" s="1"/>
  <c r="B158" i="81" s="1"/>
  <c r="B166" i="81" s="1"/>
  <c r="N23" i="80"/>
  <c r="C8" i="39"/>
  <c r="D7" i="58"/>
  <c r="D7" i="57"/>
  <c r="B113" i="57"/>
  <c r="B39" i="58" s="1"/>
  <c r="B114" i="57"/>
  <c r="J58" i="36"/>
  <c r="K58" i="36" s="1"/>
  <c r="M58" i="36"/>
  <c r="J59" i="36"/>
  <c r="K59" i="36" s="1"/>
  <c r="M59" i="36"/>
  <c r="J25" i="99" s="1"/>
  <c r="F60" i="36"/>
  <c r="E60" i="36" s="1"/>
  <c r="H60" i="36"/>
  <c r="J60" i="36"/>
  <c r="M60" i="36"/>
  <c r="N31" i="80"/>
  <c r="F171" i="81"/>
  <c r="N24" i="80"/>
  <c r="E56" i="81"/>
  <c r="F56" i="81" s="1"/>
  <c r="E65" i="81"/>
  <c r="F65" i="81" s="1"/>
  <c r="E131" i="81"/>
  <c r="J23" i="80"/>
  <c r="C99" i="81"/>
  <c r="F163" i="81"/>
  <c r="AB80" i="83"/>
  <c r="Z69" i="83"/>
  <c r="AB69" i="83"/>
  <c r="AB70" i="83"/>
  <c r="Z30" i="83"/>
  <c r="BB49" i="82"/>
  <c r="F59" i="36"/>
  <c r="Z33" i="83"/>
  <c r="Z72" i="83"/>
  <c r="BC49" i="82"/>
  <c r="I24" i="80"/>
  <c r="I16" i="80" s="1"/>
  <c r="M23" i="36"/>
  <c r="F23" i="36"/>
  <c r="P11" i="53" s="1"/>
  <c r="Q11" i="53" s="1"/>
  <c r="I19" i="80"/>
  <c r="I11" i="80" s="1"/>
  <c r="AB51" i="83"/>
  <c r="F47" i="36"/>
  <c r="E47" i="36" s="1"/>
  <c r="I21" i="80"/>
  <c r="I13" i="80" s="1"/>
  <c r="W84" i="83"/>
  <c r="F58" i="36"/>
  <c r="E58" i="36" s="1"/>
  <c r="S84" i="83"/>
  <c r="BT99" i="82"/>
  <c r="AB72" i="83"/>
  <c r="M30" i="36"/>
  <c r="Z51" i="83"/>
  <c r="M64" i="36"/>
  <c r="M62" i="36" s="1"/>
  <c r="C74" i="81" s="1"/>
  <c r="C33" i="81" s="1"/>
  <c r="BV35" i="82"/>
  <c r="BE49" i="82"/>
  <c r="F51" i="36"/>
  <c r="F64" i="36"/>
  <c r="K107" i="82"/>
  <c r="BV47" i="82"/>
  <c r="BX43" i="82"/>
  <c r="M19" i="80"/>
  <c r="BX38" i="82"/>
  <c r="BV40" i="82"/>
  <c r="AA33" i="83"/>
  <c r="AB33" i="83"/>
  <c r="J30" i="36"/>
  <c r="K30" i="36" s="1"/>
  <c r="BX33" i="82"/>
  <c r="B37" i="106" l="1"/>
  <c r="D45" i="106"/>
  <c r="C12" i="102"/>
  <c r="C11" i="102"/>
  <c r="B57" i="81"/>
  <c r="B66" i="81" s="1"/>
  <c r="B75" i="81" s="1"/>
  <c r="B48" i="81"/>
  <c r="F134" i="57"/>
  <c r="J20" i="99"/>
  <c r="J12" i="99" s="1"/>
  <c r="J56" i="99" s="1"/>
  <c r="F62" i="36"/>
  <c r="F72" i="58"/>
  <c r="E72" i="58" s="1"/>
  <c r="BZ49" i="82"/>
  <c r="BZ95" i="82"/>
  <c r="BZ37" i="82"/>
  <c r="W88" i="83"/>
  <c r="AD85" i="83"/>
  <c r="AD88" i="83" s="1"/>
  <c r="AD104" i="83" s="1"/>
  <c r="J134" i="57"/>
  <c r="K134" i="57" s="1"/>
  <c r="H62" i="36"/>
  <c r="C73" i="81"/>
  <c r="P59" i="80"/>
  <c r="P58" i="80"/>
  <c r="B56" i="81"/>
  <c r="B65" i="81" s="1"/>
  <c r="B74" i="81" s="1"/>
  <c r="BZ98" i="82"/>
  <c r="BZ11" i="82"/>
  <c r="BZ46" i="82"/>
  <c r="I51" i="36"/>
  <c r="K51" i="36"/>
  <c r="I60" i="36"/>
  <c r="K60" i="36"/>
  <c r="I47" i="36"/>
  <c r="J22" i="99"/>
  <c r="L22" i="99" s="1"/>
  <c r="L14" i="99" s="1"/>
  <c r="L58" i="99" s="1"/>
  <c r="I59" i="36"/>
  <c r="M134" i="57"/>
  <c r="M72" i="36" s="1"/>
  <c r="K111" i="82"/>
  <c r="BU107" i="82"/>
  <c r="D132" i="57" s="1"/>
  <c r="D131" i="57" s="1"/>
  <c r="D124" i="57" s="1"/>
  <c r="H72" i="36"/>
  <c r="I72" i="58"/>
  <c r="G51" i="36"/>
  <c r="J21" i="99"/>
  <c r="J13" i="99" s="1"/>
  <c r="J57" i="99" s="1"/>
  <c r="G59" i="36"/>
  <c r="G47" i="36"/>
  <c r="G60" i="36"/>
  <c r="J17" i="99"/>
  <c r="J61" i="99" s="1"/>
  <c r="L25" i="99"/>
  <c r="L17" i="99" s="1"/>
  <c r="L61" i="99" s="1"/>
  <c r="F51" i="99"/>
  <c r="F43" i="99" s="1"/>
  <c r="F25" i="99"/>
  <c r="F17" i="99" s="1"/>
  <c r="F21" i="99"/>
  <c r="F13" i="99" s="1"/>
  <c r="F47" i="99"/>
  <c r="F39" i="99" s="1"/>
  <c r="E40" i="81"/>
  <c r="F22" i="99"/>
  <c r="F14" i="99" s="1"/>
  <c r="F48" i="99"/>
  <c r="F40" i="99" s="1"/>
  <c r="E37" i="81"/>
  <c r="F45" i="99"/>
  <c r="C38" i="99"/>
  <c r="C56" i="99" s="1"/>
  <c r="E38" i="81"/>
  <c r="F46" i="99"/>
  <c r="F38" i="99" s="1"/>
  <c r="F20" i="99"/>
  <c r="F12" i="99" s="1"/>
  <c r="M77" i="36"/>
  <c r="M76" i="36" s="1"/>
  <c r="F66" i="97"/>
  <c r="F65" i="97" s="1"/>
  <c r="F64" i="97" s="1"/>
  <c r="F87" i="97" s="1"/>
  <c r="AD49" i="82"/>
  <c r="AD107" i="82" s="1"/>
  <c r="O23" i="80"/>
  <c r="J27" i="80"/>
  <c r="O27" i="80" s="1"/>
  <c r="C143" i="81"/>
  <c r="D51" i="36"/>
  <c r="E51" i="36" s="1"/>
  <c r="F169" i="81"/>
  <c r="D84" i="36"/>
  <c r="B45" i="99"/>
  <c r="E150" i="81"/>
  <c r="BB32" i="82"/>
  <c r="E156" i="81"/>
  <c r="N48" i="80"/>
  <c r="B97" i="81"/>
  <c r="B113" i="81"/>
  <c r="B121" i="81" s="1"/>
  <c r="B129" i="81" s="1"/>
  <c r="B137" i="81" s="1"/>
  <c r="B145" i="81" s="1"/>
  <c r="B153" i="81" s="1"/>
  <c r="B161" i="81" s="1"/>
  <c r="B169" i="81" s="1"/>
  <c r="O31" i="80"/>
  <c r="BW20" i="82"/>
  <c r="B96" i="81"/>
  <c r="B86" i="81"/>
  <c r="B102" i="81" s="1"/>
  <c r="BV20" i="82"/>
  <c r="BX20" i="82"/>
  <c r="F55" i="97"/>
  <c r="F54" i="97" s="1"/>
  <c r="F63" i="97" s="1"/>
  <c r="L58" i="80"/>
  <c r="E58" i="80"/>
  <c r="P53" i="80"/>
  <c r="BW46" i="82"/>
  <c r="Y100" i="83"/>
  <c r="Y101" i="83" s="1"/>
  <c r="Y102" i="83" s="1"/>
  <c r="X69" i="83"/>
  <c r="I54" i="80"/>
  <c r="D62" i="36"/>
  <c r="I58" i="80"/>
  <c r="J15" i="80"/>
  <c r="P54" i="80"/>
  <c r="I56" i="80"/>
  <c r="I59" i="80"/>
  <c r="F90" i="81"/>
  <c r="F106" i="81" s="1"/>
  <c r="B90" i="81"/>
  <c r="B106" i="81" s="1"/>
  <c r="B116" i="81"/>
  <c r="B124" i="81" s="1"/>
  <c r="B132" i="81" s="1"/>
  <c r="B140" i="81" s="1"/>
  <c r="B148" i="81" s="1"/>
  <c r="B156" i="81" s="1"/>
  <c r="B164" i="81" s="1"/>
  <c r="B172" i="81" s="1"/>
  <c r="D58" i="80"/>
  <c r="B99" i="81"/>
  <c r="BW95" i="82"/>
  <c r="BW37" i="82"/>
  <c r="X51" i="83"/>
  <c r="AB85" i="83"/>
  <c r="BW100" i="82"/>
  <c r="BW98" i="82"/>
  <c r="E39" i="81"/>
  <c r="E57" i="81"/>
  <c r="E153" i="81"/>
  <c r="BV50" i="82"/>
  <c r="BX95" i="82"/>
  <c r="M11" i="80"/>
  <c r="M54" i="80" s="1"/>
  <c r="BA32" i="82"/>
  <c r="BB107" i="82"/>
  <c r="F167" i="81"/>
  <c r="D112" i="58"/>
  <c r="M58" i="80"/>
  <c r="G58" i="80"/>
  <c r="N40" i="80"/>
  <c r="P56" i="80"/>
  <c r="C58" i="80"/>
  <c r="F58" i="80"/>
  <c r="B58" i="80"/>
  <c r="H58" i="80"/>
  <c r="N15" i="80"/>
  <c r="K58" i="80"/>
  <c r="B95" i="81"/>
  <c r="B87" i="81"/>
  <c r="B103" i="81" s="1"/>
  <c r="J48" i="80"/>
  <c r="B100" i="81"/>
  <c r="F99" i="81"/>
  <c r="X33" i="83"/>
  <c r="E54" i="81"/>
  <c r="E52" i="81"/>
  <c r="E151" i="81"/>
  <c r="X42" i="83"/>
  <c r="X85" i="83"/>
  <c r="E43" i="81"/>
  <c r="AU32" i="82"/>
  <c r="AV32" i="82"/>
  <c r="BT95" i="82"/>
  <c r="C144" i="81"/>
  <c r="E20" i="105" s="1"/>
  <c r="C145" i="81"/>
  <c r="BC107" i="82"/>
  <c r="AR32" i="82"/>
  <c r="P32" i="82"/>
  <c r="AV107" i="82"/>
  <c r="BT98" i="82"/>
  <c r="AU107" i="82"/>
  <c r="C74" i="97"/>
  <c r="D23" i="36"/>
  <c r="E23" i="36" s="1"/>
  <c r="F57" i="36"/>
  <c r="C29" i="97"/>
  <c r="C46" i="97"/>
  <c r="Z32" i="83"/>
  <c r="M130" i="57"/>
  <c r="M127" i="57"/>
  <c r="F35" i="80"/>
  <c r="E152" i="81"/>
  <c r="B51" i="99"/>
  <c r="E13" i="81"/>
  <c r="M16" i="80"/>
  <c r="M59" i="80" s="1"/>
  <c r="E11" i="81"/>
  <c r="F131" i="81"/>
  <c r="Z29" i="83"/>
  <c r="Z85" i="83"/>
  <c r="BC32" i="82"/>
  <c r="AX32" i="82"/>
  <c r="E55" i="97"/>
  <c r="E54" i="97" s="1"/>
  <c r="E63" i="97" s="1"/>
  <c r="AT32" i="82"/>
  <c r="D55" i="97"/>
  <c r="D54" i="97" s="1"/>
  <c r="D63" i="97" s="1"/>
  <c r="H19" i="80"/>
  <c r="H11" i="80" s="1"/>
  <c r="H54" i="80" s="1"/>
  <c r="AT107" i="82"/>
  <c r="BE107" i="82"/>
  <c r="I53" i="80"/>
  <c r="M107" i="82"/>
  <c r="M111" i="82" s="1"/>
  <c r="M113" i="82" s="1"/>
  <c r="J32" i="80"/>
  <c r="AX107" i="82"/>
  <c r="AB64" i="83"/>
  <c r="J29" i="80"/>
  <c r="BA107" i="82"/>
  <c r="C88" i="83"/>
  <c r="D59" i="36"/>
  <c r="C22" i="102" s="1"/>
  <c r="BT46" i="82"/>
  <c r="M57" i="36"/>
  <c r="C43" i="81" s="1"/>
  <c r="G45" i="58"/>
  <c r="F17" i="36"/>
  <c r="C137" i="81"/>
  <c r="M13" i="80"/>
  <c r="M56" i="80" s="1"/>
  <c r="J64" i="36"/>
  <c r="J62" i="36" s="1"/>
  <c r="K62" i="36" s="1"/>
  <c r="F33" i="81"/>
  <c r="F74" i="81"/>
  <c r="F172" i="81"/>
  <c r="L19" i="80"/>
  <c r="L16" i="80"/>
  <c r="L59" i="80" s="1"/>
  <c r="C25" i="81"/>
  <c r="F25" i="81" s="1"/>
  <c r="J41" i="36"/>
  <c r="K41" i="36" s="1"/>
  <c r="D41" i="36"/>
  <c r="E41" i="36" s="1"/>
  <c r="H41" i="36"/>
  <c r="C62" i="97"/>
  <c r="C60" i="97" s="1"/>
  <c r="J57" i="36"/>
  <c r="K57" i="36" s="1"/>
  <c r="H24" i="80"/>
  <c r="H16" i="80" s="1"/>
  <c r="H59" i="80" s="1"/>
  <c r="BT11" i="82"/>
  <c r="BX39" i="82"/>
  <c r="BX37" i="82"/>
  <c r="L107" i="82"/>
  <c r="J107" i="82"/>
  <c r="BV36" i="82"/>
  <c r="F129" i="57" s="1"/>
  <c r="E129" i="57" s="1"/>
  <c r="BX47" i="82"/>
  <c r="BV11" i="82"/>
  <c r="BV37" i="82"/>
  <c r="BV43" i="82"/>
  <c r="AR107" i="82"/>
  <c r="BV95" i="82"/>
  <c r="BX35" i="82"/>
  <c r="BX36" i="82"/>
  <c r="M129" i="57"/>
  <c r="BT47" i="82"/>
  <c r="BE32" i="82"/>
  <c r="O107" i="82"/>
  <c r="BV46" i="82"/>
  <c r="AY49" i="82"/>
  <c r="AY107" i="82" s="1"/>
  <c r="J32" i="82"/>
  <c r="P107" i="82"/>
  <c r="AY32" i="82"/>
  <c r="C148" i="81"/>
  <c r="X72" i="83"/>
  <c r="X32" i="83"/>
  <c r="C130" i="57" s="1"/>
  <c r="C42" i="105" s="1"/>
  <c r="C34" i="105" s="1"/>
  <c r="F10" i="36"/>
  <c r="I45" i="58"/>
  <c r="J26" i="80"/>
  <c r="J23" i="36"/>
  <c r="K23" i="36" s="1"/>
  <c r="BV112" i="82"/>
  <c r="K19" i="80"/>
  <c r="K11" i="80" s="1"/>
  <c r="AB42" i="83"/>
  <c r="M9" i="36"/>
  <c r="Z81" i="83"/>
  <c r="F133" i="57" s="1"/>
  <c r="E133" i="57" s="1"/>
  <c r="H58" i="36"/>
  <c r="I58" i="36" s="1"/>
  <c r="D82" i="36"/>
  <c r="E82" i="36" s="1"/>
  <c r="AB30" i="83"/>
  <c r="AB32" i="83" s="1"/>
  <c r="BT36" i="82"/>
  <c r="E53" i="81"/>
  <c r="X29" i="83"/>
  <c r="C127" i="57" s="1"/>
  <c r="B42" i="105" s="1"/>
  <c r="AA32" i="83"/>
  <c r="H130" i="57" s="1"/>
  <c r="H30" i="36"/>
  <c r="G30" i="36" s="1"/>
  <c r="H23" i="36"/>
  <c r="G23" i="36" s="1"/>
  <c r="Q81" i="83"/>
  <c r="X81" i="83" s="1"/>
  <c r="C57" i="97"/>
  <c r="AA85" i="83"/>
  <c r="D136" i="81" s="1"/>
  <c r="K45" i="80" s="1"/>
  <c r="F57" i="81" l="1"/>
  <c r="D37" i="106"/>
  <c r="E84" i="36"/>
  <c r="O18" i="105"/>
  <c r="O10" i="105" s="1"/>
  <c r="O53" i="105" s="1"/>
  <c r="C118" i="81"/>
  <c r="C129" i="57"/>
  <c r="C128" i="57" s="1"/>
  <c r="C70" i="36" s="1"/>
  <c r="I10" i="102" s="1"/>
  <c r="E21" i="80"/>
  <c r="E13" i="80" s="1"/>
  <c r="E56" i="80" s="1"/>
  <c r="E21" i="105"/>
  <c r="F143" i="81"/>
  <c r="E19" i="105"/>
  <c r="F148" i="81"/>
  <c r="E24" i="105"/>
  <c r="E12" i="105"/>
  <c r="M20" i="105"/>
  <c r="B34" i="105"/>
  <c r="G134" i="57"/>
  <c r="E134" i="57"/>
  <c r="E62" i="36"/>
  <c r="E59" i="36"/>
  <c r="C16" i="102"/>
  <c r="C17" i="102"/>
  <c r="C42" i="80"/>
  <c r="C34" i="80" s="1"/>
  <c r="C10" i="102"/>
  <c r="Q84" i="83"/>
  <c r="B42" i="80"/>
  <c r="F130" i="57"/>
  <c r="F127" i="57"/>
  <c r="E127" i="57" s="1"/>
  <c r="L20" i="99"/>
  <c r="L12" i="99" s="1"/>
  <c r="L56" i="99" s="1"/>
  <c r="F72" i="36"/>
  <c r="H18" i="80"/>
  <c r="H10" i="80" s="1"/>
  <c r="H53" i="80" s="1"/>
  <c r="F70" i="81"/>
  <c r="C75" i="81"/>
  <c r="F75" i="81" s="1"/>
  <c r="G62" i="36"/>
  <c r="G10" i="36"/>
  <c r="F71" i="58"/>
  <c r="E71" i="58" s="1"/>
  <c r="BZ107" i="82"/>
  <c r="L131" i="57" s="1"/>
  <c r="L71" i="36" s="1"/>
  <c r="J72" i="36"/>
  <c r="K72" i="36" s="1"/>
  <c r="C71" i="81"/>
  <c r="F71" i="81" s="1"/>
  <c r="J130" i="57"/>
  <c r="K130" i="57" s="1"/>
  <c r="I134" i="57"/>
  <c r="J129" i="57"/>
  <c r="F73" i="81"/>
  <c r="C32" i="81"/>
  <c r="BZ32" i="82"/>
  <c r="L125" i="57" s="1"/>
  <c r="J14" i="99"/>
  <c r="J58" i="99" s="1"/>
  <c r="F54" i="81"/>
  <c r="M128" i="57"/>
  <c r="I41" i="36"/>
  <c r="I23" i="36"/>
  <c r="I62" i="36"/>
  <c r="I30" i="36"/>
  <c r="K113" i="82"/>
  <c r="BU113" i="82" s="1"/>
  <c r="BU111" i="82"/>
  <c r="F57" i="99"/>
  <c r="I71" i="58"/>
  <c r="G72" i="58"/>
  <c r="F61" i="99"/>
  <c r="L21" i="99"/>
  <c r="L13" i="99" s="1"/>
  <c r="L57" i="99" s="1"/>
  <c r="C20" i="81"/>
  <c r="F20" i="81" s="1"/>
  <c r="G17" i="36"/>
  <c r="C21" i="81"/>
  <c r="F21" i="81" s="1"/>
  <c r="G41" i="36"/>
  <c r="F58" i="99"/>
  <c r="H57" i="36"/>
  <c r="I57" i="36" s="1"/>
  <c r="G58" i="36"/>
  <c r="F56" i="99"/>
  <c r="B43" i="99"/>
  <c r="F19" i="99"/>
  <c r="F11" i="99" s="1"/>
  <c r="F37" i="99"/>
  <c r="E51" i="81"/>
  <c r="F51" i="81" s="1"/>
  <c r="C45" i="99"/>
  <c r="C37" i="99" s="1"/>
  <c r="C55" i="99" s="1"/>
  <c r="B37" i="99"/>
  <c r="F52" i="81"/>
  <c r="C124" i="81"/>
  <c r="H15" i="102"/>
  <c r="C70" i="97"/>
  <c r="H12" i="102"/>
  <c r="BW107" i="82"/>
  <c r="E66" i="97"/>
  <c r="E65" i="97" s="1"/>
  <c r="E64" i="97" s="1"/>
  <c r="E87" i="97" s="1"/>
  <c r="BB111" i="82"/>
  <c r="BB113" i="82" s="1"/>
  <c r="E19" i="80"/>
  <c r="E11" i="80" s="1"/>
  <c r="E54" i="80" s="1"/>
  <c r="C38" i="81"/>
  <c r="F38" i="81" s="1"/>
  <c r="D66" i="97"/>
  <c r="D65" i="97" s="1"/>
  <c r="D64" i="97" s="1"/>
  <c r="D87" i="97" s="1"/>
  <c r="C73" i="97"/>
  <c r="C72" i="97" s="1"/>
  <c r="D72" i="36"/>
  <c r="D17" i="36"/>
  <c r="N31" i="52"/>
  <c r="F41" i="80"/>
  <c r="C43" i="80"/>
  <c r="D116" i="81"/>
  <c r="E116" i="81" s="1"/>
  <c r="D140" i="81"/>
  <c r="K49" i="80" s="1"/>
  <c r="N49" i="80" s="1"/>
  <c r="AV111" i="82"/>
  <c r="AV113" i="82" s="1"/>
  <c r="BV75" i="82"/>
  <c r="BX75" i="82"/>
  <c r="AD111" i="82"/>
  <c r="AD113" i="82" s="1"/>
  <c r="BT75" i="82"/>
  <c r="BW75" i="82"/>
  <c r="M18" i="80"/>
  <c r="M10" i="80" s="1"/>
  <c r="M53" i="80" s="1"/>
  <c r="L18" i="80"/>
  <c r="L10" i="80" s="1"/>
  <c r="L53" i="80" s="1"/>
  <c r="D57" i="36"/>
  <c r="E57" i="36" s="1"/>
  <c r="D113" i="58"/>
  <c r="P111" i="82"/>
  <c r="P113" i="82" s="1"/>
  <c r="F69" i="81"/>
  <c r="D78" i="36"/>
  <c r="E78" i="36" s="1"/>
  <c r="AY111" i="82"/>
  <c r="AY113" i="82" s="1"/>
  <c r="BA111" i="82"/>
  <c r="BA113" i="82" s="1"/>
  <c r="D137" i="81"/>
  <c r="K46" i="80" s="1"/>
  <c r="N45" i="80"/>
  <c r="K37" i="80"/>
  <c r="E10" i="80"/>
  <c r="E53" i="80" s="1"/>
  <c r="E20" i="80"/>
  <c r="E12" i="80" s="1"/>
  <c r="E55" i="80" s="1"/>
  <c r="BW32" i="82"/>
  <c r="H126" i="57" s="1"/>
  <c r="N58" i="80"/>
  <c r="E10" i="81"/>
  <c r="F145" i="81"/>
  <c r="L11" i="80"/>
  <c r="N11" i="80" s="1"/>
  <c r="D83" i="36"/>
  <c r="C22" i="97"/>
  <c r="O15" i="80"/>
  <c r="O48" i="80"/>
  <c r="J40" i="80"/>
  <c r="D124" i="81"/>
  <c r="C49" i="80" s="1"/>
  <c r="C41" i="80" s="1"/>
  <c r="D119" i="81"/>
  <c r="K43" i="80"/>
  <c r="D111" i="81"/>
  <c r="BT37" i="82"/>
  <c r="AR111" i="82"/>
  <c r="AR113" i="82" s="1"/>
  <c r="BC111" i="82"/>
  <c r="BC113" i="82" s="1"/>
  <c r="AU111" i="82"/>
  <c r="AU113" i="82" s="1"/>
  <c r="F144" i="81"/>
  <c r="W113" i="82"/>
  <c r="AK111" i="82"/>
  <c r="AK113" i="82" s="1"/>
  <c r="BE111" i="82"/>
  <c r="BE113" i="82" s="1"/>
  <c r="E24" i="80"/>
  <c r="E16" i="80" s="1"/>
  <c r="E59" i="80" s="1"/>
  <c r="F9" i="36"/>
  <c r="F43" i="81"/>
  <c r="AA29" i="83"/>
  <c r="H127" i="57" s="1"/>
  <c r="AT111" i="82"/>
  <c r="AT113" i="82" s="1"/>
  <c r="E16" i="81"/>
  <c r="C16" i="81" s="1"/>
  <c r="J9" i="36"/>
  <c r="K9" i="36" s="1"/>
  <c r="E12" i="81"/>
  <c r="C12" i="81" s="1"/>
  <c r="H21" i="80"/>
  <c r="H13" i="80" s="1"/>
  <c r="H56" i="80" s="1"/>
  <c r="F13" i="80"/>
  <c r="F56" i="80" s="1"/>
  <c r="F16" i="80"/>
  <c r="C140" i="81"/>
  <c r="BW112" i="82"/>
  <c r="C11" i="81"/>
  <c r="B20" i="106" s="1"/>
  <c r="C58" i="97"/>
  <c r="C56" i="97" s="1"/>
  <c r="C55" i="97" s="1"/>
  <c r="C54" i="97" s="1"/>
  <c r="AX111" i="82"/>
  <c r="AX113" i="82" s="1"/>
  <c r="D135" i="81"/>
  <c r="C40" i="97"/>
  <c r="K18" i="80"/>
  <c r="M56" i="36"/>
  <c r="M55" i="36" s="1"/>
  <c r="M65" i="36" s="1"/>
  <c r="C22" i="81"/>
  <c r="F22" i="81" s="1"/>
  <c r="L13" i="80"/>
  <c r="L56" i="80" s="1"/>
  <c r="BX112" i="82"/>
  <c r="K16" i="80"/>
  <c r="N16" i="80" s="1"/>
  <c r="N32" i="80"/>
  <c r="O32" i="80" s="1"/>
  <c r="N26" i="80"/>
  <c r="O26" i="80" s="1"/>
  <c r="C40" i="81"/>
  <c r="C31" i="81" s="1"/>
  <c r="J56" i="36"/>
  <c r="K56" i="36" s="1"/>
  <c r="H9" i="36"/>
  <c r="BX32" i="82"/>
  <c r="J111" i="82"/>
  <c r="J113" i="82" s="1"/>
  <c r="BX46" i="82"/>
  <c r="F142" i="81"/>
  <c r="O111" i="82"/>
  <c r="BW11" i="82"/>
  <c r="BT32" i="82"/>
  <c r="BT20" i="82"/>
  <c r="BX11" i="82"/>
  <c r="B43" i="80"/>
  <c r="E136" i="81"/>
  <c r="F136" i="81" s="1"/>
  <c r="K13" i="80"/>
  <c r="F53" i="81"/>
  <c r="M133" i="57"/>
  <c r="D127" i="81"/>
  <c r="D44" i="105" s="1"/>
  <c r="D36" i="105" s="1"/>
  <c r="N19" i="80"/>
  <c r="T84" i="83"/>
  <c r="T88" i="83"/>
  <c r="L111" i="82"/>
  <c r="L113" i="82" s="1"/>
  <c r="BW36" i="82"/>
  <c r="D121" i="81"/>
  <c r="BT112" i="82"/>
  <c r="C13" i="81"/>
  <c r="D120" i="81"/>
  <c r="C45" i="80" s="1"/>
  <c r="C37" i="80" s="1"/>
  <c r="D79" i="36"/>
  <c r="E79" i="36" s="1"/>
  <c r="AA81" i="83"/>
  <c r="H133" i="57" s="1"/>
  <c r="G133" i="57" s="1"/>
  <c r="D77" i="36"/>
  <c r="U84" i="83"/>
  <c r="U88" i="83"/>
  <c r="AB29" i="83"/>
  <c r="J88" i="83"/>
  <c r="Z84" i="83"/>
  <c r="BV32" i="82"/>
  <c r="F126" i="57" s="1"/>
  <c r="E126" i="57" s="1"/>
  <c r="AB81" i="83"/>
  <c r="Q88" i="83"/>
  <c r="C107" i="82"/>
  <c r="BT107" i="82" s="1"/>
  <c r="C132" i="57" s="1"/>
  <c r="E119" i="81" l="1"/>
  <c r="C44" i="105"/>
  <c r="C36" i="105" s="1"/>
  <c r="B21" i="99"/>
  <c r="G21" i="99" s="1"/>
  <c r="B21" i="106"/>
  <c r="B25" i="99"/>
  <c r="G25" i="99" s="1"/>
  <c r="B25" i="106"/>
  <c r="B22" i="99"/>
  <c r="B22" i="106"/>
  <c r="E11" i="105"/>
  <c r="M19" i="105"/>
  <c r="C24" i="80"/>
  <c r="C16" i="80" s="1"/>
  <c r="C59" i="80" s="1"/>
  <c r="C24" i="105"/>
  <c r="C16" i="105" s="1"/>
  <c r="C59" i="105" s="1"/>
  <c r="E13" i="105"/>
  <c r="M21" i="105"/>
  <c r="M12" i="105"/>
  <c r="E55" i="105"/>
  <c r="C110" i="81"/>
  <c r="C126" i="57"/>
  <c r="E16" i="105"/>
  <c r="M24" i="105"/>
  <c r="C17" i="80"/>
  <c r="C9" i="80" s="1"/>
  <c r="C52" i="80" s="1"/>
  <c r="C17" i="105"/>
  <c r="C9" i="105" s="1"/>
  <c r="C52" i="105" s="1"/>
  <c r="C18" i="80"/>
  <c r="C18" i="105"/>
  <c r="C10" i="105" s="1"/>
  <c r="C53" i="105" s="1"/>
  <c r="D17" i="80"/>
  <c r="D17" i="105"/>
  <c r="D20" i="106"/>
  <c r="B12" i="106"/>
  <c r="B56" i="106" s="1"/>
  <c r="B44" i="80"/>
  <c r="B44" i="105"/>
  <c r="G130" i="57"/>
  <c r="E130" i="57"/>
  <c r="E17" i="36"/>
  <c r="E83" i="36"/>
  <c r="G72" i="36"/>
  <c r="E72" i="36"/>
  <c r="E56" i="36"/>
  <c r="F128" i="57"/>
  <c r="X84" i="83"/>
  <c r="C133" i="57"/>
  <c r="D42" i="105" s="1"/>
  <c r="B34" i="80"/>
  <c r="C34" i="81"/>
  <c r="C84" i="81" s="1"/>
  <c r="I72" i="36"/>
  <c r="F125" i="57"/>
  <c r="E125" i="57" s="1"/>
  <c r="F166" i="81"/>
  <c r="F55" i="36"/>
  <c r="F47" i="58"/>
  <c r="E47" i="58" s="1"/>
  <c r="J128" i="57"/>
  <c r="J70" i="36" s="1"/>
  <c r="K70" i="36" s="1"/>
  <c r="I130" i="57"/>
  <c r="C39" i="81"/>
  <c r="C30" i="81" s="1"/>
  <c r="J133" i="57"/>
  <c r="K133" i="57" s="1"/>
  <c r="J127" i="57"/>
  <c r="K127" i="57" s="1"/>
  <c r="M126" i="57"/>
  <c r="M125" i="57" s="1"/>
  <c r="M69" i="36" s="1"/>
  <c r="J126" i="57"/>
  <c r="I126" i="57" s="1"/>
  <c r="K129" i="57"/>
  <c r="C82" i="81"/>
  <c r="F82" i="81" s="1"/>
  <c r="F32" i="81"/>
  <c r="O113" i="82"/>
  <c r="BZ113" i="82" s="1"/>
  <c r="BZ111" i="82"/>
  <c r="L69" i="36"/>
  <c r="L68" i="36" s="1"/>
  <c r="L67" i="36" s="1"/>
  <c r="L66" i="36" s="1"/>
  <c r="L91" i="36" s="1"/>
  <c r="L124" i="57"/>
  <c r="L147" i="57" s="1"/>
  <c r="J77" i="36"/>
  <c r="G127" i="57"/>
  <c r="I9" i="36"/>
  <c r="J55" i="36"/>
  <c r="K55" i="36" s="1"/>
  <c r="G126" i="57"/>
  <c r="G71" i="58"/>
  <c r="I47" i="58"/>
  <c r="H56" i="36"/>
  <c r="I56" i="36" s="1"/>
  <c r="G57" i="36"/>
  <c r="G9" i="36"/>
  <c r="F55" i="99"/>
  <c r="F11" i="81"/>
  <c r="B20" i="99"/>
  <c r="C39" i="99"/>
  <c r="C57" i="99" s="1"/>
  <c r="B14" i="99"/>
  <c r="B58" i="99" s="1"/>
  <c r="G22" i="99"/>
  <c r="B13" i="99"/>
  <c r="B57" i="99" s="1"/>
  <c r="M70" i="36"/>
  <c r="C121" i="81"/>
  <c r="H129" i="57"/>
  <c r="I129" i="57" s="1"/>
  <c r="H125" i="57"/>
  <c r="H132" i="57"/>
  <c r="C68" i="97"/>
  <c r="H10" i="102"/>
  <c r="C16" i="97"/>
  <c r="C15" i="102"/>
  <c r="C29" i="81"/>
  <c r="C79" i="81" s="1"/>
  <c r="E118" i="81"/>
  <c r="F118" i="81" s="1"/>
  <c r="E140" i="81"/>
  <c r="F140" i="81" s="1"/>
  <c r="K41" i="80"/>
  <c r="N41" i="80" s="1"/>
  <c r="B49" i="80"/>
  <c r="B41" i="80" s="1"/>
  <c r="C119" i="81"/>
  <c r="D70" i="36"/>
  <c r="C19" i="81"/>
  <c r="F19" i="81" s="1"/>
  <c r="F59" i="80"/>
  <c r="BV49" i="82"/>
  <c r="E124" i="81"/>
  <c r="F124" i="81" s="1"/>
  <c r="BT49" i="82"/>
  <c r="BV107" i="82"/>
  <c r="F132" i="57" s="1"/>
  <c r="E132" i="57" s="1"/>
  <c r="D149" i="57"/>
  <c r="C37" i="81"/>
  <c r="BX110" i="82"/>
  <c r="BW49" i="82"/>
  <c r="D110" i="58"/>
  <c r="E137" i="81"/>
  <c r="F137" i="81" s="1"/>
  <c r="K38" i="80"/>
  <c r="N38" i="80" s="1"/>
  <c r="N46" i="80"/>
  <c r="N37" i="80"/>
  <c r="N55" i="80" s="1"/>
  <c r="K55" i="80"/>
  <c r="BW110" i="82"/>
  <c r="F12" i="80"/>
  <c r="F55" i="80" s="1"/>
  <c r="AA84" i="83"/>
  <c r="AA88" i="83" s="1"/>
  <c r="D112" i="81"/>
  <c r="B45" i="80" s="1"/>
  <c r="C44" i="80"/>
  <c r="C36" i="80" s="1"/>
  <c r="F156" i="81"/>
  <c r="L54" i="80"/>
  <c r="J58" i="80"/>
  <c r="O40" i="80"/>
  <c r="O58" i="80" s="1"/>
  <c r="E111" i="81"/>
  <c r="D95" i="81"/>
  <c r="E95" i="81" s="1"/>
  <c r="E134" i="81"/>
  <c r="F134" i="81" s="1"/>
  <c r="BV98" i="82"/>
  <c r="BX98" i="82"/>
  <c r="BX100" i="82"/>
  <c r="N29" i="80"/>
  <c r="O29" i="80" s="1"/>
  <c r="F153" i="81"/>
  <c r="E135" i="81"/>
  <c r="F135" i="81" s="1"/>
  <c r="K44" i="80"/>
  <c r="N18" i="80"/>
  <c r="K10" i="80"/>
  <c r="N10" i="80" s="1"/>
  <c r="D111" i="58"/>
  <c r="C81" i="81"/>
  <c r="F40" i="81"/>
  <c r="F152" i="81"/>
  <c r="C111" i="81"/>
  <c r="B19" i="105" s="1"/>
  <c r="B11" i="105" s="1"/>
  <c r="B36" i="80"/>
  <c r="D129" i="81"/>
  <c r="Z88" i="83"/>
  <c r="Z101" i="83" s="1"/>
  <c r="Z102" i="83" s="1"/>
  <c r="C80" i="81"/>
  <c r="F12" i="81"/>
  <c r="D128" i="81"/>
  <c r="D45" i="80" s="1"/>
  <c r="D37" i="80" s="1"/>
  <c r="C35" i="80"/>
  <c r="E120" i="81"/>
  <c r="D43" i="80"/>
  <c r="E110" i="81"/>
  <c r="D76" i="36"/>
  <c r="E121" i="81"/>
  <c r="C46" i="80"/>
  <c r="C38" i="80" s="1"/>
  <c r="D113" i="81"/>
  <c r="AB84" i="83"/>
  <c r="F13" i="81"/>
  <c r="D132" i="81"/>
  <c r="N13" i="80"/>
  <c r="F16" i="81"/>
  <c r="C10" i="80"/>
  <c r="D44" i="80"/>
  <c r="D36" i="80" s="1"/>
  <c r="E127" i="81"/>
  <c r="K35" i="80"/>
  <c r="N43" i="80"/>
  <c r="M20" i="106" l="1"/>
  <c r="I20" i="106"/>
  <c r="B17" i="99"/>
  <c r="B61" i="99" s="1"/>
  <c r="B17" i="106"/>
  <c r="B61" i="106" s="1"/>
  <c r="D25" i="106"/>
  <c r="D21" i="106"/>
  <c r="B13" i="106"/>
  <c r="B57" i="106" s="1"/>
  <c r="B14" i="106"/>
  <c r="B58" i="106" s="1"/>
  <c r="D22" i="106"/>
  <c r="F37" i="81"/>
  <c r="J19" i="106"/>
  <c r="M16" i="105"/>
  <c r="E59" i="105"/>
  <c r="D34" i="105"/>
  <c r="H42" i="105"/>
  <c r="B17" i="105"/>
  <c r="B9" i="105" s="1"/>
  <c r="B52" i="105" s="1"/>
  <c r="B17" i="80"/>
  <c r="B9" i="80" s="1"/>
  <c r="B52" i="80" s="1"/>
  <c r="C125" i="57"/>
  <c r="C69" i="36" s="1"/>
  <c r="I9" i="102" s="1"/>
  <c r="M13" i="105"/>
  <c r="E56" i="105"/>
  <c r="B18" i="80"/>
  <c r="B10" i="80" s="1"/>
  <c r="B18" i="105"/>
  <c r="B10" i="105" s="1"/>
  <c r="B53" i="105" s="1"/>
  <c r="C19" i="80"/>
  <c r="C11" i="80" s="1"/>
  <c r="C54" i="80" s="1"/>
  <c r="C19" i="105"/>
  <c r="C11" i="105" s="1"/>
  <c r="C54" i="105" s="1"/>
  <c r="C21" i="80"/>
  <c r="C13" i="80" s="1"/>
  <c r="C56" i="80" s="1"/>
  <c r="C21" i="105"/>
  <c r="C13" i="105" s="1"/>
  <c r="C56" i="105" s="1"/>
  <c r="M11" i="105"/>
  <c r="E54" i="105"/>
  <c r="D9" i="105"/>
  <c r="D9" i="80"/>
  <c r="D12" i="106"/>
  <c r="B36" i="105"/>
  <c r="B54" i="105" s="1"/>
  <c r="H44" i="105"/>
  <c r="F70" i="36"/>
  <c r="E70" i="36" s="1"/>
  <c r="E128" i="57"/>
  <c r="F69" i="36"/>
  <c r="D55" i="36"/>
  <c r="E55" i="36" s="1"/>
  <c r="F65" i="36"/>
  <c r="P19" i="53" s="1"/>
  <c r="Q19" i="53" s="1"/>
  <c r="D42" i="80"/>
  <c r="C131" i="57"/>
  <c r="F131" i="57"/>
  <c r="F46" i="58"/>
  <c r="F77" i="36"/>
  <c r="E77" i="36" s="1"/>
  <c r="C113" i="81"/>
  <c r="K128" i="57"/>
  <c r="F39" i="81"/>
  <c r="I127" i="57"/>
  <c r="J125" i="57"/>
  <c r="J69" i="36" s="1"/>
  <c r="K69" i="36" s="1"/>
  <c r="I133" i="57"/>
  <c r="K126" i="57"/>
  <c r="L97" i="36"/>
  <c r="J65" i="36"/>
  <c r="K65" i="36" s="1"/>
  <c r="J76" i="36"/>
  <c r="K76" i="36" s="1"/>
  <c r="K77" i="36"/>
  <c r="H131" i="57"/>
  <c r="G132" i="57"/>
  <c r="H69" i="36"/>
  <c r="G125" i="57"/>
  <c r="H128" i="57"/>
  <c r="I128" i="57" s="1"/>
  <c r="G129" i="57"/>
  <c r="I46" i="58"/>
  <c r="G47" i="58"/>
  <c r="H77" i="36"/>
  <c r="I77" i="36" s="1"/>
  <c r="H55" i="36"/>
  <c r="I55" i="36" s="1"/>
  <c r="G56" i="36"/>
  <c r="G13" i="99"/>
  <c r="M21" i="99"/>
  <c r="B12" i="99"/>
  <c r="B56" i="99" s="1"/>
  <c r="G20" i="99"/>
  <c r="G14" i="99"/>
  <c r="M22" i="99"/>
  <c r="M25" i="99"/>
  <c r="G17" i="99"/>
  <c r="F121" i="81"/>
  <c r="C120" i="81"/>
  <c r="C116" i="81"/>
  <c r="B24" i="105" s="1"/>
  <c r="B16" i="105" s="1"/>
  <c r="B59" i="105" s="1"/>
  <c r="C67" i="97"/>
  <c r="H9" i="102"/>
  <c r="K59" i="80"/>
  <c r="F119" i="81"/>
  <c r="D69" i="36"/>
  <c r="X88" i="83"/>
  <c r="K56" i="80"/>
  <c r="D10" i="36"/>
  <c r="E10" i="36" s="1"/>
  <c r="C28" i="81"/>
  <c r="N56" i="80"/>
  <c r="E112" i="81"/>
  <c r="D96" i="81"/>
  <c r="E96" i="81" s="1"/>
  <c r="B37" i="80"/>
  <c r="J45" i="80"/>
  <c r="C112" i="81"/>
  <c r="B20" i="105" s="1"/>
  <c r="B12" i="105" s="1"/>
  <c r="B55" i="105" s="1"/>
  <c r="F11" i="80"/>
  <c r="F54" i="80" s="1"/>
  <c r="AA101" i="83"/>
  <c r="F151" i="81"/>
  <c r="N44" i="80"/>
  <c r="K36" i="80"/>
  <c r="D94" i="81"/>
  <c r="E94" i="81" s="1"/>
  <c r="C53" i="80"/>
  <c r="N59" i="80"/>
  <c r="D100" i="81"/>
  <c r="E100" i="81" s="1"/>
  <c r="E132" i="81"/>
  <c r="D49" i="80"/>
  <c r="D46" i="80"/>
  <c r="D38" i="80" s="1"/>
  <c r="E129" i="81"/>
  <c r="J44" i="80"/>
  <c r="J43" i="80"/>
  <c r="B35" i="80"/>
  <c r="D123" i="57"/>
  <c r="E123" i="57" s="1"/>
  <c r="C10" i="81"/>
  <c r="N35" i="80"/>
  <c r="K53" i="80"/>
  <c r="AB88" i="83"/>
  <c r="AB100" i="83" s="1"/>
  <c r="F110" i="81"/>
  <c r="B19" i="80"/>
  <c r="F111" i="81"/>
  <c r="D97" i="81"/>
  <c r="E97" i="81" s="1"/>
  <c r="E113" i="81"/>
  <c r="B46" i="80"/>
  <c r="E126" i="81"/>
  <c r="D35" i="80"/>
  <c r="E128" i="81"/>
  <c r="C126" i="81"/>
  <c r="D18" i="105" s="1"/>
  <c r="M132" i="57"/>
  <c r="M131" i="57" s="1"/>
  <c r="M124" i="57" s="1"/>
  <c r="BX49" i="82"/>
  <c r="BX107" i="82"/>
  <c r="M12" i="106" l="1"/>
  <c r="I12" i="106"/>
  <c r="D14" i="106"/>
  <c r="M22" i="106"/>
  <c r="B19" i="99"/>
  <c r="B19" i="106"/>
  <c r="D13" i="106"/>
  <c r="M21" i="106"/>
  <c r="D52" i="105"/>
  <c r="M25" i="106"/>
  <c r="D17" i="106"/>
  <c r="J11" i="106"/>
  <c r="B53" i="80"/>
  <c r="J17" i="80"/>
  <c r="O17" i="80" s="1"/>
  <c r="O9" i="80" s="1"/>
  <c r="P42" i="105"/>
  <c r="M42" i="105"/>
  <c r="H34" i="105"/>
  <c r="B21" i="80"/>
  <c r="B13" i="80" s="1"/>
  <c r="B21" i="105"/>
  <c r="B13" i="105" s="1"/>
  <c r="B56" i="105" s="1"/>
  <c r="H17" i="105"/>
  <c r="P17" i="105" s="1"/>
  <c r="C20" i="80"/>
  <c r="C12" i="80" s="1"/>
  <c r="C55" i="80" s="1"/>
  <c r="C20" i="105"/>
  <c r="C12" i="105" s="1"/>
  <c r="C55" i="105" s="1"/>
  <c r="D10" i="105"/>
  <c r="H18" i="105"/>
  <c r="D56" i="106"/>
  <c r="I56" i="106" s="1"/>
  <c r="P44" i="105"/>
  <c r="H36" i="105"/>
  <c r="P36" i="105" s="1"/>
  <c r="E69" i="36"/>
  <c r="F109" i="58"/>
  <c r="E109" i="58" s="1"/>
  <c r="E46" i="58"/>
  <c r="G69" i="36"/>
  <c r="F124" i="57"/>
  <c r="E131" i="57"/>
  <c r="C9" i="102"/>
  <c r="C71" i="36"/>
  <c r="C124" i="57"/>
  <c r="C147" i="57" s="1"/>
  <c r="D34" i="80"/>
  <c r="D52" i="80" s="1"/>
  <c r="J42" i="80"/>
  <c r="F71" i="36"/>
  <c r="F76" i="36"/>
  <c r="F111" i="58"/>
  <c r="F110" i="58"/>
  <c r="I125" i="57"/>
  <c r="K125" i="57"/>
  <c r="J132" i="57"/>
  <c r="J131" i="57" s="1"/>
  <c r="J124" i="57" s="1"/>
  <c r="J147" i="57" s="1"/>
  <c r="AB101" i="83"/>
  <c r="D63" i="81" s="1"/>
  <c r="D31" i="81" s="1"/>
  <c r="D81" i="81" s="1"/>
  <c r="I69" i="36"/>
  <c r="H124" i="57"/>
  <c r="H147" i="57" s="1"/>
  <c r="H70" i="36"/>
  <c r="I70" i="36" s="1"/>
  <c r="G128" i="57"/>
  <c r="H76" i="36"/>
  <c r="G77" i="36"/>
  <c r="G46" i="58"/>
  <c r="I109" i="58"/>
  <c r="H71" i="36"/>
  <c r="G131" i="57"/>
  <c r="G55" i="36"/>
  <c r="H65" i="36"/>
  <c r="B11" i="99"/>
  <c r="B55" i="99" s="1"/>
  <c r="G19" i="99"/>
  <c r="M14" i="99"/>
  <c r="G12" i="99"/>
  <c r="M20" i="99"/>
  <c r="M17" i="99"/>
  <c r="M13" i="99"/>
  <c r="F120" i="81"/>
  <c r="B24" i="80"/>
  <c r="B16" i="80" s="1"/>
  <c r="B59" i="80" s="1"/>
  <c r="F116" i="81"/>
  <c r="C127" i="81"/>
  <c r="D9" i="36"/>
  <c r="E9" i="36" s="1"/>
  <c r="C9" i="97"/>
  <c r="C8" i="97" s="1"/>
  <c r="C63" i="97" s="1"/>
  <c r="O45" i="80"/>
  <c r="J37" i="80"/>
  <c r="O37" i="80" s="1"/>
  <c r="F112" i="81"/>
  <c r="B20" i="80"/>
  <c r="BW111" i="82"/>
  <c r="D62" i="81"/>
  <c r="E62" i="81" s="1"/>
  <c r="AA102" i="83"/>
  <c r="D61" i="81"/>
  <c r="E46" i="99" s="1"/>
  <c r="F148" i="57"/>
  <c r="F151" i="57" s="1"/>
  <c r="BV110" i="82"/>
  <c r="N36" i="80"/>
  <c r="N54" i="80" s="1"/>
  <c r="K54" i="80"/>
  <c r="B38" i="80"/>
  <c r="J46" i="80"/>
  <c r="F113" i="81"/>
  <c r="J36" i="80"/>
  <c r="O44" i="80"/>
  <c r="J35" i="80"/>
  <c r="O35" i="80" s="1"/>
  <c r="O43" i="80"/>
  <c r="E51" i="99"/>
  <c r="N53" i="80"/>
  <c r="B11" i="80"/>
  <c r="F10" i="81"/>
  <c r="C78" i="81"/>
  <c r="D41" i="80"/>
  <c r="J49" i="80"/>
  <c r="D18" i="80"/>
  <c r="E76" i="36" l="1"/>
  <c r="P22" i="53"/>
  <c r="Q22" i="53" s="1"/>
  <c r="E124" i="57"/>
  <c r="P21" i="53"/>
  <c r="Q21" i="53" s="1"/>
  <c r="M56" i="106"/>
  <c r="M63" i="106" s="1"/>
  <c r="J9" i="80"/>
  <c r="D57" i="106"/>
  <c r="M57" i="106" s="1"/>
  <c r="M13" i="106"/>
  <c r="B11" i="106"/>
  <c r="B55" i="106" s="1"/>
  <c r="D19" i="106"/>
  <c r="D61" i="106"/>
  <c r="M61" i="106" s="1"/>
  <c r="M17" i="106"/>
  <c r="F87" i="81"/>
  <c r="N20" i="105"/>
  <c r="N12" i="105" s="1"/>
  <c r="D58" i="106"/>
  <c r="M58" i="106" s="1"/>
  <c r="M14" i="106"/>
  <c r="J55" i="106"/>
  <c r="B56" i="80"/>
  <c r="H9" i="105"/>
  <c r="M17" i="105"/>
  <c r="P34" i="105"/>
  <c r="M34" i="105"/>
  <c r="M18" i="105"/>
  <c r="H10" i="105"/>
  <c r="D53" i="105"/>
  <c r="D19" i="80"/>
  <c r="D11" i="80" s="1"/>
  <c r="D54" i="80" s="1"/>
  <c r="D19" i="105"/>
  <c r="F147" i="57"/>
  <c r="G147" i="57" s="1"/>
  <c r="F68" i="36"/>
  <c r="F67" i="36" s="1"/>
  <c r="C68" i="36"/>
  <c r="C67" i="36" s="1"/>
  <c r="C66" i="36" s="1"/>
  <c r="C91" i="36" s="1"/>
  <c r="I11" i="102"/>
  <c r="I8" i="102" s="1"/>
  <c r="I7" i="102" s="1"/>
  <c r="I25" i="102" s="1"/>
  <c r="O42" i="80"/>
  <c r="O34" i="80" s="1"/>
  <c r="O52" i="80" s="1"/>
  <c r="Z53" i="80" s="1"/>
  <c r="J34" i="80"/>
  <c r="G71" i="36"/>
  <c r="D65" i="36"/>
  <c r="AB102" i="83"/>
  <c r="E48" i="99"/>
  <c r="G48" i="99" s="1"/>
  <c r="I132" i="57"/>
  <c r="K131" i="57"/>
  <c r="K132" i="57"/>
  <c r="E15" i="81"/>
  <c r="C15" i="81" s="1"/>
  <c r="B50" i="99"/>
  <c r="D83" i="81"/>
  <c r="E83" i="81" s="1"/>
  <c r="G124" i="57"/>
  <c r="I131" i="57"/>
  <c r="G76" i="36"/>
  <c r="I76" i="36"/>
  <c r="G65" i="36"/>
  <c r="I65" i="36"/>
  <c r="G109" i="58"/>
  <c r="H110" i="58"/>
  <c r="G70" i="36"/>
  <c r="H68" i="36"/>
  <c r="E43" i="99"/>
  <c r="E61" i="99" s="1"/>
  <c r="G51" i="99"/>
  <c r="G11" i="99"/>
  <c r="M19" i="99"/>
  <c r="E38" i="99"/>
  <c r="E56" i="99" s="1"/>
  <c r="G46" i="99"/>
  <c r="M12" i="99"/>
  <c r="M147" i="57"/>
  <c r="M71" i="36"/>
  <c r="M68" i="36" s="1"/>
  <c r="M67" i="36" s="1"/>
  <c r="J71" i="36"/>
  <c r="K71" i="36" s="1"/>
  <c r="C69" i="97"/>
  <c r="H11" i="102"/>
  <c r="F127" i="81"/>
  <c r="D71" i="36"/>
  <c r="E71" i="36" s="1"/>
  <c r="D60" i="81"/>
  <c r="C128" i="81"/>
  <c r="D20" i="105" s="1"/>
  <c r="G20" i="80"/>
  <c r="G12" i="80" s="1"/>
  <c r="G55" i="80" s="1"/>
  <c r="B12" i="80"/>
  <c r="D30" i="81"/>
  <c r="D80" i="81" s="1"/>
  <c r="E80" i="81" s="1"/>
  <c r="BW113" i="82"/>
  <c r="O36" i="80"/>
  <c r="D29" i="81"/>
  <c r="E29" i="81" s="1"/>
  <c r="F29" i="81" s="1"/>
  <c r="E61" i="81"/>
  <c r="N19" i="105" s="1"/>
  <c r="N11" i="105" s="1"/>
  <c r="F62" i="81"/>
  <c r="BV111" i="82"/>
  <c r="BV113" i="82"/>
  <c r="B54" i="80"/>
  <c r="O49" i="80"/>
  <c r="J41" i="80"/>
  <c r="O41" i="80" s="1"/>
  <c r="E63" i="81"/>
  <c r="D34" i="81"/>
  <c r="E66" i="81"/>
  <c r="N24" i="105" s="1"/>
  <c r="N16" i="105" s="1"/>
  <c r="J38" i="80"/>
  <c r="O38" i="80" s="1"/>
  <c r="O46" i="80"/>
  <c r="BX113" i="82"/>
  <c r="BX111" i="82"/>
  <c r="C132" i="81"/>
  <c r="D24" i="105" s="1"/>
  <c r="F126" i="81"/>
  <c r="C129" i="81"/>
  <c r="D21" i="105" s="1"/>
  <c r="J52" i="80" l="1"/>
  <c r="H52" i="105"/>
  <c r="M9" i="105"/>
  <c r="P9" i="105" s="1"/>
  <c r="D11" i="106"/>
  <c r="M19" i="106"/>
  <c r="E45" i="99"/>
  <c r="E37" i="99" s="1"/>
  <c r="E55" i="99" s="1"/>
  <c r="F88" i="81"/>
  <c r="N21" i="105"/>
  <c r="N13" i="105" s="1"/>
  <c r="Z60" i="80"/>
  <c r="AA60" i="105"/>
  <c r="M10" i="105"/>
  <c r="H53" i="105"/>
  <c r="D16" i="105"/>
  <c r="H24" i="105"/>
  <c r="P24" i="105" s="1"/>
  <c r="D13" i="105"/>
  <c r="H21" i="105"/>
  <c r="P21" i="105" s="1"/>
  <c r="D12" i="105"/>
  <c r="H20" i="105"/>
  <c r="P20" i="105" s="1"/>
  <c r="D11" i="105"/>
  <c r="D54" i="105" s="1"/>
  <c r="H19" i="105"/>
  <c r="P19" i="105" s="1"/>
  <c r="M52" i="105"/>
  <c r="P52" i="105"/>
  <c r="AA53" i="105" s="1"/>
  <c r="E65" i="36"/>
  <c r="F66" i="36"/>
  <c r="E40" i="99"/>
  <c r="E58" i="99" s="1"/>
  <c r="B42" i="99"/>
  <c r="B60" i="99" s="1"/>
  <c r="G50" i="99"/>
  <c r="F15" i="81"/>
  <c r="C83" i="81"/>
  <c r="F83" i="81" s="1"/>
  <c r="I124" i="57"/>
  <c r="K124" i="57"/>
  <c r="J68" i="36"/>
  <c r="K68" i="36" s="1"/>
  <c r="I71" i="36"/>
  <c r="H67" i="36"/>
  <c r="G68" i="36"/>
  <c r="M11" i="99"/>
  <c r="G43" i="99"/>
  <c r="M51" i="99"/>
  <c r="G45" i="99"/>
  <c r="M46" i="99"/>
  <c r="G38" i="99"/>
  <c r="M48" i="99"/>
  <c r="G40" i="99"/>
  <c r="F61" i="81"/>
  <c r="E47" i="99"/>
  <c r="M66" i="36"/>
  <c r="M91" i="36" s="1"/>
  <c r="M92" i="36" s="1"/>
  <c r="D28" i="81"/>
  <c r="E60" i="81"/>
  <c r="C160" i="81"/>
  <c r="F160" i="81" s="1"/>
  <c r="F103" i="81"/>
  <c r="F128" i="81"/>
  <c r="D20" i="80"/>
  <c r="B55" i="80"/>
  <c r="F80" i="81"/>
  <c r="E30" i="81"/>
  <c r="F30" i="81" s="1"/>
  <c r="G19" i="80"/>
  <c r="G11" i="80" s="1"/>
  <c r="G54" i="80" s="1"/>
  <c r="D79" i="81"/>
  <c r="E79" i="81" s="1"/>
  <c r="F86" i="81"/>
  <c r="E81" i="81"/>
  <c r="E31" i="81"/>
  <c r="F31" i="81" s="1"/>
  <c r="F91" i="81"/>
  <c r="C164" i="81" s="1"/>
  <c r="G24" i="80"/>
  <c r="G16" i="80" s="1"/>
  <c r="G59" i="80" s="1"/>
  <c r="F66" i="81"/>
  <c r="F63" i="81"/>
  <c r="G21" i="80"/>
  <c r="G13" i="80" s="1"/>
  <c r="G56" i="80" s="1"/>
  <c r="E34" i="81"/>
  <c r="F34" i="81" s="1"/>
  <c r="D84" i="81"/>
  <c r="E84" i="81" s="1"/>
  <c r="L84" i="81" s="1"/>
  <c r="F129" i="81"/>
  <c r="D21" i="80"/>
  <c r="M148" i="57"/>
  <c r="D10" i="80"/>
  <c r="D24" i="80"/>
  <c r="F132" i="81"/>
  <c r="J148" i="57"/>
  <c r="L37" i="106" l="1"/>
  <c r="M45" i="106"/>
  <c r="D55" i="106"/>
  <c r="M11" i="106"/>
  <c r="H11" i="105"/>
  <c r="H54" i="105" s="1"/>
  <c r="D59" i="105"/>
  <c r="H16" i="105"/>
  <c r="D55" i="105"/>
  <c r="H12" i="105"/>
  <c r="D56" i="105"/>
  <c r="H13" i="105"/>
  <c r="F91" i="36"/>
  <c r="P27" i="53" s="1"/>
  <c r="Q27" i="53" s="1"/>
  <c r="G42" i="99"/>
  <c r="M50" i="99"/>
  <c r="I147" i="57"/>
  <c r="K147" i="57"/>
  <c r="J67" i="36"/>
  <c r="K67" i="36" s="1"/>
  <c r="I68" i="36"/>
  <c r="G67" i="36"/>
  <c r="H66" i="36"/>
  <c r="M97" i="36"/>
  <c r="M40" i="99"/>
  <c r="G58" i="99"/>
  <c r="M58" i="99" s="1"/>
  <c r="M43" i="99"/>
  <c r="G61" i="99"/>
  <c r="M61" i="99" s="1"/>
  <c r="G37" i="99"/>
  <c r="M45" i="99"/>
  <c r="M38" i="99"/>
  <c r="G56" i="99"/>
  <c r="M56" i="99" s="1"/>
  <c r="E39" i="99"/>
  <c r="E57" i="99" s="1"/>
  <c r="G47" i="99"/>
  <c r="F85" i="81"/>
  <c r="F60" i="81"/>
  <c r="E28" i="81"/>
  <c r="F28" i="81" s="1"/>
  <c r="D78" i="81"/>
  <c r="E78" i="81" s="1"/>
  <c r="H148" i="57"/>
  <c r="C96" i="81"/>
  <c r="F96" i="81" s="1"/>
  <c r="D12" i="80"/>
  <c r="J20" i="80"/>
  <c r="O20" i="80" s="1"/>
  <c r="F102" i="81"/>
  <c r="J19" i="80"/>
  <c r="O19" i="80" s="1"/>
  <c r="J11" i="80"/>
  <c r="F79" i="81"/>
  <c r="F92" i="81" s="1"/>
  <c r="C159" i="81"/>
  <c r="F81" i="81"/>
  <c r="F104" i="81"/>
  <c r="C161" i="81"/>
  <c r="F84" i="81"/>
  <c r="F107" i="81"/>
  <c r="D16" i="80"/>
  <c r="J24" i="80"/>
  <c r="O24" i="80" s="1"/>
  <c r="D53" i="80"/>
  <c r="D13" i="80"/>
  <c r="J21" i="80"/>
  <c r="O21" i="80" s="1"/>
  <c r="G18" i="80" l="1"/>
  <c r="N18" i="105"/>
  <c r="M62" i="99"/>
  <c r="C158" i="81"/>
  <c r="L55" i="106"/>
  <c r="M55" i="106" s="1"/>
  <c r="M37" i="106"/>
  <c r="P11" i="105"/>
  <c r="P12" i="105"/>
  <c r="P55" i="105" s="1"/>
  <c r="H55" i="105"/>
  <c r="P13" i="105"/>
  <c r="P56" i="105" s="1"/>
  <c r="H56" i="105"/>
  <c r="P16" i="105"/>
  <c r="P59" i="105" s="1"/>
  <c r="H59" i="105"/>
  <c r="F93" i="36"/>
  <c r="M42" i="99"/>
  <c r="G60" i="99"/>
  <c r="M60" i="99" s="1"/>
  <c r="I67" i="36"/>
  <c r="J66" i="36"/>
  <c r="K66" i="36" s="1"/>
  <c r="H91" i="36"/>
  <c r="G91" i="36" s="1"/>
  <c r="G66" i="36"/>
  <c r="M37" i="99"/>
  <c r="G55" i="99"/>
  <c r="M55" i="99" s="1"/>
  <c r="M63" i="99" s="1"/>
  <c r="G39" i="99"/>
  <c r="M47" i="99"/>
  <c r="G10" i="80"/>
  <c r="F101" i="81"/>
  <c r="F78" i="81"/>
  <c r="D55" i="80"/>
  <c r="J12" i="80"/>
  <c r="J54" i="80"/>
  <c r="O11" i="80"/>
  <c r="O54" i="80" s="1"/>
  <c r="F159" i="81"/>
  <c r="C95" i="81"/>
  <c r="F95" i="81" s="1"/>
  <c r="F108" i="81" s="1"/>
  <c r="F164" i="81"/>
  <c r="C100" i="81"/>
  <c r="F161" i="81"/>
  <c r="C97" i="81"/>
  <c r="F97" i="81" s="1"/>
  <c r="D56" i="80"/>
  <c r="J13" i="80"/>
  <c r="D59" i="80"/>
  <c r="J16" i="80"/>
  <c r="P54" i="105" l="1"/>
  <c r="P61" i="105" s="1"/>
  <c r="M54" i="105"/>
  <c r="O60" i="80"/>
  <c r="N10" i="105"/>
  <c r="P18" i="105"/>
  <c r="F100" i="81"/>
  <c r="J91" i="36"/>
  <c r="K91" i="36" s="1"/>
  <c r="I66" i="36"/>
  <c r="M39" i="99"/>
  <c r="G57" i="99"/>
  <c r="M57" i="99" s="1"/>
  <c r="F158" i="81"/>
  <c r="G53" i="80"/>
  <c r="J55" i="80"/>
  <c r="O12" i="80"/>
  <c r="O55" i="80" s="1"/>
  <c r="O16" i="80"/>
  <c r="O59" i="80" s="1"/>
  <c r="J59" i="80"/>
  <c r="O13" i="80"/>
  <c r="O56" i="80" s="1"/>
  <c r="J56" i="80"/>
  <c r="N53" i="105" l="1"/>
  <c r="P10" i="105"/>
  <c r="K97" i="36"/>
  <c r="I91" i="36"/>
  <c r="M16" i="56"/>
  <c r="M53" i="105" l="1"/>
  <c r="P53" i="105"/>
  <c r="P63" i="105" s="1"/>
  <c r="F10" i="80"/>
  <c r="J18" i="80"/>
  <c r="O18" i="80" s="1"/>
  <c r="F150" i="81" l="1"/>
  <c r="H13" i="102"/>
  <c r="D148" i="57"/>
  <c r="D151" i="57" s="1"/>
  <c r="BT110" i="82"/>
  <c r="C111" i="82"/>
  <c r="J10" i="80"/>
  <c r="F53" i="80"/>
  <c r="C94" i="81" l="1"/>
  <c r="D73" i="36"/>
  <c r="C71" i="97"/>
  <c r="C66" i="97" s="1"/>
  <c r="C65" i="97" s="1"/>
  <c r="C64" i="97" s="1"/>
  <c r="C87" i="97" s="1"/>
  <c r="O10" i="80"/>
  <c r="O53" i="80" s="1"/>
  <c r="O61" i="80" s="1"/>
  <c r="O63" i="80" s="1"/>
  <c r="J53" i="80"/>
  <c r="C113" i="82"/>
  <c r="BT113" i="82" s="1"/>
  <c r="BT111" i="82"/>
  <c r="D147" i="57"/>
  <c r="E147" i="57" s="1"/>
  <c r="D68" i="36" l="1"/>
  <c r="E68" i="36" s="1"/>
  <c r="E73" i="36"/>
  <c r="F94" i="81"/>
  <c r="D67" i="36" l="1"/>
  <c r="D66" i="36" s="1"/>
  <c r="E66" i="36" s="1"/>
  <c r="C10" i="52"/>
  <c r="C15" i="52" s="1"/>
  <c r="E67" i="36" l="1"/>
  <c r="D91" i="36"/>
  <c r="E91" i="36"/>
  <c r="H14" i="102"/>
  <c r="C24" i="102"/>
  <c r="C20" i="102"/>
  <c r="C19" i="102" s="1"/>
  <c r="C18" i="102" l="1"/>
  <c r="C14" i="102"/>
  <c r="C8" i="102" l="1"/>
  <c r="C7" i="102" s="1"/>
  <c r="C25" i="102" s="1"/>
  <c r="H8" i="102" l="1"/>
  <c r="H7" i="102" s="1"/>
  <c r="H25" i="102" s="1"/>
</calcChain>
</file>

<file path=xl/sharedStrings.xml><?xml version="1.0" encoding="utf-8"?>
<sst xmlns="http://schemas.openxmlformats.org/spreadsheetml/2006/main" count="2177" uniqueCount="1305">
  <si>
    <t>ezer Ft-ban</t>
  </si>
  <si>
    <t>II. Felújítások</t>
  </si>
  <si>
    <t xml:space="preserve">     1. Európai Uniós támogatásból megvalósuló felújítások</t>
  </si>
  <si>
    <t xml:space="preserve">    1. Többcélú kistérségi társulásnak és költségvetési szerveinek</t>
  </si>
  <si>
    <t xml:space="preserve">    1. Vállalkozásoknak</t>
  </si>
  <si>
    <t>I. Beruházások</t>
  </si>
  <si>
    <t>Működési célú bevételek összesen</t>
  </si>
  <si>
    <t>Költségvetési kiadások összesen</t>
  </si>
  <si>
    <t xml:space="preserve">I. Működési kiadások </t>
  </si>
  <si>
    <t>Működési célú kiadások összesen</t>
  </si>
  <si>
    <t>Felhalmozási célú bevételek összesen</t>
  </si>
  <si>
    <t>Felhalmozási célú kiadások összesen</t>
  </si>
  <si>
    <t>III.  Egyéb felhalmozási célú kiadások</t>
  </si>
  <si>
    <t>Működési célú támogatások, pénzeszközátadások</t>
  </si>
  <si>
    <t xml:space="preserve">               Családsegítés, gyermekjóléti feladatok</t>
  </si>
  <si>
    <t xml:space="preserve">               Házi segítségnyújtás</t>
  </si>
  <si>
    <t xml:space="preserve">               Jelzőrendszeres házi segítésnyújtás</t>
  </si>
  <si>
    <t xml:space="preserve">               Pénzügyi Gondnokság iroda működtetés</t>
  </si>
  <si>
    <t xml:space="preserve">               Háziorvosi ügyeleti ellátás</t>
  </si>
  <si>
    <t xml:space="preserve">               Egészségügyi laboratóriumi szolgáltatás</t>
  </si>
  <si>
    <t xml:space="preserve">               Kistérségi TV működtetés</t>
  </si>
  <si>
    <t xml:space="preserve">               Kistérségi Társulás tagdíj (500 Ft/fő)</t>
  </si>
  <si>
    <t xml:space="preserve">    3. Civil szervezeteknek </t>
  </si>
  <si>
    <t xml:space="preserve">Balatonföldvár Város Önkormányzatának </t>
  </si>
  <si>
    <t xml:space="preserve">                      ezer Ft-ban</t>
  </si>
  <si>
    <t>Kiadások</t>
  </si>
  <si>
    <t xml:space="preserve">    Szociális hozzájárulási adó</t>
  </si>
  <si>
    <t>Dologi kiadások összesen</t>
  </si>
  <si>
    <t>Működési kiadások összesen</t>
  </si>
  <si>
    <t xml:space="preserve">    Cafeteria</t>
  </si>
  <si>
    <t>Személyi jellegű kiadások</t>
  </si>
  <si>
    <t>Működési célú kiadások</t>
  </si>
  <si>
    <t>Működési célú kiadások mind
összesen</t>
  </si>
  <si>
    <t>Felhalmozási célú kiadások</t>
  </si>
  <si>
    <t>Személyi juttatás</t>
  </si>
  <si>
    <t>Dologi kiadások</t>
  </si>
  <si>
    <t>Egyéb működési célú kiadások</t>
  </si>
  <si>
    <t>Beruházás</t>
  </si>
  <si>
    <t>Felújítás</t>
  </si>
  <si>
    <t>Egyéb felhalmozási célú kiadás</t>
  </si>
  <si>
    <t>Önkormányzat</t>
  </si>
  <si>
    <t>Intézmények</t>
  </si>
  <si>
    <t>Bevételek / kiadások</t>
  </si>
  <si>
    <t>Összesen</t>
  </si>
  <si>
    <t>Önkormányzat 
mindösszesen</t>
  </si>
  <si>
    <t>Önkormányzati
 hivatal</t>
  </si>
  <si>
    <t>Finanszírozási bevételek</t>
  </si>
  <si>
    <t>Intézményfinanszírozás 
önkormányzati saját bevételből</t>
  </si>
  <si>
    <t xml:space="preserve">Bevételek összesen </t>
  </si>
  <si>
    <t xml:space="preserve">Intézményfinanszírozás </t>
  </si>
  <si>
    <t xml:space="preserve">Bevételek nettósítva összesen </t>
  </si>
  <si>
    <t>Kiadások összesen</t>
  </si>
  <si>
    <t>Kiadások nettósítva összesen</t>
  </si>
  <si>
    <t>Finanszírozási kiadások</t>
  </si>
  <si>
    <t xml:space="preserve">    Egyéb dologi kiadások</t>
  </si>
  <si>
    <t>Létszám (fő)</t>
  </si>
  <si>
    <t xml:space="preserve">    Közlekedési költségtérítés</t>
  </si>
  <si>
    <t xml:space="preserve">     Reprezentáció</t>
  </si>
  <si>
    <t>Működési célú bevételek</t>
  </si>
  <si>
    <t>Bevételek mindösszesen</t>
  </si>
  <si>
    <t>1. Beruházások</t>
  </si>
  <si>
    <t>2. Felújítások</t>
  </si>
  <si>
    <t>-</t>
  </si>
  <si>
    <t>3. Egyéb felhalmozási kiadások</t>
  </si>
  <si>
    <t>Felvétel éve</t>
  </si>
  <si>
    <t>Összege</t>
  </si>
  <si>
    <t>Mindösszesen: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</si>
  <si>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</si>
  <si>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</si>
  <si>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</si>
  <si>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</si>
  <si>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</si>
  <si>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</si>
  <si>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</si>
  <si>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</si>
  <si>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Aug.</t>
  </si>
  <si>
    <t>Szept.</t>
  </si>
  <si>
    <t>Okt.</t>
  </si>
  <si>
    <t>Nov.</t>
  </si>
  <si>
    <t>Dec.</t>
  </si>
  <si>
    <t>1.Bevételek</t>
  </si>
  <si>
    <t xml:space="preserve">   Bevételek összesen</t>
  </si>
  <si>
    <t>2.Kiadások</t>
  </si>
  <si>
    <t xml:space="preserve">   Működési célú kiadások</t>
  </si>
  <si>
    <t xml:space="preserve">   Beruházás, fejlesztés</t>
  </si>
  <si>
    <t xml:space="preserve">   Kiadások összesen</t>
  </si>
  <si>
    <t>Havi egyenleg</t>
  </si>
  <si>
    <t>Göngyölített egyenleg</t>
  </si>
  <si>
    <t>Balatonföldvár Város Önkormányzata</t>
  </si>
  <si>
    <t>Ellátottak térítési díjának méltányossági alapon elengedett összege</t>
  </si>
  <si>
    <t>Lakosság részére lakásépítéshez, felújításhoz nyújtott kölcsön elengedése</t>
  </si>
  <si>
    <t>Egyéb nyújtott kedvezmény vagy kölcsön elengedésének összege</t>
  </si>
  <si>
    <t>Intézmények 
összesen</t>
  </si>
  <si>
    <t>Munkaadót terhelő járulékok és szociális hozzájárulási adó</t>
  </si>
  <si>
    <t>III. Közhatalmi bevételek</t>
  </si>
  <si>
    <t>EU-s projekt, program megnevezése</t>
  </si>
  <si>
    <t>Projekt azonosító</t>
  </si>
  <si>
    <t>Igényelt támogatás összege</t>
  </si>
  <si>
    <t>Megítélt támogatás összege</t>
  </si>
  <si>
    <t>Projekthez kapcsolódó kiadások</t>
  </si>
  <si>
    <t>Projekt megvalósításhoz kapcsolódó egyéb költségek</t>
  </si>
  <si>
    <t>Projekt megvalósítás során felmerült költségek</t>
  </si>
  <si>
    <t>Elszámolható</t>
  </si>
  <si>
    <t>Nem elszámolható</t>
  </si>
  <si>
    <t>Tám.-i intenzitás
%</t>
  </si>
  <si>
    <r>
      <t>Balatonföldvár Város</t>
    </r>
    <r>
      <rPr>
        <b/>
        <i/>
        <u/>
        <sz val="12"/>
        <rFont val="Arial CE"/>
        <family val="2"/>
        <charset val="238"/>
      </rPr>
      <t xml:space="preserve">Önkormányzatának </t>
    </r>
  </si>
  <si>
    <t xml:space="preserve">    Munkáltatót terhelő szja</t>
  </si>
  <si>
    <t>064010 Közvilágítás</t>
  </si>
  <si>
    <t>Rovat</t>
  </si>
  <si>
    <t>B1-B7</t>
  </si>
  <si>
    <t>B1</t>
  </si>
  <si>
    <t>B11</t>
  </si>
  <si>
    <t>B13</t>
  </si>
  <si>
    <t>B14</t>
  </si>
  <si>
    <t>B15</t>
  </si>
  <si>
    <t>B16</t>
  </si>
  <si>
    <t xml:space="preserve">      1.3. Működési és garancia- és kezességvállalásból származó bevételek</t>
  </si>
  <si>
    <t xml:space="preserve">      1.4. Működési célú visszatérítendő támogatások, kölcsönök visszatérülése</t>
  </si>
  <si>
    <t xml:space="preserve">      1.5. Működési célú visszatérítendő támogatások, kölcsönök igénybevétele</t>
  </si>
  <si>
    <t xml:space="preserve">      1.1. Önkormányzatok működési támogatásai</t>
  </si>
  <si>
    <t xml:space="preserve">      1.6. Egyéb működési célú támogatások</t>
  </si>
  <si>
    <t>B2</t>
  </si>
  <si>
    <t>B21</t>
  </si>
  <si>
    <t>B23</t>
  </si>
  <si>
    <t>B24</t>
  </si>
  <si>
    <t>B25</t>
  </si>
  <si>
    <t xml:space="preserve">      2.3. Felhalmozási célú visszatérítendő támogatások, kölcsönök visszatérülése</t>
  </si>
  <si>
    <t xml:space="preserve">      2.4. Felhalmozási célú visszatérítendő támogatások, kölcsönök igénybevétele</t>
  </si>
  <si>
    <t xml:space="preserve">      2.5. Egyéb felhalmozási célú támogatások</t>
  </si>
  <si>
    <t xml:space="preserve">      2.1. Felhalmozási célú önkormányzati támogatások</t>
  </si>
  <si>
    <t>B3</t>
  </si>
  <si>
    <t>B31</t>
  </si>
  <si>
    <t>B32</t>
  </si>
  <si>
    <t>B33</t>
  </si>
  <si>
    <t>B34</t>
  </si>
  <si>
    <t>B35</t>
  </si>
  <si>
    <t>B36</t>
  </si>
  <si>
    <t xml:space="preserve">      3.1. Jövedelemadók</t>
  </si>
  <si>
    <t xml:space="preserve">      3.2. Szociális hozzájárulási adók és járulékok</t>
  </si>
  <si>
    <t xml:space="preserve">      3.3. Bérhez és foglalkoztatáshoz kapcsolódó adók</t>
  </si>
  <si>
    <t xml:space="preserve">      3.6. Egyéb közhatalmi bevételek</t>
  </si>
  <si>
    <t>B4</t>
  </si>
  <si>
    <t xml:space="preserve">      4.1. Készletértékesítés ellenértéke</t>
  </si>
  <si>
    <t xml:space="preserve">      4.2. Szolgáltatások ellenértéke</t>
  </si>
  <si>
    <t>B401</t>
  </si>
  <si>
    <t>B402</t>
  </si>
  <si>
    <t>B403</t>
  </si>
  <si>
    <t>B404</t>
  </si>
  <si>
    <t>B405</t>
  </si>
  <si>
    <t xml:space="preserve">      4.3. Közvetített szolgáltatások ellenértéke</t>
  </si>
  <si>
    <t xml:space="preserve">      4.4. Tulajdonosi bevételek</t>
  </si>
  <si>
    <t xml:space="preserve">      4.5. Ellátási díjak</t>
  </si>
  <si>
    <t>B406</t>
  </si>
  <si>
    <t xml:space="preserve">      4.6. Kiszámlázott ÁFA</t>
  </si>
  <si>
    <t>B407</t>
  </si>
  <si>
    <t xml:space="preserve">      4.7. ÁFA visszatérítése</t>
  </si>
  <si>
    <t>B408</t>
  </si>
  <si>
    <t xml:space="preserve">      4.8. Kamatbevételek</t>
  </si>
  <si>
    <t>B409</t>
  </si>
  <si>
    <t xml:space="preserve">      4.9. Egyéb pénzügyi műveletek bevételei</t>
  </si>
  <si>
    <t>B12-16</t>
  </si>
  <si>
    <t xml:space="preserve">      1.2. Egyéb működési célú támogatások</t>
  </si>
  <si>
    <t>B22-25</t>
  </si>
  <si>
    <t xml:space="preserve">      2.2. Egyéb felhalmozási célú támogatások</t>
  </si>
  <si>
    <t>B410</t>
  </si>
  <si>
    <t xml:space="preserve">      4.10. Egyéb működési bevételek</t>
  </si>
  <si>
    <t xml:space="preserve">      3.4. Vagyoni típusú adók (építményadó, telekadó)</t>
  </si>
  <si>
    <t xml:space="preserve">      3.5. Termékek és szolgáltatások adói (iparűzési adó, gépjárműadó)</t>
  </si>
  <si>
    <t>B5</t>
  </si>
  <si>
    <t>B51</t>
  </si>
  <si>
    <t>B52</t>
  </si>
  <si>
    <t>B53</t>
  </si>
  <si>
    <t>B54</t>
  </si>
  <si>
    <t>B55</t>
  </si>
  <si>
    <t xml:space="preserve">      5.1. Immateriális javak értékesítése</t>
  </si>
  <si>
    <t xml:space="preserve">      5.2. Ingatlanok értékesítése</t>
  </si>
  <si>
    <t xml:space="preserve">      5.3. Egyéb tárgyi eszközök értékesítése</t>
  </si>
  <si>
    <t xml:space="preserve">      5.4. Részesedések értékesítése</t>
  </si>
  <si>
    <t xml:space="preserve">      5.5. Részesedések megszűnéséhez kapcsolódó bevételek</t>
  </si>
  <si>
    <t>B6</t>
  </si>
  <si>
    <t>B7</t>
  </si>
  <si>
    <r>
      <t xml:space="preserve">B8
</t>
    </r>
    <r>
      <rPr>
        <sz val="6"/>
        <rFont val="Times New Roman"/>
        <family val="1"/>
        <charset val="238"/>
      </rPr>
      <t>(B81-B83)</t>
    </r>
  </si>
  <si>
    <t xml:space="preserve">      6.1. Működési célú garancia- és kezességvállalásból származó megtérülések</t>
  </si>
  <si>
    <t xml:space="preserve">      6.2. Működési célú visszatérítendő támogatások, kölcsönök visszatérülése</t>
  </si>
  <si>
    <t xml:space="preserve">      6.3. Egyéb működési célú átvett pénzeszközök</t>
  </si>
  <si>
    <t>B61</t>
  </si>
  <si>
    <t>B62</t>
  </si>
  <si>
    <t>B63</t>
  </si>
  <si>
    <t>B71</t>
  </si>
  <si>
    <t>B72</t>
  </si>
  <si>
    <t>B73</t>
  </si>
  <si>
    <t xml:space="preserve">      7.1. Felhalmozási célú garancia- és kezességvállalásból származó megtérülések</t>
  </si>
  <si>
    <t xml:space="preserve">      7.2. Felhalmozási célú visszatérítendő támogatások, kölcsönök visszatérülése</t>
  </si>
  <si>
    <t xml:space="preserve">      7.3. Felhalmozási célú átvett pénzeszközök</t>
  </si>
  <si>
    <t>K1-K5</t>
  </si>
  <si>
    <t>K6-K8</t>
  </si>
  <si>
    <t>K9</t>
  </si>
  <si>
    <t>Működési bevételek - kiadások</t>
  </si>
  <si>
    <t>Felhalmozási bevételek - kiadások</t>
  </si>
  <si>
    <t>B111</t>
  </si>
  <si>
    <t>B112</t>
  </si>
  <si>
    <t>B113</t>
  </si>
  <si>
    <t>B114</t>
  </si>
  <si>
    <t>B115</t>
  </si>
  <si>
    <t xml:space="preserve">B116 </t>
  </si>
  <si>
    <t>K1</t>
  </si>
  <si>
    <t>K2</t>
  </si>
  <si>
    <t>K3</t>
  </si>
  <si>
    <t>K4</t>
  </si>
  <si>
    <t>K5</t>
  </si>
  <si>
    <t>I. Működési célú támogatások államháztartáson belülről</t>
  </si>
  <si>
    <t>II. Felhalmozási célú támogatások államháztartáson belülről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</si>
  <si>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</si>
  <si>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</si>
  <si>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</si>
  <si>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</si>
  <si>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 xml:space="preserve">II. Felhalmozási kiadások </t>
  </si>
  <si>
    <t>II. Közhatalmi bevételek</t>
  </si>
  <si>
    <t xml:space="preserve">     2. Termékek és szolgáltatások adói</t>
  </si>
  <si>
    <t xml:space="preserve">          2.1. Iparűzési adó</t>
  </si>
  <si>
    <t>III. Működési bevételek</t>
  </si>
  <si>
    <t xml:space="preserve">      1. Készletértékesítés ellenértéke</t>
  </si>
  <si>
    <t xml:space="preserve">      2. Szolgáltatások ellenértéke</t>
  </si>
  <si>
    <t xml:space="preserve">      3. Közvetített szolgáltatások ellenértéke</t>
  </si>
  <si>
    <t xml:space="preserve">      4. Tulajdonosi bevételek</t>
  </si>
  <si>
    <t xml:space="preserve">      5. Ellátási díjak</t>
  </si>
  <si>
    <t xml:space="preserve">      6. Kiszámlázott ÁFA</t>
  </si>
  <si>
    <t xml:space="preserve">      7. ÁFA visszatérítése</t>
  </si>
  <si>
    <t xml:space="preserve">      9. Egyéb pénzügyi műveletek bevételei</t>
  </si>
  <si>
    <t>IV. Működési célú átvett pénzeszközök</t>
  </si>
  <si>
    <t xml:space="preserve">      1. Működési célú garancia- és kezességvállalásból származó megtérülések</t>
  </si>
  <si>
    <t xml:space="preserve">      2. Működési célú visszatérítendő támogatások, kölcsönök visszatérülése</t>
  </si>
  <si>
    <t xml:space="preserve">      3. Egyéb működési célú átvett pénzeszközök</t>
  </si>
  <si>
    <t>I. Személyi juttatások</t>
  </si>
  <si>
    <t>II. Munkaadót terhelő járulékok és szociális hozzájárulási adó</t>
  </si>
  <si>
    <t>III. Dologi kiadások</t>
  </si>
  <si>
    <t>I. Felhalmozási célú támogatások államháztartáson belülről</t>
  </si>
  <si>
    <t>II. Felhalmozási bevételek</t>
  </si>
  <si>
    <t xml:space="preserve">      4. Részesedések értékesítése</t>
  </si>
  <si>
    <t xml:space="preserve">      5. Részesedések megszűnéséhez kapcsolódó bevételek</t>
  </si>
  <si>
    <t>K6</t>
  </si>
  <si>
    <t>5. melléklet</t>
  </si>
  <si>
    <t>6. melléklet</t>
  </si>
  <si>
    <t>7. melléklet</t>
  </si>
  <si>
    <t>Kiküldetések, reklám- és propagandakiadások</t>
  </si>
  <si>
    <t>Különféle befizetések és egyéb dologi kiadások</t>
  </si>
  <si>
    <t>K 31</t>
  </si>
  <si>
    <t>K 32</t>
  </si>
  <si>
    <t>K 33</t>
  </si>
  <si>
    <t>K 331</t>
  </si>
  <si>
    <t>K 34</t>
  </si>
  <si>
    <t>K 35</t>
  </si>
  <si>
    <t>Készletbeszerzés</t>
  </si>
  <si>
    <t xml:space="preserve">     Üzemeltetési anyagok</t>
  </si>
  <si>
    <t>Kommunikációs szolgáltatások</t>
  </si>
  <si>
    <t xml:space="preserve">      Informatikai szolgáltatások</t>
  </si>
  <si>
    <t>Szolgáltatási kiadások</t>
  </si>
  <si>
    <t xml:space="preserve">    Működési célú előzetesen felszámított ÁFA</t>
  </si>
  <si>
    <t xml:space="preserve">    Fizetendő ÁFA</t>
  </si>
  <si>
    <t xml:space="preserve">    Kamatkiadások</t>
  </si>
  <si>
    <t xml:space="preserve">    Egyéb pénzügyi műveletek kiadásai</t>
  </si>
  <si>
    <t xml:space="preserve">K4 </t>
  </si>
  <si>
    <t xml:space="preserve">K3 </t>
  </si>
  <si>
    <t>Személyi juttatások összesen</t>
  </si>
  <si>
    <t>K11</t>
  </si>
  <si>
    <t>Foglalkoztatottak személyi juttatásai</t>
  </si>
  <si>
    <t>K12</t>
  </si>
  <si>
    <t xml:space="preserve">     Kiküldetések </t>
  </si>
  <si>
    <t xml:space="preserve">     Egyéb szolgáltatások</t>
  </si>
  <si>
    <t xml:space="preserve">     Szakmai tevékenységet segítő szolgáltatások</t>
  </si>
  <si>
    <t xml:space="preserve">     Közvetített szolgáltatások</t>
  </si>
  <si>
    <t xml:space="preserve">     Karbantartás, kisjavítás</t>
  </si>
  <si>
    <t xml:space="preserve">     Közüzemi díjak</t>
  </si>
  <si>
    <t xml:space="preserve">        Hajtó- és kenőanyagok</t>
  </si>
  <si>
    <t xml:space="preserve">        Tisztítószer</t>
  </si>
  <si>
    <t xml:space="preserve">        Könyvvizsgálat</t>
  </si>
  <si>
    <t xml:space="preserve">     Reklám- és propagandakiadások </t>
  </si>
  <si>
    <t xml:space="preserve">        Betegszállítás</t>
  </si>
  <si>
    <t>áfa</t>
  </si>
  <si>
    <t>(önkormányzat)</t>
  </si>
  <si>
    <t xml:space="preserve">     Vásárolt élelmezés</t>
  </si>
  <si>
    <t xml:space="preserve">        Munkaruha</t>
  </si>
  <si>
    <t xml:space="preserve">K5 </t>
  </si>
  <si>
    <t xml:space="preserve">K6 </t>
  </si>
  <si>
    <t xml:space="preserve">        Foglalkozás- egészségügyi alapellátás</t>
  </si>
  <si>
    <t>011220 Adó-, vám- és jövedéki igazgatás</t>
  </si>
  <si>
    <t xml:space="preserve">        Jogi szolgáltatás</t>
  </si>
  <si>
    <t xml:space="preserve">         Telefonközpont szolgáltatás</t>
  </si>
  <si>
    <t xml:space="preserve">         Telefonközpont eseti díj</t>
  </si>
  <si>
    <r>
      <t xml:space="preserve">     Szakmai anyagok beszerzése </t>
    </r>
    <r>
      <rPr>
        <sz val="8"/>
        <rFont val="Times New Roman"/>
        <family val="1"/>
        <charset val="238"/>
      </rPr>
      <t>(könyv, folyóirat, napilap, egyéb)</t>
    </r>
  </si>
  <si>
    <t xml:space="preserve">      1. Hazai forrásból származó bevételek</t>
  </si>
  <si>
    <t xml:space="preserve">      2. Európai Uniós forrásból származó bevételek</t>
  </si>
  <si>
    <t xml:space="preserve">               Óvodai nevelés </t>
  </si>
  <si>
    <r>
      <t>Külső személyi juttatások</t>
    </r>
    <r>
      <rPr>
        <sz val="10"/>
        <rFont val="Times New Roman"/>
        <family val="1"/>
        <charset val="238"/>
      </rPr>
      <t xml:space="preserve"> </t>
    </r>
  </si>
  <si>
    <t xml:space="preserve">        Nyomtatvány, papír, irodaszer</t>
  </si>
  <si>
    <t xml:space="preserve">V. Egyéb működési célú kiadások </t>
  </si>
  <si>
    <t>egyenleg</t>
  </si>
  <si>
    <t xml:space="preserve">      1. Beruházások</t>
  </si>
  <si>
    <t xml:space="preserve">      2. Felújítások</t>
  </si>
  <si>
    <t xml:space="preserve">      3. Egyéb felhalmozási célú kiadások</t>
  </si>
  <si>
    <t xml:space="preserve">        Postaköltség</t>
  </si>
  <si>
    <t xml:space="preserve">A. K ö l t s é g v e t é s i   b e v é t e l e k </t>
  </si>
  <si>
    <t xml:space="preserve">B. F i n a n s z í r o z á s i   b e v é t e l e k </t>
  </si>
  <si>
    <t xml:space="preserve">A. K ö l t s é g v e t é s i   k i a d á s o k </t>
  </si>
  <si>
    <t xml:space="preserve">   1. Önkormányzati beruházások</t>
  </si>
  <si>
    <t xml:space="preserve">     2. Hazai támogatásból, saját forrásból megvalósuló felújítások</t>
  </si>
  <si>
    <t xml:space="preserve">B. F i n a n s z í r o z á s i   k i a d á s o k </t>
  </si>
  <si>
    <t xml:space="preserve">      1.2. Hazai támogatásból, saját forrásból megvalósítandó beruházások</t>
  </si>
  <si>
    <t xml:space="preserve">      1.1. Európai Uniós támogatásból megvalósuló beruházások</t>
  </si>
  <si>
    <t xml:space="preserve">A. K ö l t s é g v e t é s i  b e v é t e l e k </t>
  </si>
  <si>
    <t xml:space="preserve">A. K ö l t s é g v e t é s i  k i a d á s o k </t>
  </si>
  <si>
    <t xml:space="preserve">B. F i n a n s z í r o z á s i  b e v é t e l e k </t>
  </si>
  <si>
    <t>B. F i n a n s z í r o z á s i  k i a d á s o k</t>
  </si>
  <si>
    <t>K1-8</t>
  </si>
  <si>
    <t>B1-7</t>
  </si>
  <si>
    <t>K8</t>
  </si>
  <si>
    <t>K7</t>
  </si>
  <si>
    <t>Felhalmozási kiadások
 (beruházás, felújítás, felh. pénzeszk. átadás)</t>
  </si>
  <si>
    <t>Tartalék (működés + felhalmozás)</t>
  </si>
  <si>
    <t>8. melléklet</t>
  </si>
  <si>
    <t>Adósságot keletkeztető ügyletnél figyelembe veendő bevételek (Stabilitási tv. 45.§ (1) a., 10.§ (5) bek. szerint)</t>
  </si>
  <si>
    <t>12. melléklet</t>
  </si>
  <si>
    <t xml:space="preserve">   Közhatalmi bevételek</t>
  </si>
  <si>
    <t xml:space="preserve">   Működési bevételek</t>
  </si>
  <si>
    <t xml:space="preserve">   Működési célú átvett pénzeszközök</t>
  </si>
  <si>
    <t xml:space="preserve">   Felhalmozási bevételek</t>
  </si>
  <si>
    <t>Önerő</t>
  </si>
  <si>
    <t>Projekt megvalósítás költsége mindösszesen</t>
  </si>
  <si>
    <t>Működési célú bevételek/közhatalmi bevételek</t>
  </si>
  <si>
    <t>Felhalmozási bevételek, átvett pénzeszközök</t>
  </si>
  <si>
    <t>Működési célú tartalék</t>
  </si>
  <si>
    <t>Várható/figyelembe vehető saját bevételek</t>
  </si>
  <si>
    <t>Többéves kihatással járó feladatok</t>
  </si>
  <si>
    <t>Felhalmozási célú bevételek</t>
  </si>
  <si>
    <t>Bevételek összesen</t>
  </si>
  <si>
    <t>Önkormányzati bevételek - kiadások</t>
  </si>
  <si>
    <t>Felhalmozási bevételek összesen</t>
  </si>
  <si>
    <t>Működési bevételek összesen</t>
  </si>
  <si>
    <t>Felhalmozási  kiadások összesen</t>
  </si>
  <si>
    <t xml:space="preserve">  1. Belföldi finanszírozás kiadásai</t>
  </si>
  <si>
    <t xml:space="preserve">      1.2. Felhalmozási célú hitel-, kölcsöntörlesztés</t>
  </si>
  <si>
    <t xml:space="preserve">  2. Külföldi finanszírozás kiadásai</t>
  </si>
  <si>
    <t xml:space="preserve">  3. Adóssághoz nem kapcsolódó származékos ügyletek kiadásai</t>
  </si>
  <si>
    <t>Önkormány
zati önerő
 %</t>
  </si>
  <si>
    <r>
      <t xml:space="preserve">     2. Intézményi beruházások</t>
    </r>
    <r>
      <rPr>
        <sz val="10"/>
        <rFont val="Times New Roman"/>
        <family val="1"/>
        <charset val="238"/>
      </rPr>
      <t xml:space="preserve"> </t>
    </r>
  </si>
  <si>
    <t>B411</t>
  </si>
  <si>
    <t>K914</t>
  </si>
  <si>
    <t>Felh. célú támogatások áht-n belülről</t>
  </si>
  <si>
    <t xml:space="preserve">    2. Háztartásoknak </t>
  </si>
  <si>
    <t xml:space="preserve">III. Felhalmozási célú átvett pénzeszközök </t>
  </si>
  <si>
    <t>ÁHB megelőlegezések visszafizetése</t>
  </si>
  <si>
    <t xml:space="preserve">     10. Biztosító által fizetett kártérítés</t>
  </si>
  <si>
    <t>B65</t>
  </si>
  <si>
    <t xml:space="preserve">    Egészségügyi hozzájárulás</t>
  </si>
  <si>
    <t xml:space="preserve">Balatonföldvár Város Önkormányzata </t>
  </si>
  <si>
    <t xml:space="preserve">      7.1. Felhalmozási célú visszatérítendő támogatások, kölcsönök visszatérülése ÁH-n kívülről</t>
  </si>
  <si>
    <t>nettó</t>
  </si>
  <si>
    <t>Bajor Gizi K. H. - konyha és pince felújítása - közbeszerzés</t>
  </si>
  <si>
    <t>Bajor Gizi K. H. - konyha és pince felújítása - műszaki ellenőrzés</t>
  </si>
  <si>
    <t xml:space="preserve">     Bajor Gizi Közösségi Ház karbantartás (hőszivattyú)</t>
  </si>
  <si>
    <t xml:space="preserve">       1.1. Önkormányzat által igényelt állami támogatás továbbadása Többcélú Társulásnak</t>
  </si>
  <si>
    <t>(Balatonföldvári Közös Önkormányzati Hivatal)</t>
  </si>
  <si>
    <t xml:space="preserve">        Fizikoterápiás szolgáltatás </t>
  </si>
  <si>
    <t xml:space="preserve">      1. Immateriális javak értékesítése </t>
  </si>
  <si>
    <t>Beruházások, felújítások, egyéb felh. kiadások</t>
  </si>
  <si>
    <t>Egyéb működési célú kiadások (támogatások, átadások)</t>
  </si>
  <si>
    <t xml:space="preserve">        ÁHB megelőlegezések visszafizetése</t>
  </si>
  <si>
    <t>Saját bevétel</t>
  </si>
  <si>
    <t xml:space="preserve">     Önkormányzat</t>
  </si>
  <si>
    <t xml:space="preserve">      Önkormányzat</t>
  </si>
  <si>
    <t xml:space="preserve">               Szennyvíztársulás működési hozzájárulás</t>
  </si>
  <si>
    <r>
      <t xml:space="preserve">       1.2. Pénzeszközátadás társulásban közösen ellátott feladatokra
               </t>
    </r>
    <r>
      <rPr>
        <sz val="10"/>
        <rFont val="Times New Roman"/>
        <family val="1"/>
        <charset val="238"/>
      </rPr>
      <t>(TKT felosztás külön táblán bemutatva)</t>
    </r>
  </si>
  <si>
    <t>intézményfinanszírozás</t>
  </si>
  <si>
    <t>Működési célú átvett pénzeszközök</t>
  </si>
  <si>
    <t>Működési bevételek</t>
  </si>
  <si>
    <t>önkormányzati bevételek nettósítva</t>
  </si>
  <si>
    <t>önkormányzati kiadások nettósítva</t>
  </si>
  <si>
    <t>ezer Ft</t>
  </si>
  <si>
    <t xml:space="preserve">                 Működési célú maradvány</t>
  </si>
  <si>
    <t xml:space="preserve">                 Felhalmozási célú maradvány</t>
  </si>
  <si>
    <t>Működési célú maradvány</t>
  </si>
  <si>
    <t>Intézmény
finanszírozás</t>
  </si>
  <si>
    <t>Belföldi finanszírozás
kiadásai</t>
  </si>
  <si>
    <t>Felhalmozási célú
maradvány</t>
  </si>
  <si>
    <t xml:space="preserve">         1.1. Előző évi felhalmozási célú maradvány igénybevétele</t>
  </si>
  <si>
    <t>Előző évi maradvány</t>
  </si>
  <si>
    <t xml:space="preserve">   Előző évi maradvány</t>
  </si>
  <si>
    <t xml:space="preserve">            Intézményfinanszírozás módosítása Művelődési ház időarányos állami támogatása miatt</t>
  </si>
  <si>
    <t xml:space="preserve">   1. Belföldi finanszírozás bevételei</t>
  </si>
  <si>
    <t xml:space="preserve">        1.1. Előző év költségvetési maradványának igénybevétele</t>
  </si>
  <si>
    <t>Munkaadót terhelő jár., szoc. hozzájárulási adó</t>
  </si>
  <si>
    <t>IV. Ellátottak pénzbeli juttatásai</t>
  </si>
  <si>
    <t>Ellátottak pénzbeli juttatásai</t>
  </si>
  <si>
    <t xml:space="preserve">     Közlekedési költségtérítés (munkábajárás)</t>
  </si>
  <si>
    <t xml:space="preserve">        Bankköltség</t>
  </si>
  <si>
    <t xml:space="preserve">        Földvár TV (Elek Dezső)</t>
  </si>
  <si>
    <t xml:space="preserve">        Informatikai kellékek (pl. festékpatron)</t>
  </si>
  <si>
    <t xml:space="preserve">          1.1. Építményadó                                       </t>
  </si>
  <si>
    <t xml:space="preserve">          2.2. Gépjárműadó (40%)</t>
  </si>
  <si>
    <t xml:space="preserve">      Intézmény (KÖH)</t>
  </si>
  <si>
    <t xml:space="preserve">     Intézmény (KÖH)</t>
  </si>
  <si>
    <t xml:space="preserve">               Gyermekétkeztetési feladatok támogatása</t>
  </si>
  <si>
    <t xml:space="preserve">               Család és gyermekjóléti feladatok, házi segítségnyújtás támogatása </t>
  </si>
  <si>
    <t xml:space="preserve">           Egyéb eszközök javítása, karbantartása</t>
  </si>
  <si>
    <t xml:space="preserve">      2. Önkormányzati intézmények működési kiadásai (hivatal)</t>
  </si>
  <si>
    <t xml:space="preserve">        Foglalkozás eü alapellátás</t>
  </si>
  <si>
    <t xml:space="preserve">    Költségtérítés (polgármester, alpolgármesterek)</t>
  </si>
  <si>
    <t xml:space="preserve">               Pénzügyi Gondnokság konyha működtetés, karbantartás (intézményi étkeztetés)</t>
  </si>
  <si>
    <t xml:space="preserve">                     Kilátó</t>
  </si>
  <si>
    <t xml:space="preserve">                                Működési támogatás</t>
  </si>
  <si>
    <t>Feladat
finanszírozás
(intézményi)</t>
  </si>
  <si>
    <t>Egyéb átvett pénzeszköz</t>
  </si>
  <si>
    <t>Finanszírozási bevétel 
(intézményi)</t>
  </si>
  <si>
    <t xml:space="preserve">    Felh. célú támogatások áh-n belülről</t>
  </si>
  <si>
    <t xml:space="preserve">   Felhalmozási célú átvett pénzeszközök</t>
  </si>
  <si>
    <t xml:space="preserve">    Működési célú támogatások áht-n belülről</t>
  </si>
  <si>
    <t>Felhalmozási célú hitel</t>
  </si>
  <si>
    <t xml:space="preserve">Beruházásokhoz, felújításokhoz kapcsolódó, </t>
  </si>
  <si>
    <t>ezerFt</t>
  </si>
  <si>
    <t xml:space="preserve">    Készenléti, ügyeleti, helyettesítési díj, túlóra</t>
  </si>
  <si>
    <t xml:space="preserve">Ellátottak pénzbeli juttatásai </t>
  </si>
  <si>
    <t xml:space="preserve">Balatonföldvár "Zöld város program" </t>
  </si>
  <si>
    <t xml:space="preserve">TOP-2.1.2-15-SO1-2016-00002  </t>
  </si>
  <si>
    <t>100</t>
  </si>
  <si>
    <t>B75</t>
  </si>
  <si>
    <r>
      <t xml:space="preserve">             Előadó és Alkotóművészetért Alapítvány</t>
    </r>
    <r>
      <rPr>
        <sz val="8"/>
        <rFont val="Times New Roman"/>
        <family val="1"/>
        <charset val="238"/>
      </rPr>
      <t xml:space="preserve"> (állami támogatás továbbadása közszolg. szerz. szerint)</t>
    </r>
  </si>
  <si>
    <t>Beszámoló előtti ei.mód.</t>
  </si>
  <si>
    <t xml:space="preserve">        1.2. ÁHB megelőlegezések bevétele</t>
  </si>
  <si>
    <t>Zöld város</t>
  </si>
  <si>
    <t xml:space="preserve">        Szúnyogirtás</t>
  </si>
  <si>
    <t xml:space="preserve">Beruházások </t>
  </si>
  <si>
    <t xml:space="preserve">          1.2. Kommunális adó                                      </t>
  </si>
  <si>
    <t xml:space="preserve">          1.3. Telekadó                                                   </t>
  </si>
  <si>
    <t>KÖH</t>
  </si>
  <si>
    <t>B8</t>
  </si>
  <si>
    <t>I. Költségvetési bevételek belső finanszírozására szolgáló eszközök</t>
  </si>
  <si>
    <t xml:space="preserve">    Előző évi pénzmaradvány igénybevétele</t>
  </si>
  <si>
    <t xml:space="preserve">   ÁHB megelőlegezések bevétele</t>
  </si>
  <si>
    <t>II. Költségvetési bevételek külső finanszírozására szolgáló eszközök</t>
  </si>
  <si>
    <t>K1-K8</t>
  </si>
  <si>
    <t>K1101</t>
  </si>
  <si>
    <t>K1113</t>
  </si>
  <si>
    <t>K122</t>
  </si>
  <si>
    <t>K331</t>
  </si>
  <si>
    <t>K336</t>
  </si>
  <si>
    <t>K337</t>
  </si>
  <si>
    <t>K351</t>
  </si>
  <si>
    <t>K355</t>
  </si>
  <si>
    <t>K506</t>
  </si>
  <si>
    <t>K512</t>
  </si>
  <si>
    <t>K513</t>
  </si>
  <si>
    <t xml:space="preserve">     Felhalmozási célú céltartalék </t>
  </si>
  <si>
    <t>K71</t>
  </si>
  <si>
    <t>K123</t>
  </si>
  <si>
    <t xml:space="preserve">      " Kulipintyó villa turisztikai hasznosítása" kivitelezés + eszköz  (átcsop. K6-ra)</t>
  </si>
  <si>
    <t xml:space="preserve">      " Nyugati strand turisztikai infrastruktúrájának fejl." kivitelezés (átcsop. K6-ra)</t>
  </si>
  <si>
    <t xml:space="preserve">       Nyilvános illemhely útszakasz burkolása</t>
  </si>
  <si>
    <t>K1107</t>
  </si>
  <si>
    <t>B351</t>
  </si>
  <si>
    <t>K352</t>
  </si>
  <si>
    <t>K1109</t>
  </si>
  <si>
    <t>K1106</t>
  </si>
  <si>
    <t xml:space="preserve">        Műszaki jellegű szolgáltatások</t>
  </si>
  <si>
    <t xml:space="preserve">        Gyermek- és felnőtt eü szolgáltatás</t>
  </si>
  <si>
    <t xml:space="preserve">               EFOP projekt</t>
  </si>
  <si>
    <t>bruttó</t>
  </si>
  <si>
    <t xml:space="preserve">               Hivatal energetikai felújítása</t>
  </si>
  <si>
    <r>
      <t xml:space="preserve">        Beruházásokhoz kapcsolódó előkészítési 
        és egyéb járulékos költségek, dologi kiadások* </t>
    </r>
    <r>
      <rPr>
        <b/>
        <sz val="8"/>
        <rFont val="Times New Roman"/>
        <family val="1"/>
        <charset val="238"/>
      </rPr>
      <t xml:space="preserve">alább </t>
    </r>
  </si>
  <si>
    <t xml:space="preserve">             TDM Egyesület</t>
  </si>
  <si>
    <t xml:space="preserve">               Működési célú maradvány</t>
  </si>
  <si>
    <t xml:space="preserve">        Felhalmozási célú átvett pénzeszközök (Nonprofit Kft. hiteltörlesztés)</t>
  </si>
  <si>
    <t xml:space="preserve">                  Zöld Város projekt</t>
  </si>
  <si>
    <t xml:space="preserve">                  Hivatal energetikai felújítása</t>
  </si>
  <si>
    <t xml:space="preserve">   Számítástechnikai szoftverek,  egyéb tárgyi e. beszerzése </t>
  </si>
  <si>
    <t xml:space="preserve"> Állami támogatás</t>
  </si>
  <si>
    <t>Futamidő (fizetési kötelezettség, tőke + kamat)</t>
  </si>
  <si>
    <t>Önkormány
zati önerő összege
beadott pályázat szerint</t>
  </si>
  <si>
    <t xml:space="preserve">      1.3.  Meglévő részesedések növeléséhez kapcsolódó kiadások</t>
  </si>
  <si>
    <t xml:space="preserve">             Közös Önkormányzati Hivatal (szoftverek, számítástech. és egyéb tárgyi eszk. beszerzés)</t>
  </si>
  <si>
    <t>Átvett pénzeszköz (TKT)</t>
  </si>
  <si>
    <t>Átvett pénzeszköz (közös hivatali önkormányzatok)</t>
  </si>
  <si>
    <t xml:space="preserve">    Kamatkiadások (hitelkamat)</t>
  </si>
  <si>
    <r>
      <t xml:space="preserve">      Egyéb kommunikációs szolgáltatások</t>
    </r>
    <r>
      <rPr>
        <sz val="8"/>
        <rFont val="Times New Roman"/>
        <family val="1"/>
        <charset val="238"/>
      </rPr>
      <t xml:space="preserve"> (telefon)</t>
    </r>
  </si>
  <si>
    <t xml:space="preserve">    Fizetendő ÁFA ** alább részletezve</t>
  </si>
  <si>
    <t xml:space="preserve">        Különféle adók, díjak, adójellegű befiz., hj.-ok, egyéb dologi</t>
  </si>
  <si>
    <t>Egyéb</t>
  </si>
  <si>
    <t>működési többlet (pénzmaradvány, tartalék nélkül)</t>
  </si>
  <si>
    <t xml:space="preserve">             Összpróba Alapítvány</t>
  </si>
  <si>
    <t>Adósságot keletkeztető ügylet
(kiadás)
Stabilitási tv. 8.§ (2) bek.</t>
  </si>
  <si>
    <t>Tőke</t>
  </si>
  <si>
    <t>Kamat</t>
  </si>
  <si>
    <t>Fejlesztési célú hitel (közterületi parkolók kialakítása)</t>
  </si>
  <si>
    <t>Fejlesztési célú hitel (útfelújítás)</t>
  </si>
  <si>
    <t>K1103</t>
  </si>
  <si>
    <t>B354</t>
  </si>
  <si>
    <t>B355</t>
  </si>
  <si>
    <t xml:space="preserve">     Szociális étkeztetés csomagolás</t>
  </si>
  <si>
    <t xml:space="preserve">      Önerős felújítások elmaradása</t>
  </si>
  <si>
    <t xml:space="preserve"> </t>
  </si>
  <si>
    <t>1. melléklet</t>
  </si>
  <si>
    <t>2. melléklet</t>
  </si>
  <si>
    <t>3. melléklet</t>
  </si>
  <si>
    <t>4. melléklet</t>
  </si>
  <si>
    <t>9. melléklet</t>
  </si>
  <si>
    <t>10. melléklet</t>
  </si>
  <si>
    <r>
      <rPr>
        <b/>
        <i/>
        <sz val="12"/>
        <rFont val="Arial CE"/>
        <charset val="238"/>
      </rPr>
      <t xml:space="preserve"> </t>
    </r>
    <r>
      <rPr>
        <b/>
        <i/>
        <u/>
        <sz val="12"/>
        <rFont val="Arial CE"/>
        <charset val="238"/>
      </rPr>
      <t xml:space="preserve">Balatonföldvár Város Önkormányzatának </t>
    </r>
  </si>
  <si>
    <t>K312</t>
  </si>
  <si>
    <t xml:space="preserve">     Járulékok </t>
  </si>
  <si>
    <t xml:space="preserve">     2019. évi normatíva elszámolásból adódó többlettámogatás továbbadása</t>
  </si>
  <si>
    <t xml:space="preserve">     Gépjárműadó központi elvonás </t>
  </si>
  <si>
    <t xml:space="preserve">     Iparűzési adó</t>
  </si>
  <si>
    <t>K341</t>
  </si>
  <si>
    <t xml:space="preserve">     2. Egyéb működési célú pénzeszközátadás </t>
  </si>
  <si>
    <t>intézmény finanszírozás növelése</t>
  </si>
  <si>
    <t xml:space="preserve">    1. A helyi önkormányzatok általános működésének és ágazati feladatainak támogatása</t>
  </si>
  <si>
    <t xml:space="preserve">        1.1. A települési önkormányzatok működésének általános támogatása</t>
  </si>
  <si>
    <t xml:space="preserve">           1.1.1. A települési önkormányzatok működésének támogatása</t>
  </si>
  <si>
    <t xml:space="preserve">              1.1.1.1. Önkormányzati hivatal működésének támogatása</t>
  </si>
  <si>
    <t xml:space="preserve">              1.1.1.6. Egyéb önkormányzati feladatok támogatása </t>
  </si>
  <si>
    <t xml:space="preserve">              1.1.1.7. Lakott külterülettel kapcsolatos feladatok támogatása</t>
  </si>
  <si>
    <t xml:space="preserve">           1.1.2. Nem közművel összegyűjtött háztartási szennyvíz ártalmatlanítása</t>
  </si>
  <si>
    <t xml:space="preserve">           1.1.3. Határátkelőhelyek fenntartásának támogatása</t>
  </si>
  <si>
    <t xml:space="preserve">          1.3.1. A települési önkormányzatok szociális és gyermekjóléti feladatainak egyéb támogatása</t>
  </si>
  <si>
    <t xml:space="preserve">          1.3.2. Egyes szociális és gyermekjóléti feladatok támogatása</t>
  </si>
  <si>
    <t xml:space="preserve">             1.3.2.3. Szociális étkeztetés </t>
  </si>
  <si>
    <t xml:space="preserve">             1.3.2.4. Házi segítségnyújtás </t>
  </si>
  <si>
    <t xml:space="preserve">             1.3.2.5. Falugondnoki vagy tanyagondnoki szolgáltatás</t>
  </si>
  <si>
    <t xml:space="preserve">       1.4. A települési önkormányzatok gyermekétkeztetési feladatainak támogatása</t>
  </si>
  <si>
    <t xml:space="preserve">          1.4.1. Intézményi gyermekétkeztetés támogatása</t>
  </si>
  <si>
    <t xml:space="preserve">             1.4.1.1. Intézményi gyermekétkeztetés - bértámogatás (TKT)</t>
  </si>
  <si>
    <t xml:space="preserve">             1.4.1.2. Intézményi gyermekétkeztetés - üzemeltetési támogatás (TKT)</t>
  </si>
  <si>
    <t xml:space="preserve">          1.4.2. Szünidei étkeztetés támogatása </t>
  </si>
  <si>
    <t xml:space="preserve">       1.5. A települési önkormányzatok kulturális feladatainak támogatása</t>
  </si>
  <si>
    <t xml:space="preserve">          2.1.4. A nem közművel összegyűjtött háztartási szennyvíz ideiglenes begyűjtésére kijelölt közérdekű közszolgáltató meg nem térülő költségeinek támogatása</t>
  </si>
  <si>
    <t xml:space="preserve">      Egyéb működési célú támogatások államháztartáson belülről </t>
  </si>
  <si>
    <t xml:space="preserve">                1.3.2.3.1. Szociális étkeztetés - önálló feladatellátás</t>
  </si>
  <si>
    <t xml:space="preserve">              1.1.1.2. Településüzemeltetés - zöldterület-gazdálkodás támogatása (Nonprofit Kft.)</t>
  </si>
  <si>
    <t xml:space="preserve">              1.1.1.4. Településüzemeltetés - köztemető támogatása (Nonprofit Kft.)</t>
  </si>
  <si>
    <t xml:space="preserve">              1.1.1.5. Településüzemeltetés - közutak támogatása (Nonprofit Kft.)</t>
  </si>
  <si>
    <t>Állami támogatás</t>
  </si>
  <si>
    <t xml:space="preserve">          Pénzeszközátvétel Többcélú Társulástól (Hivatal) </t>
  </si>
  <si>
    <t xml:space="preserve">        Szociális célú tűzifa besz. </t>
  </si>
  <si>
    <t>Fizetendő áfa **</t>
  </si>
  <si>
    <t>működésben jelentkező költségek tételesen *</t>
  </si>
  <si>
    <t>korrekció (beruházásokhoz kapcsolódó működésben jelentkező kapcsolódó kiadások)</t>
  </si>
  <si>
    <t>korrekció (beruházások fordított áfa fizetési kötelezettsége)</t>
  </si>
  <si>
    <t xml:space="preserve">           Ebből felhalmozási célú céltartalék</t>
  </si>
  <si>
    <t xml:space="preserve">          2.2. Idegenforgalmi adó</t>
  </si>
  <si>
    <t xml:space="preserve">        Főszerkesztői feladatok ellátása</t>
  </si>
  <si>
    <t>működési egyenleg</t>
  </si>
  <si>
    <t>Települések</t>
  </si>
  <si>
    <t>Lakosságszám 
(fő)</t>
  </si>
  <si>
    <t xml:space="preserve">TKT </t>
  </si>
  <si>
    <t>Társulási díj   
500Ft/fő/év</t>
  </si>
  <si>
    <t>TKT működési h.jár</t>
  </si>
  <si>
    <t xml:space="preserve">Labor  </t>
  </si>
  <si>
    <t>TKT
összesen</t>
  </si>
  <si>
    <t xml:space="preserve">BTKT TV </t>
  </si>
  <si>
    <t>JHS</t>
  </si>
  <si>
    <t xml:space="preserve">Családseg.,Gyerm.jólét </t>
  </si>
  <si>
    <t xml:space="preserve">Óvodák (Bf. Bálv.) </t>
  </si>
  <si>
    <t xml:space="preserve">PÜG iroda, étkeztetés </t>
  </si>
  <si>
    <t xml:space="preserve">Intézmények
összesen                         </t>
  </si>
  <si>
    <t>különb
ség</t>
  </si>
  <si>
    <t>B.földvár</t>
  </si>
  <si>
    <t>B.őszöd</t>
  </si>
  <si>
    <t>B.szárszó</t>
  </si>
  <si>
    <t>B.szemes</t>
  </si>
  <si>
    <t>Bálványos</t>
  </si>
  <si>
    <t>Kereki</t>
  </si>
  <si>
    <t>Kőröshegy</t>
  </si>
  <si>
    <t>Kötcse</t>
  </si>
  <si>
    <t>N.csepely</t>
  </si>
  <si>
    <t>P.szemes</t>
  </si>
  <si>
    <t>Szántód</t>
  </si>
  <si>
    <t>Szólád</t>
  </si>
  <si>
    <t>Teleki</t>
  </si>
  <si>
    <t>Balatonendréd</t>
  </si>
  <si>
    <t xml:space="preserve">előző év
</t>
  </si>
  <si>
    <t xml:space="preserve">          Ágazati pótlék</t>
  </si>
  <si>
    <t xml:space="preserve">           Táncművészeti szervek támogatása (Előadó és Alkotóművészetért Alapítvány)</t>
  </si>
  <si>
    <t xml:space="preserve">     Szociális étkeztetés állami támogatás átadása (májusi felmérés)</t>
  </si>
  <si>
    <t xml:space="preserve">     Intézményi gyermekétkeztetés - bértámogatás (májusi felmérés alapján)</t>
  </si>
  <si>
    <t>K121</t>
  </si>
  <si>
    <t>K332</t>
  </si>
  <si>
    <t>K5021</t>
  </si>
  <si>
    <t>K311</t>
  </si>
  <si>
    <t>K322</t>
  </si>
  <si>
    <t>K334</t>
  </si>
  <si>
    <t xml:space="preserve">         3.1. Egyéb felh.-i célú tám. visszafizetés</t>
  </si>
  <si>
    <t xml:space="preserve">    Egyéb felhalmozási célú kiadások</t>
  </si>
  <si>
    <t xml:space="preserve">031030 Közterület felügyelet </t>
  </si>
  <si>
    <t>K84</t>
  </si>
  <si>
    <t xml:space="preserve">      Vízisport és Vitorlás Egyesület támogatása</t>
  </si>
  <si>
    <t xml:space="preserve">     IFA ellenőrök megbízási djía </t>
  </si>
  <si>
    <t xml:space="preserve">        Biztosítások (vagyon, jogvédelem, felelősségbizt.)</t>
  </si>
  <si>
    <t xml:space="preserve">     Intézményi gyermekétkeztetés - üzemeltetési támogatás (kiegészítő támogatás)</t>
  </si>
  <si>
    <t xml:space="preserve">     Intézményi gyermekétkeztetés - üzemeltetési tám. átadás TKT részére (kiegészítő felmérés alapján)</t>
  </si>
  <si>
    <t xml:space="preserve">     Idegenforgalmi adó bevételek</t>
  </si>
  <si>
    <t xml:space="preserve">         3.2. Felhalmozási célú támogatások ÁHK-re</t>
  </si>
  <si>
    <t>K89</t>
  </si>
  <si>
    <t>K335</t>
  </si>
  <si>
    <t xml:space="preserve">      Bajcsy-Zs. u. járdaszegély építése (szivattyúpark pályázaton kívüli rész)</t>
  </si>
  <si>
    <t xml:space="preserve">     Működési célú tartalék</t>
  </si>
  <si>
    <t xml:space="preserve">    Fejlesztési célú hitel  felvétele (ingatlan vásárlás)  (8/2021.(VI.24.))</t>
  </si>
  <si>
    <t>Fejlesztési célú hitel (ingatlan vásárlás)</t>
  </si>
  <si>
    <t xml:space="preserve">   </t>
  </si>
  <si>
    <t xml:space="preserve">      Egyéb működési támogatás ÁHK-ről</t>
  </si>
  <si>
    <t>Változás (összeg)</t>
  </si>
  <si>
    <t xml:space="preserve">          Állami támogatás visszatérítése TKT-tól</t>
  </si>
  <si>
    <t>fordított áfa (működésben)</t>
  </si>
  <si>
    <t>projekthez kapcsolódó egyéb kiadások (működésben)</t>
  </si>
  <si>
    <t xml:space="preserve">         Hitel törlesztés (OTP fejlesztési hitelek)</t>
  </si>
  <si>
    <t>Választás támogatása</t>
  </si>
  <si>
    <t>2025. évi eredeti előirányzat</t>
  </si>
  <si>
    <t>Projekt eredeti összköltsége
(Bföldvárra jutó)
további a konzorciumi partnereknél</t>
  </si>
  <si>
    <t xml:space="preserve">          Kulturális támogatás bérfejesztés fedezetére</t>
  </si>
  <si>
    <t xml:space="preserve">      2. Felhalmozási célú támogatások államháztartáson kívülre</t>
  </si>
  <si>
    <t xml:space="preserve">14. melléklet </t>
  </si>
  <si>
    <t>Költségvetési bevételek</t>
  </si>
  <si>
    <t>Költségvetési kiadások</t>
  </si>
  <si>
    <t xml:space="preserve">A. Költségvetési bevételek </t>
  </si>
  <si>
    <t xml:space="preserve">A. Költségvetési kiadások </t>
  </si>
  <si>
    <t>I. Működési költségvetési bevételek</t>
  </si>
  <si>
    <t xml:space="preserve">I. Működési költségvetési kiadások </t>
  </si>
  <si>
    <t>1.Működési célú támogatások államháztartáson belülről</t>
  </si>
  <si>
    <t>1. Személyi juttatások</t>
  </si>
  <si>
    <t>2. Közhatalmi bevételek</t>
  </si>
  <si>
    <t>2.  Munkaadókat terhelő járulékok és szociális hozzájárulási adó</t>
  </si>
  <si>
    <t>3. Működési bevételek</t>
  </si>
  <si>
    <t>3. Dologi kiadások</t>
  </si>
  <si>
    <t>4. Működési célú átvett pénzeszközök</t>
  </si>
  <si>
    <t>4. Ellátottak pénzbeli juttatásai</t>
  </si>
  <si>
    <t>5. Egyéb működési célú kiadások</t>
  </si>
  <si>
    <t>II. Felhalmozási költségvetési bevételek</t>
  </si>
  <si>
    <t xml:space="preserve">II. Felhalmozási költségvetési kiadások </t>
  </si>
  <si>
    <t>1. Felhalmozási célú támogatások államháztartáson belülről</t>
  </si>
  <si>
    <t>2. Felhalmozási bevételek</t>
  </si>
  <si>
    <t>3. Felhalmozási célú átvett pénzeszközök</t>
  </si>
  <si>
    <t>3. Egyéb felhalmozási célú kiadások</t>
  </si>
  <si>
    <t>B. Finanszírozási bevételek</t>
  </si>
  <si>
    <t>B. Finanszírozási kiadások</t>
  </si>
  <si>
    <t>1. Belföldi finanszírozás bevételei</t>
  </si>
  <si>
    <t>1. Belföldi finanszírozás kiadásai</t>
  </si>
  <si>
    <t xml:space="preserve">1.1. Előző év költségvetési maradványának igénybevétele (belső finanszírozás) </t>
  </si>
  <si>
    <t xml:space="preserve">        Hitel törlesztés</t>
  </si>
  <si>
    <t>Felhalmozási célú maradvány</t>
  </si>
  <si>
    <t>3. Külföldi finanszírozás kiadásai</t>
  </si>
  <si>
    <t xml:space="preserve">    1.2. ÁHB megelőlegezés</t>
  </si>
  <si>
    <t>2. Költségvetési hiány külső finanszírozására szolgáló eszközök</t>
  </si>
  <si>
    <t xml:space="preserve">     MFP: útfelújítás támogatása</t>
  </si>
  <si>
    <t>K342</t>
  </si>
  <si>
    <t xml:space="preserve">     Keleti strand felújítás támogatása (Kisfaludy)</t>
  </si>
  <si>
    <t xml:space="preserve">     Nyugati strand felújítás támogatása (Kisfaludy)</t>
  </si>
  <si>
    <t xml:space="preserve">      Városháza előtti tér (parkoló, park) felújítása (68/2022.(V.6.))</t>
  </si>
  <si>
    <t xml:space="preserve">          Egyéb működési célú támogatások </t>
  </si>
  <si>
    <t xml:space="preserve">     Közlekedési költségtérítés (védőnő)</t>
  </si>
  <si>
    <t xml:space="preserve">     Iskola energetikai korszerűsítése támogatás (előleg)</t>
  </si>
  <si>
    <t>K353</t>
  </si>
  <si>
    <t>K333</t>
  </si>
  <si>
    <t xml:space="preserve">        Rovarirtás, kártevőírtás, gyepmester</t>
  </si>
  <si>
    <t xml:space="preserve">               Emberi Erőforrás Támogatáskezelő (BURSA)</t>
  </si>
  <si>
    <t xml:space="preserve">     BURSA támogatás (átcsoportosítás K512-ről)</t>
  </si>
  <si>
    <t>Finanszírozás</t>
  </si>
  <si>
    <t>K321</t>
  </si>
  <si>
    <t xml:space="preserve">          WinSzoc program (Abacus)</t>
  </si>
  <si>
    <t xml:space="preserve">     Egyéb szakmai szolgáltatások (átcsoportosítás K337-re)</t>
  </si>
  <si>
    <t>több éves kihatással járó feladatai</t>
  </si>
  <si>
    <t xml:space="preserve">          "Balatonföldvár zöld város program megval.-a" (TOP-2.1.2-15-2016-00002) (nettó)</t>
  </si>
  <si>
    <t>Köznevelési intézmény energetikai korszerűsítése Balatonföldváron</t>
  </si>
  <si>
    <t xml:space="preserve">   Tartalék felhasználás (céltartalék)</t>
  </si>
  <si>
    <t>mód.ei.          2022.10.hó</t>
  </si>
  <si>
    <t xml:space="preserve">     Felhalmozási célú tartalék </t>
  </si>
  <si>
    <t xml:space="preserve">     Házi segítségnyújtás (október havi felmérés alapján)</t>
  </si>
  <si>
    <t xml:space="preserve">     Ellátási díjak (szoc.étk.díj bev.)</t>
  </si>
  <si>
    <t xml:space="preserve">          Város fásítási programjának támogatása</t>
  </si>
  <si>
    <t>K1104</t>
  </si>
  <si>
    <t>B116</t>
  </si>
  <si>
    <t xml:space="preserve">               Működési hozzájárulás (EFI iroda állami támogatás csökkentés miatt)</t>
  </si>
  <si>
    <t xml:space="preserve">     Belső ellenőrzés (2021. 12 hó)</t>
  </si>
  <si>
    <t xml:space="preserve">     Megbízási díj (anyakönyvvezető helyettesítés)</t>
  </si>
  <si>
    <t xml:space="preserve">     Közüzemi díj visszatérítés</t>
  </si>
  <si>
    <t>K1105</t>
  </si>
  <si>
    <t xml:space="preserve">     Végkielégítés</t>
  </si>
  <si>
    <t xml:space="preserve">     Egyéb munkavégzéshez kapcs. juttatás (betegszabi, szabadság megvált. ) (átcsop. K1101-ről)</t>
  </si>
  <si>
    <t xml:space="preserve">     Foglalkozás egészségügyi ellátás (átcsop. K312-ről)</t>
  </si>
  <si>
    <t xml:space="preserve">     Üzemeltetési anyagok beszerzése: nyomtatvány, munkaruha (átcsop. K334, K366-ra)</t>
  </si>
  <si>
    <t xml:space="preserve">     Külső adatvédelmi tisztviselő (átcsop. K312-ről)</t>
  </si>
  <si>
    <t xml:space="preserve">     Üzemanyag beszerzés (átcsop. K336-ra)</t>
  </si>
  <si>
    <t xml:space="preserve">               Ágazati pótlék átadás</t>
  </si>
  <si>
    <t>082044 Könyvtári szolgáltatások; 082092 Közművelődési feladatok; 046020 Vezetékes műsorelosztás, kábel TV</t>
  </si>
  <si>
    <t xml:space="preserve">011130 Önk. és önk.-i hivatalok 
jogalkotói és ált. igazgatási tev.-e  </t>
  </si>
  <si>
    <t>Bevétel összesen</t>
  </si>
  <si>
    <t>2026. évi eredeti előirányzat</t>
  </si>
  <si>
    <r>
      <t xml:space="preserve">        Egyéb szakmai szolgáltatások</t>
    </r>
    <r>
      <rPr>
        <sz val="8"/>
        <rFont val="Times New Roman"/>
        <family val="1"/>
        <charset val="238"/>
      </rPr>
      <t xml:space="preserve"> </t>
    </r>
  </si>
  <si>
    <t xml:space="preserve">           Telefonközpont átalánydíja (Microsystel)</t>
  </si>
  <si>
    <r>
      <t xml:space="preserve">     Bérleti és lízingdíjak </t>
    </r>
    <r>
      <rPr>
        <sz val="8"/>
        <rFont val="Times New Roman"/>
        <family val="1"/>
        <charset val="238"/>
      </rPr>
      <t>(fiókbérlés)</t>
    </r>
  </si>
  <si>
    <t xml:space="preserve">      8. Kamatbevételek </t>
  </si>
  <si>
    <t>072111, 074011, 072112, 072420, 072450 Egészségügyi 
ellátások</t>
  </si>
  <si>
    <t>K33</t>
  </si>
  <si>
    <t>K34</t>
  </si>
  <si>
    <t>K35</t>
  </si>
  <si>
    <t xml:space="preserve">        Gépjármű casco, KFB</t>
  </si>
  <si>
    <t xml:space="preserve">             Tagdíjak (Települési Önkormányzatok Országos Szövetsége, Balatoni Szövetség…..)</t>
  </si>
  <si>
    <t xml:space="preserve">             Előirányzott támogatási keret </t>
  </si>
  <si>
    <t xml:space="preserve">    Reprezentációs kiadás </t>
  </si>
  <si>
    <t xml:space="preserve">           1.1.4. Polgármesteri illetményhez és költségtérítéshez nyújtott támogatás</t>
  </si>
  <si>
    <t xml:space="preserve">           1.1.5. Közvilágítás kiegészítő támogatása</t>
  </si>
  <si>
    <t>Boldog Békeidők</t>
  </si>
  <si>
    <r>
      <t xml:space="preserve">    Egyéb kommunikációs szolgáltatások</t>
    </r>
    <r>
      <rPr>
        <sz val="8"/>
        <rFont val="Times New Roman"/>
        <family val="1"/>
        <charset val="238"/>
      </rPr>
      <t xml:space="preserve"> (telefon, mobiltelefon)</t>
    </r>
  </si>
  <si>
    <t>Műszaki ellenőrzés (iskola energetika)</t>
  </si>
  <si>
    <t>Szemléletformálás (iskola energetika)</t>
  </si>
  <si>
    <t>Energetikai szakértő (iskola energetika)</t>
  </si>
  <si>
    <t xml:space="preserve">          Szakirányú oktatás adókedvezményének visszaigénylése (Hivatal)</t>
  </si>
  <si>
    <t xml:space="preserve">          Pénzeszközátvétel önkormányzatoktól (Hivatal)</t>
  </si>
  <si>
    <t xml:space="preserve">           Települési önkormányzatok kulturális feladatainak bérjellegű támogatása</t>
  </si>
  <si>
    <t xml:space="preserve">        Intarzia szakkör </t>
  </si>
  <si>
    <t xml:space="preserve">    1. Működési célú pénzeszközátadások, támogatások </t>
  </si>
  <si>
    <t xml:space="preserve">        2.1. Működési célú folyószámlahitel</t>
  </si>
  <si>
    <t>EFI (végkielégítés)</t>
  </si>
  <si>
    <t>Boldog Békeidők nyarai Balatonföldváron</t>
  </si>
  <si>
    <t>(TOP_Plusz-1.1.3-21-SO1-2022-00009)</t>
  </si>
  <si>
    <t>TOP_Plusz-2.1.1-21-SO1-2022-00005</t>
  </si>
  <si>
    <t xml:space="preserve">                     Közösségi ház + Kulipintyó:  állami támogatás továbbadása (kulturális feladatok)</t>
  </si>
  <si>
    <t xml:space="preserve">                     Közterületek, utak, zöldfelület fenntartása (GAMESZ): állami támogatás továbbadása</t>
  </si>
  <si>
    <t xml:space="preserve">13. melléklet </t>
  </si>
  <si>
    <t>2027. évi eredeti előirányzat</t>
  </si>
  <si>
    <t xml:space="preserve">     Helyettesítési díj</t>
  </si>
  <si>
    <t xml:space="preserve">     Béren kívüli juttatás (SZÉP kártya)</t>
  </si>
  <si>
    <t xml:space="preserve">     Egyéb személyi juttatás (betegsz., szabi megv, megbíz.)</t>
  </si>
  <si>
    <t xml:space="preserve">     Megbízási díjak (belső ellenőr)</t>
  </si>
  <si>
    <t xml:space="preserve">     Megbízási díjak (választás)</t>
  </si>
  <si>
    <t xml:space="preserve">     Választási bizottság tiszteletdíja (választás)</t>
  </si>
  <si>
    <t xml:space="preserve">        Irodaszer (választás)</t>
  </si>
  <si>
    <t xml:space="preserve">          Rendszer- és szoftver-szaktanácsadás (IRIS Rendszerház)</t>
  </si>
  <si>
    <t xml:space="preserve">           Fénymásoló karbantartás (Alba-Kontakt)</t>
  </si>
  <si>
    <t>K354</t>
  </si>
  <si>
    <t xml:space="preserve">     11. Egyéb működési bevételek  </t>
  </si>
  <si>
    <t xml:space="preserve">             Kisértékű tárgyi eszköz beszerzés</t>
  </si>
  <si>
    <t>Boldog Békeidők Nyarai Balatonföldváron</t>
  </si>
  <si>
    <t xml:space="preserve">    Megbízási díj (városi zenekari feladatok, piacfelügyelet, helyettesítés)</t>
  </si>
  <si>
    <t xml:space="preserve">    Megbízási díj (Boldog Békeidők pályázat)</t>
  </si>
  <si>
    <t xml:space="preserve">              1.1.1.3.2 Településüzemeltetés - közvilágítás üzemeltetési támogatása </t>
  </si>
  <si>
    <t xml:space="preserve">        Fogorvosi alapellátás, fogorvosi ügyelet (147/2023.(X.26.))</t>
  </si>
  <si>
    <t>Műszaki ellenőr (Boldog Békeidők) 156/2023.(XI.23.)</t>
  </si>
  <si>
    <t>Fejlesztési célú hitel (zöld város projekt)</t>
  </si>
  <si>
    <t xml:space="preserve">Balatonföldvár "Zöld város program" és környezetének rendezése </t>
  </si>
  <si>
    <t xml:space="preserve">        Külső adatvédelmi tisztviselő biztosítása (Hanganov)</t>
  </si>
  <si>
    <t xml:space="preserve">    Informatikai szolgáltatások </t>
  </si>
  <si>
    <t xml:space="preserve">          Egyéb informatikai szolgáltatások (e-szigno, e-hiteles tullap, antivírus)</t>
  </si>
  <si>
    <t>2023. évi
 hátralék</t>
  </si>
  <si>
    <r>
      <t xml:space="preserve">      3. Felhalmozási célú tartalék (-ebből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609.635 e Ft céltartalék: Boldog Békeidők )</t>
    </r>
  </si>
  <si>
    <t>K911</t>
  </si>
  <si>
    <t xml:space="preserve">         Folyószámlahitel tőketörlesztése</t>
  </si>
  <si>
    <t>Kommunikáció (Boldog Békeidők)</t>
  </si>
  <si>
    <t xml:space="preserve">        - ebből házi segítségnyújtás (2023.12.hó)</t>
  </si>
  <si>
    <r>
      <t xml:space="preserve">      </t>
    </r>
    <r>
      <rPr>
        <sz val="10"/>
        <rFont val="Times New Roman"/>
        <family val="1"/>
        <charset val="238"/>
      </rPr>
      <t>1. Önkormányzat és hivatal működési kiadásai</t>
    </r>
  </si>
  <si>
    <t xml:space="preserve">          1.1. Személyi juttatások</t>
  </si>
  <si>
    <t xml:space="preserve">          1.2. Munkaadót terhelő járulékok és szociális hozzájárulási adó</t>
  </si>
  <si>
    <t xml:space="preserve">          1.3. Dologi kiadások</t>
  </si>
  <si>
    <t xml:space="preserve">          1.4. Ellátottak pénzbeli juttatásai</t>
  </si>
  <si>
    <t xml:space="preserve">          1.5. Egyéb működési célú kiadások</t>
  </si>
  <si>
    <t>Helyi adóból, gépjárműadóból biztosított kedvezmény, mentesség összege</t>
  </si>
  <si>
    <t xml:space="preserve">   -ből: építményadó mentesség helyi lakosok számára</t>
  </si>
  <si>
    <t xml:space="preserve">   -ből: építményadó törlés méltányosságból</t>
  </si>
  <si>
    <t xml:space="preserve">   -ből: telekadó mentesség, kedvezmény m2 alapján</t>
  </si>
  <si>
    <t xml:space="preserve">   -ből: idegenforgalmi adó kedvezmény elő- utószezonban</t>
  </si>
  <si>
    <t xml:space="preserve">   -ből: gépjárműadóból biztosított kedvezmény</t>
  </si>
  <si>
    <t>Helyiségek, eszközök hasznosításából származó bevételből nyújtott kedvezmény, mentesség összege</t>
  </si>
  <si>
    <t>Közvetett támogatások</t>
  </si>
  <si>
    <t>II. Működési célú garancia- és kezességvállalásból származó kifizetés államházt.-on kívülre (K507)</t>
  </si>
  <si>
    <t>I. Egyéb működési célú támogatások államháztartáson belülre (K506)</t>
  </si>
  <si>
    <t>III. Egyéb működési célú támogatások államháztartáson kívülre (K512)</t>
  </si>
  <si>
    <t xml:space="preserve">        2.1. Felhalmozási célú hitel</t>
  </si>
  <si>
    <t>Tartalékok összesen</t>
  </si>
  <si>
    <t>Általános tartalék</t>
  </si>
  <si>
    <t>Céltartalék</t>
  </si>
  <si>
    <t>Felhalmozási célú céltartalék</t>
  </si>
  <si>
    <t>Boldog Békeidők nyarai Balatonföldváron (TOP_Plusz-1.1.3-21-SO1-2022-00009)</t>
  </si>
  <si>
    <t xml:space="preserve">I. Működési célú kiadások </t>
  </si>
  <si>
    <t xml:space="preserve">II. Felhalmozási célú kiadások </t>
  </si>
  <si>
    <t>Egyéb működési célú kiadások mindösszesen (I+II+III)</t>
  </si>
  <si>
    <t xml:space="preserve">    3. A helyi önkormányzatok előző évi elszámolásából származó kiadások</t>
  </si>
  <si>
    <t xml:space="preserve">    4. Szolidaritási hozzájárulás</t>
  </si>
  <si>
    <t xml:space="preserve">         3.3. Felhalmozási célú tartalék </t>
  </si>
  <si>
    <t xml:space="preserve">         3.2. Felhalmozási célú tartalék </t>
  </si>
  <si>
    <t>B1131</t>
  </si>
  <si>
    <t xml:space="preserve">     Dologi kiadások (korrigált előirányzat)</t>
  </si>
  <si>
    <t xml:space="preserve">     Sberbank Magyarország Zrt. végelszámolásának kamatelszámolása</t>
  </si>
  <si>
    <t xml:space="preserve">     Pénzeszközátadás társulásban közösen ellátott feladatokra (család és gy.jóléti szolg.)</t>
  </si>
  <si>
    <t xml:space="preserve">    Államháztartáson kívülről felhalmozási célból, ellenérték nélkül kapott bevétel (MBH Bank tám.)</t>
  </si>
  <si>
    <t xml:space="preserve">      Nyugati strand területén új sportépület építése 73/2024.(V.16.)</t>
  </si>
  <si>
    <t xml:space="preserve">      Kártyanyomtató és kellékeinek beszerzése </t>
  </si>
  <si>
    <t>011130 Önk. és önk.-i hivatalok jogalkotói és ált. igazgatási tevékenysége; 016010 Országgyűlési, önkormányzati és európai parlamenti képviselőválasztásokhoz kapcsolódó tevékenységek</t>
  </si>
  <si>
    <t xml:space="preserve">             Pénzeszköz átadás Radnóti utcai temető kerítés építésére (52/2024.(III.26.))</t>
  </si>
  <si>
    <t xml:space="preserve">             Pénzeszköz átadás Kilátó épület burkolatának cseréjére (83/2024.(V.30.))</t>
  </si>
  <si>
    <t xml:space="preserve">             Partnervárosi találkozó költségeinek támogatása</t>
  </si>
  <si>
    <t xml:space="preserve">        Toner (választás)</t>
  </si>
  <si>
    <t xml:space="preserve">     Irodaszer beszerzés (választás)</t>
  </si>
  <si>
    <t xml:space="preserve">     Toner (választás)</t>
  </si>
  <si>
    <t xml:space="preserve">     Telefonköltség</t>
  </si>
  <si>
    <t xml:space="preserve">     Mobil internet szolgáltatás</t>
  </si>
  <si>
    <t xml:space="preserve">   Egyéb felhalmozási célú kiadás</t>
  </si>
  <si>
    <t xml:space="preserve">     Sonoro Kórus támogatása 84/2024. (V.30.)</t>
  </si>
  <si>
    <t xml:space="preserve">     Elszámolásból származó bevételek (2023. évi normatíva pótigény)</t>
  </si>
  <si>
    <t>107051 Szociális étkeztetés;                                      107060 Ellátottak pénzbeli juttatásai</t>
  </si>
  <si>
    <t>062020 Településfejlesztési projektek és támogatásuk;                                                                  066020 Város-, községgazdálkodási egyéb szolgáltatások</t>
  </si>
  <si>
    <t xml:space="preserve">     Járdarekonstrukció és árok karbantartás Balatonföldvár, Kőröshegyi út nyugati oldalán a Kossuth L. utca és a település közigazgatási határa között, valamint buszvárók karbantartása 102/2024.(VII.25.)</t>
  </si>
  <si>
    <t>K3311</t>
  </si>
  <si>
    <t xml:space="preserve">     Karbantartási: átcsop.K7-re Karikavölgyi körút közlekedésbiztonság és forgalomtechnika kiépítése</t>
  </si>
  <si>
    <t xml:space="preserve">     Működési célú támogatások (támogatási keret)</t>
  </si>
  <si>
    <t xml:space="preserve">      Köznevelési intézmény energetikai korszerűsítése (TOP_PLUSZ-2.1.1-21-SO1-2022-00005)</t>
  </si>
  <si>
    <t>Működési célú céltartalék</t>
  </si>
  <si>
    <t xml:space="preserve">     Felhalmozási céltartalék (Boldog békeidők)</t>
  </si>
  <si>
    <t xml:space="preserve">     Működési céltartalék (Boldog békeidők)</t>
  </si>
  <si>
    <t xml:space="preserve">     Ei.evonás: boldog békeidők (műszaki ellenőr, marketing)</t>
  </si>
  <si>
    <t xml:space="preserve">     Ei.evonás: iskola energetika (műszaki ellenőr, szemléletformálás, energetikai szakértő)</t>
  </si>
  <si>
    <t xml:space="preserve">      Bajor Gizi sétány felújítása</t>
  </si>
  <si>
    <t xml:space="preserve">          Egyéb felh.-i célú tám.visszafizetés (iskola energetika pályázat támogatás visszafizetése)</t>
  </si>
  <si>
    <t xml:space="preserve">          Egyéb felh.-i célú tám.visszafizetés (boldog békeidők pályázat támogatás visszafizetése)</t>
  </si>
  <si>
    <t xml:space="preserve">     Választások támogatása: póttámogatás (Hivatal)</t>
  </si>
  <si>
    <t xml:space="preserve">     Választások támogatása: Szólád időközi (Hivatal)</t>
  </si>
  <si>
    <t xml:space="preserve">          Működési célú maradvány</t>
  </si>
  <si>
    <t xml:space="preserve">          Felhalmozási célú maradvány</t>
  </si>
  <si>
    <t xml:space="preserve">      Boldog békeidők pályázat támogatás visszafizetése</t>
  </si>
  <si>
    <t xml:space="preserve">    Polgármester illetménye, jutalma, szabadságmegváltás</t>
  </si>
  <si>
    <t xml:space="preserve">        Parkfenntartás</t>
  </si>
  <si>
    <t xml:space="preserve">      2. 2024. évi lakossági víz tám. elszámolás (DRV-től)</t>
  </si>
  <si>
    <t xml:space="preserve">          1.3.3. Bölcsőde, mini bölcsőde támogatása (TKT)</t>
  </si>
  <si>
    <t xml:space="preserve">               Bölcsődei nevelés</t>
  </si>
  <si>
    <t xml:space="preserve"> + 1 fő GYES</t>
  </si>
  <si>
    <t xml:space="preserve">    Egyéb személyi juttatás (betegszabadság, táppénz)</t>
  </si>
  <si>
    <t xml:space="preserve">      3. Egyéb tárgyi eszközök értékesítése</t>
  </si>
  <si>
    <t xml:space="preserve">          1.5.2. Települési önkormányzatok egyes kulturális feladatainak támogatása</t>
  </si>
  <si>
    <t xml:space="preserve">       2. A helyi önkormányzatok működési célú kiegészítő támogatásai</t>
  </si>
  <si>
    <t xml:space="preserve">       2.1. A helyi önkormányzatok általános feladatainak működési célú támogatása</t>
  </si>
  <si>
    <t xml:space="preserve">          2.1.1. Polgármesteri illetményhez és költségtérítéshez nyújtott támogatás</t>
  </si>
  <si>
    <t xml:space="preserve">       2.2. A települési önkormányzatok köznevelési feladatainak működési célú támogatása</t>
  </si>
  <si>
    <t xml:space="preserve">          2.3.1. A települési önkormányzatok szociális célú tüzelőanyag vásárlásához kapcsolódó támogatása</t>
  </si>
  <si>
    <t xml:space="preserve">          2.3.2. Szociális ágazati összevont pótlék és egészségügyi kiegészítő pótlék (TKT)</t>
  </si>
  <si>
    <t xml:space="preserve">       2.4. A települési önkormányzatok kulturális feladatainak működési célú támogatása</t>
  </si>
  <si>
    <t xml:space="preserve">          2.4.5 Táncművészeti szervek támogatása (Előadó és Alkotóművészetért Alapítvány)</t>
  </si>
  <si>
    <t xml:space="preserve">               Óvodai, bölcsődei nevelés</t>
  </si>
  <si>
    <t xml:space="preserve">          Internethasználat (Yettel, Magyar Telekom)</t>
  </si>
  <si>
    <t xml:space="preserve">             Klinikai kémiai automata (177/2024.(XI.27.))</t>
  </si>
  <si>
    <t xml:space="preserve">    Alpolgármesteri tiszteletdíjak</t>
  </si>
  <si>
    <t xml:space="preserve">    Képviselői, bizottsági tagi tiszteletdíjak</t>
  </si>
  <si>
    <t xml:space="preserve">    Jubileumi jutalom</t>
  </si>
  <si>
    <t xml:space="preserve">             Kishajós megállópontok fejlesztése…TOP_PLUSZ-6.1.4-23-SO1-2024-00001 pályázat: stég, sólya, digitális totemoszlop </t>
  </si>
  <si>
    <t xml:space="preserve">             Játszótéri eszköz beszerzés</t>
  </si>
  <si>
    <t xml:space="preserve">    Boldog Békeidők Nyarai ismételt támogatás lehívás</t>
  </si>
  <si>
    <t xml:space="preserve">             Boldog Békeidők Nyarai Balatonföldváron TOP_PLUSZ-1.1.3-21-SO1-2022-00009 (nettó)</t>
  </si>
  <si>
    <t xml:space="preserve">           Köznevelési intézmény energetikai korszerűsítése (TOP_PLUSZ-2.1.1-21-SO1-2022-00005) villámvédelmi tervfejezet 109/2024.(VIII.26.) (-ból 8.885 e Ft saját forrás)</t>
  </si>
  <si>
    <t xml:space="preserve">          2.2.1. Esélyteremtési illetményrész támogatása (TKT)</t>
  </si>
  <si>
    <t xml:space="preserve">I. Működési célú támogatások államháztartáson belülről </t>
  </si>
  <si>
    <t xml:space="preserve">    TOP-PLUSZ-6.1.4-23-SO1-2024-00001 Kishajós megállópontok fejlesztése a Balaton körül - Dél-Balatoni vízi kör támogatása</t>
  </si>
  <si>
    <t xml:space="preserve">     Jutalom</t>
  </si>
  <si>
    <t xml:space="preserve">     Jubileumi jutalom (2 fő)</t>
  </si>
  <si>
    <t xml:space="preserve">             Pénzeszköz átadás útfelújításhoz (Kőröshegyi út részleges felújítása)</t>
  </si>
  <si>
    <t>Költségfelosztás 2025. Összesítő (2025.01.23.)</t>
  </si>
  <si>
    <t>2025. évi mind
összesen</t>
  </si>
  <si>
    <t xml:space="preserve">2024. évi hozzájárulás </t>
  </si>
  <si>
    <t>Házi segítség
nyújtás 
2025</t>
  </si>
  <si>
    <t xml:space="preserve">     Törvény szerinti illetmények, munkabérek</t>
  </si>
  <si>
    <t xml:space="preserve">    Törvény szerinti illetmények, munkabérek</t>
  </si>
  <si>
    <t xml:space="preserve">        Városi programok megvalósítása</t>
  </si>
  <si>
    <t>2028. évi eredeti előirányzat</t>
  </si>
  <si>
    <t xml:space="preserve">         Hitel törlesztés (fejlesztési hitelek)</t>
  </si>
  <si>
    <t xml:space="preserve">             Kisajátítási, kártalanítási összeg</t>
  </si>
  <si>
    <t>Teljesítés 2025.12.31.</t>
  </si>
  <si>
    <t xml:space="preserve">    2. Működési célú tartalék (-ből céltartalék 0 e Ft)</t>
  </si>
  <si>
    <t xml:space="preserve">     Működési céltartalék </t>
  </si>
  <si>
    <t xml:space="preserve">     Hivatal működésének támogatása (Önkormányzati hivatalban foglalkoztatott köztisztviselők 2025. július 1-jétől történő illetményemelésére fordítandó összeg)</t>
  </si>
  <si>
    <t>K5022</t>
  </si>
  <si>
    <t>013350 Önk.-i vagyonnal való gazdálkodással kapcs. fel. 045160 Közutak, hidak, alagutak üzemeltetése, fenntartása</t>
  </si>
  <si>
    <t xml:space="preserve">             Versenyképes Járások Program: eszközbeszerzés</t>
  </si>
  <si>
    <t xml:space="preserve">            Versenyképes Járások Program: ingatlanfelújítás</t>
  </si>
  <si>
    <t xml:space="preserve">     Táncművészeti szervek támogatása (Előadó és Alkotóművészetért Alapítvány) (átcsop.B115-ről)</t>
  </si>
  <si>
    <t xml:space="preserve">     Települési önkormányzatok kulturális feladatainak bérjellegű támogatása (átcsop.B115-ről)</t>
  </si>
  <si>
    <t xml:space="preserve">     Polgármesteri illetményhez és költségtérítéshez nyújtott támogatás (átcsop.B111-re)</t>
  </si>
  <si>
    <t xml:space="preserve">     Települési önkormányzatok kulturális feladatainak bérjellegű támogatása (átcsop.B114-re)</t>
  </si>
  <si>
    <t xml:space="preserve">     Táncművészeti szervek támogatása (Előadó és Alkotóművészetért Alapítvány) (átcsop.B114-re)</t>
  </si>
  <si>
    <t xml:space="preserve">     Egyéb személyi juttatás: megbízási saját dolgozónak (választás) (átcsop.K1103-ról)</t>
  </si>
  <si>
    <t xml:space="preserve">     Képviselői, bizottsági tagi tiszteletdíjak</t>
  </si>
  <si>
    <t xml:space="preserve">     Polgármester illetménye (béremelés)</t>
  </si>
  <si>
    <t xml:space="preserve">     Költségtérítés (polgármester, alpolgármesterek)</t>
  </si>
  <si>
    <t xml:space="preserve">    Megbízási díj (élatfa)</t>
  </si>
  <si>
    <t xml:space="preserve">     Alkatrész beszerzés buszhoz (átcsop.K334-ről)</t>
  </si>
  <si>
    <t xml:space="preserve">    5. A helyi önkormányzatok törvényi előíráson alapuló befizetései (IPA adóbevétel többlet alapján telj.fiz. kötelezettség)</t>
  </si>
  <si>
    <t xml:space="preserve">     A helyi önkormányzatok törvényi előíráson alapuló befizetései (IPA adóbevétel többlet alapján telj.fiz. kötelezettség)</t>
  </si>
  <si>
    <t xml:space="preserve">     Turisztikai kártya igénylő rendszerhez tárhely és support szolgáltatás biztosítása</t>
  </si>
  <si>
    <t>Önkormányzat (módosított előirányzat 2025.06.havi)</t>
  </si>
  <si>
    <t xml:space="preserve">       Kötelező (módosított előirányzat 2025.06. havi)</t>
  </si>
  <si>
    <t xml:space="preserve">       Önként vállalt (módosított előirányzat 2025.06. havi)</t>
  </si>
  <si>
    <t>KÖH (módosított előirányzat 2025.06. havi)</t>
  </si>
  <si>
    <t>Önk.mindösszesen (módosított ei. 2025.06. havi)</t>
  </si>
  <si>
    <t xml:space="preserve">     Bérleti díjak (átcsop.K337-re)</t>
  </si>
  <si>
    <t xml:space="preserve">     Városháza geoterm.hűtő-fűtő rendszerének javításához, a hőszivattyú kompresszorának cseréje 41/2025.(III.18.)</t>
  </si>
  <si>
    <t xml:space="preserve">     Alpolgármesteri tiszteletdíjak (átcsop.K122-ről)</t>
  </si>
  <si>
    <t xml:space="preserve">     Jubileumi jutalom (átcsop.K1107-ről)</t>
  </si>
  <si>
    <t xml:space="preserve">      IDA műanyag várótermi padok beszerzése</t>
  </si>
  <si>
    <t xml:space="preserve">     Gyermekorvos lakhatási támogatása </t>
  </si>
  <si>
    <t>Előirányzat változások (módosítás, átcsoportosítás) indoklása                                                                                     Bevételek/kiadások változása</t>
  </si>
  <si>
    <t>előirányzat változás</t>
  </si>
  <si>
    <t xml:space="preserve">       1.3. A települési önk.-ok egyes szoc.és gyermekjóléti fel.nak tám.</t>
  </si>
  <si>
    <t xml:space="preserve">       2.3. A települési önk.-ok egyes szociális és gyermekjóléti fel.nak műk.i célú tám.</t>
  </si>
  <si>
    <r>
      <t xml:space="preserve">       1.2. A települési önk.-ok egyes köznevelési feladatainak támogatása</t>
    </r>
    <r>
      <rPr>
        <sz val="11"/>
        <rFont val="Times New Roman"/>
        <family val="1"/>
        <charset val="238"/>
      </rPr>
      <t xml:space="preserve"> (TKT)</t>
    </r>
  </si>
  <si>
    <t xml:space="preserve">             1.3.2.1. Család- és gyermekjóléti szolgálatt (TKT)</t>
  </si>
  <si>
    <t xml:space="preserve">                1.3.2.4.3. Személyi gondozás - társulás által történő feladatellátás (TKT)</t>
  </si>
  <si>
    <t xml:space="preserve">      1. Vagyoni típusú adók                  </t>
  </si>
  <si>
    <t>ei. változás</t>
  </si>
  <si>
    <t>Létszám</t>
  </si>
  <si>
    <t>közalkalmazott</t>
  </si>
  <si>
    <t>polgármester (főállású)</t>
  </si>
  <si>
    <t>alpolgármester (társadalmi megbízatású)</t>
  </si>
  <si>
    <t>közfoglalkoztatott</t>
  </si>
  <si>
    <t>köztisztviselő</t>
  </si>
  <si>
    <t>ügykezelő</t>
  </si>
  <si>
    <t>2025. évi mind összesen I.mód</t>
  </si>
  <si>
    <t>2025. évi hozzájárulás (eredeti)</t>
  </si>
  <si>
    <t xml:space="preserve">        Ny-i strandnál parkoló tervezés, elektromos töltőhely és közvil.tervezés</t>
  </si>
  <si>
    <t xml:space="preserve">     Postaköltség</t>
  </si>
  <si>
    <t>Munka Törvénykönyve hatálya alá tartozó</t>
  </si>
  <si>
    <t>választott képviselők</t>
  </si>
  <si>
    <t>Hatása</t>
  </si>
  <si>
    <t>tárgyévi, egyszeri, központi intézkedés</t>
  </si>
  <si>
    <t>tárgyévi, egyszeri, kiadás átcsoportosítás</t>
  </si>
  <si>
    <t xml:space="preserve">     Egyéb működési bevétel (településrendezési tervezési díj+bonyolítási díj) 25/2025.(II.27.)</t>
  </si>
  <si>
    <t>K6-K7</t>
  </si>
  <si>
    <t>Bevételek mindösszesen (A+B)</t>
  </si>
  <si>
    <t>Kiadások mindösszesen (A+B)</t>
  </si>
  <si>
    <t>tárgyévi, egyszeri, az eljárás kapcsán felmerülő kiadásra biztosít fedezetet</t>
  </si>
  <si>
    <t>Önkormányzat (módosított előirányzat 2025.09.havi)</t>
  </si>
  <si>
    <t xml:space="preserve">       Kötelező (módosított előirányzat 2025.09.havi)</t>
  </si>
  <si>
    <t xml:space="preserve">       Önként vállalt (módosított előirányzat 2025.09.havi)</t>
  </si>
  <si>
    <t>KÖH (módosított előirányzat 2025.09. havi)</t>
  </si>
  <si>
    <t>Önk.mindösszesen (módosított ei. 2025.09. havi)</t>
  </si>
  <si>
    <t>Módosított előirányzat 2025.09.hó</t>
  </si>
  <si>
    <t>Labor közbeszerzés</t>
  </si>
  <si>
    <t xml:space="preserve">     Településüzemeltetés - közvilágítás üzemeltetési támogatása (májusi felmérés alapján)</t>
  </si>
  <si>
    <t>tárgyévi, egyszeri, kp.int.: az infláció mértékével növelt közvil.üzemeltetésének ktg.ihez való hozzájárulás mérsékli a saját forrás bevonását</t>
  </si>
  <si>
    <t xml:space="preserve">     Szociális ágazati pótlék támogatás átadás (ei.elvonás)</t>
  </si>
  <si>
    <t xml:space="preserve">        Légi felméréses adatbázis készítése</t>
  </si>
  <si>
    <t xml:space="preserve">     Reprezentációs kiadások (átcsop.K336-ról)</t>
  </si>
  <si>
    <t xml:space="preserve">     Épületbontás</t>
  </si>
  <si>
    <t xml:space="preserve">     Kiküldetési díjak (átcsop.K351-ről)</t>
  </si>
  <si>
    <t xml:space="preserve">     A helyi önkormányzatok előző évi elszámolásából származó kiadások (ei.elvonás)</t>
  </si>
  <si>
    <t>központi intézkedés</t>
  </si>
  <si>
    <t>kompenzálja azokat a munkavállalókat, akik hátrányos helyzetű térségben dolgoznak</t>
  </si>
  <si>
    <t>kevesebb létszámú szoc.étkező támogatása</t>
  </si>
  <si>
    <t>a személyi gondozás támogatása segíthet a szociális ellátórendszer tehermentesítésében</t>
  </si>
  <si>
    <t>bevétel átcsoportosítás</t>
  </si>
  <si>
    <t xml:space="preserve">     ÁFA visszatérítése (ei.elvonás)</t>
  </si>
  <si>
    <t>előirányzat elvonás</t>
  </si>
  <si>
    <t xml:space="preserve">      2025. évi Földvár kártya értékesítéséből származó bevétel</t>
  </si>
  <si>
    <t>a helyi turizmus élénkítése és a település gazdasági fejlesztése</t>
  </si>
  <si>
    <t>kiadás átcsoportosítás</t>
  </si>
  <si>
    <t>ha reprezentációs kiadással vendégeket tudunk vonzani (pl. turistákat, testvérvárosokat), az közvetve bevételt generálhat a helyi szolgáltatóknak (szállás, vendéglátás, programok)., kiadás átcsoportosítás</t>
  </si>
  <si>
    <t>költségek, melyek bevételként realizálódnak</t>
  </si>
  <si>
    <t xml:space="preserve">     Közvilágítás (ei.elvonás és átcsop.K337-re)</t>
  </si>
  <si>
    <t>előirányzat elvonás, kiadás átcsoportosítás</t>
  </si>
  <si>
    <t>bontással javulhat a településkép, és szabad terület jön létre út, parkoló vagy egyéb infrastruktúra kiépítésére</t>
  </si>
  <si>
    <t>előirányzat elvonás, tartalékot növeli</t>
  </si>
  <si>
    <t>bértámogatás</t>
  </si>
  <si>
    <t>az állam plusz forrást biztosít a szociális ágazatnak, segíti a működést</t>
  </si>
  <si>
    <t>K48</t>
  </si>
  <si>
    <t>tartalék növekedés</t>
  </si>
  <si>
    <t xml:space="preserve">     Ellátottak pénzbeli juttatásai (ei.elvonás)</t>
  </si>
  <si>
    <t xml:space="preserve">            Balatonföldvári Orvosi Rendelő villamos hálózatának korszerűsítése</t>
  </si>
  <si>
    <t>Módosított előirányzat 2025.12.hó</t>
  </si>
  <si>
    <t xml:space="preserve">       Kötelező (módosított előirányzat 2025.12.havi)</t>
  </si>
  <si>
    <t>Önkormányzat (módosított előirányzat 2025.12.havi)</t>
  </si>
  <si>
    <t xml:space="preserve">       Önként vállalt (módosított előirányzat 2025.12.havi)</t>
  </si>
  <si>
    <t>KÖH (módosított előirányzat 2025.12. havi)</t>
  </si>
  <si>
    <t>Önk.mindösszesen (módosított ei. 2025.12. havi)</t>
  </si>
  <si>
    <t xml:space="preserve">      Balatonföldvári Orvosi Rendelő villamos hálózatának korszerűsítése 167/2025.(XII.3.)</t>
  </si>
  <si>
    <t xml:space="preserve">      Kisértékű tárgyi eszköz beszerzés</t>
  </si>
  <si>
    <t xml:space="preserve">     Cafeteri juttatás (polgármester) (átcsop.K336-ról)</t>
  </si>
  <si>
    <t xml:space="preserve">     Béren kívüli juttatás: SZÉP kártya </t>
  </si>
  <si>
    <t xml:space="preserve">     Közlekedési költségtérítés (átcsoportosítás K1107-re)</t>
  </si>
  <si>
    <t xml:space="preserve">     Bankköltség</t>
  </si>
  <si>
    <t xml:space="preserve">     Kiszámlázott ÁFA </t>
  </si>
  <si>
    <t>11. melléklet</t>
  </si>
  <si>
    <t>csökken az áramütés és tűzveszély kockázata korszerű vezetékek, érintésvédelmi eszközök (pl. FI-relék) és szabványos földelési rendszer miatt, a korszerű hálózat jobban bírja a nagy terhelést (orvosi műszerek, hűtők, sterilizálók)</t>
  </si>
  <si>
    <t>ÁHB megelőlegezés</t>
  </si>
  <si>
    <t xml:space="preserve">előirányzat elvonás </t>
  </si>
  <si>
    <t xml:space="preserve">     Tel.i önk.-ok egyes köznevelési fel.nak tám.-a (óvoda) (üzemeltetési támogatás)</t>
  </si>
  <si>
    <t xml:space="preserve">     Esélyteremtési illetmény támogatás átadása; óvoda üzemeltetési támogatás elvonás</t>
  </si>
  <si>
    <t>kompenzálja azokat a munkavállalókat, akik hátrányos helyzetű térségben dolgoznak; működtetési normatíva elvonás</t>
  </si>
  <si>
    <t>Módosított előirányzat 2025.12.31</t>
  </si>
  <si>
    <t>Maradványkimutatás</t>
  </si>
  <si>
    <t>Közös Hivatal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</si>
  <si>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</si>
  <si>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</si>
  <si>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</si>
  <si>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</si>
  <si>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</si>
  <si>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</si>
  <si>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</si>
  <si>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</si>
  <si>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</si>
  <si>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</si>
  <si>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</si>
  <si>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</si>
  <si>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</si>
  <si>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</si>
  <si>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C)        Összes maradvány (=A+B)</t>
  </si>
  <si>
    <t>09</t>
  </si>
  <si>
    <t>D)        Alaptevékenység kötelezettségvállalással terhelt maradványa</t>
  </si>
  <si>
    <t>E)        Alaptevékenység szabad maradványa (=A-D)</t>
  </si>
  <si>
    <t>2025. évi maradványkimutatása</t>
  </si>
  <si>
    <t>Önkormányzat (módosított előirányzat 2025.12.31)</t>
  </si>
  <si>
    <t xml:space="preserve">       Kötelező (módosított előirányzat 2025.12.31)</t>
  </si>
  <si>
    <t xml:space="preserve">       Önként vállalt (módosított előirányzat 2025.12.31)</t>
  </si>
  <si>
    <t>KÖH (módosított előirányzat 2025.12.31)</t>
  </si>
  <si>
    <t>KÖH: Teljesítés 2025.12.31.</t>
  </si>
  <si>
    <t xml:space="preserve">       Teljesítés 2025.12.31.</t>
  </si>
  <si>
    <t>Önkormányzat: Teljesítés 2025.12.31.</t>
  </si>
  <si>
    <t>Önk.mindösszesen (módosított ei. 2025.12.31)</t>
  </si>
  <si>
    <t>Önk.mindösszesen (Teljesítés 2025.12.31.)</t>
  </si>
  <si>
    <t>2026. évi összevont mérlege</t>
  </si>
  <si>
    <t>2025. évi teljesítés</t>
  </si>
  <si>
    <t>2026. évi működési célú bevételei, kiadásai</t>
  </si>
  <si>
    <t xml:space="preserve">        Műfüves pálya pályázat felújítás önrész különbözet visszautalása</t>
  </si>
  <si>
    <t>2026. évi működési célú támogatásai, pénzeszközátadásai, közvetett támogatásai</t>
  </si>
  <si>
    <t>2026. évi költségvetési kiadásainak részletezése kormányzati funkciók szerint</t>
  </si>
  <si>
    <r>
      <rPr>
        <b/>
        <i/>
        <u/>
        <sz val="14"/>
        <rFont val="Times New Roman"/>
        <family val="1"/>
        <charset val="238"/>
      </rPr>
      <t>Balatonföldvár Város Önkormányzatának 2026. évi bevételei kiemelt előirányzatonként, feladatonként</t>
    </r>
    <r>
      <rPr>
        <b/>
        <i/>
        <sz val="14"/>
        <rFont val="Times New Roman"/>
        <family val="1"/>
        <charset val="238"/>
      </rPr>
      <t xml:space="preserve"> </t>
    </r>
  </si>
  <si>
    <t>Balatonföldvár Város Önkormányzatának 2026. évi kiadásai intézményenként, kiemelt előirányzatonként, 
feladatonkénti bontásban, valamint az önkormányzat és költségvetési szervei engedélyezett létszáma</t>
  </si>
  <si>
    <t>2026. évi eredeti ei.</t>
  </si>
  <si>
    <t>Balatonföldvár Város Önkormányzat 2026. évi általános tartalék, céltartalék kimutatása</t>
  </si>
  <si>
    <t>2026. évi tartalék kimutatása</t>
  </si>
  <si>
    <t xml:space="preserve">        Értesítő levelek adó (LGT-Net Kft.)</t>
  </si>
  <si>
    <t xml:space="preserve">            Pótlék, bírság</t>
  </si>
  <si>
    <t xml:space="preserve">            Közterület használati díj</t>
  </si>
  <si>
    <t xml:space="preserve">            Betelepülési hozzájárulás</t>
  </si>
  <si>
    <t xml:space="preserve">      1. Egyéb műk.célú átv.pe (Földvár kártya ért. terv.bev. 2026.évi)</t>
  </si>
  <si>
    <t xml:space="preserve">      3. Egyéb közhatalmi bevételek</t>
  </si>
  <si>
    <t xml:space="preserve">            Házasságkötés során nyújtott szolgáltatásból eredő díjbevétel (Hivatal)</t>
  </si>
  <si>
    <t xml:space="preserve">    =220907+8885=229792</t>
  </si>
  <si>
    <t xml:space="preserve">  -139309 2025.évi költés</t>
  </si>
  <si>
    <t xml:space="preserve">    =626867319-25984200-99241390</t>
  </si>
  <si>
    <t>Tervezői művezetés (Boldog Békeidők)</t>
  </si>
  <si>
    <t>Tájékoztatás, nyilvánosság, marketing (Boldog Békeidők)</t>
  </si>
  <si>
    <t xml:space="preserve">          Választás támogatása (Hivatal)</t>
  </si>
  <si>
    <t xml:space="preserve">            Móricz Zs. u. szegélyépítés, vízelvezetés</t>
  </si>
  <si>
    <t>bb:84375126</t>
  </si>
  <si>
    <t>isk:84864387</t>
  </si>
  <si>
    <t>hajós:22225000</t>
  </si>
  <si>
    <t>MÁK</t>
  </si>
  <si>
    <t>VKJ: 22828996</t>
  </si>
  <si>
    <t>ktgvetési</t>
  </si>
  <si>
    <t xml:space="preserve">    Közösségi Sportpálya-felújítási Program 2026 támogatás</t>
  </si>
  <si>
    <t xml:space="preserve">             Aszfaltburkolatú sportpálya felújítás (pályázat)</t>
  </si>
  <si>
    <t>BB beruh: 148425 dologi 10000</t>
  </si>
  <si>
    <t>(bús,glux,senter,somogy,csutak, ulmus / 4880)</t>
  </si>
  <si>
    <t>bahart 7000</t>
  </si>
  <si>
    <t>rendőrség / 192</t>
  </si>
  <si>
    <t>piac / 600</t>
  </si>
  <si>
    <t xml:space="preserve">          Állami normatíva elszámolás intézmény általi visszafizetés </t>
  </si>
  <si>
    <r>
      <t xml:space="preserve">      Elszámolásból származó bevételek</t>
    </r>
    <r>
      <rPr>
        <sz val="11"/>
        <rFont val="Times New Roman"/>
        <family val="1"/>
        <charset val="238"/>
      </rPr>
      <t xml:space="preserve"> (2025. évi állami norm.elszám.kieg.támogatással)</t>
    </r>
  </si>
  <si>
    <t>Műszaki ellenőr (Kőröshegy utcai járdafelújítás)</t>
  </si>
  <si>
    <t xml:space="preserve">              Kerítés építése sportpályához</t>
  </si>
  <si>
    <t xml:space="preserve">              Orvosi rendelő szünetmentes beszerzés</t>
  </si>
  <si>
    <t xml:space="preserve">              Orvosi rendelő klíma beszerzés</t>
  </si>
  <si>
    <t>Tervezés Schilhán park közvilágítás</t>
  </si>
  <si>
    <t xml:space="preserve">            Orvosi rendelő előtti közterület parkosítása</t>
  </si>
  <si>
    <t xml:space="preserve">     Üzemeltetési anyagok (ballonos víz, virágok, dekoráció, alkatrész)</t>
  </si>
  <si>
    <t xml:space="preserve">        Tisztítószer (orvosi rendelő)</t>
  </si>
  <si>
    <t xml:space="preserve">     Bérleti és lízingdíjak (ballonos víz, közvil.bérleti díj, konténer)</t>
  </si>
  <si>
    <t xml:space="preserve">        Főépítészi szolgáltatás</t>
  </si>
  <si>
    <t xml:space="preserve">        Egyéb szakm.tev.seg.sz..(közbesz., műsz.ellenőr,tervek, ért.becs.)</t>
  </si>
  <si>
    <t>Tervezés (Kőröshegyi utcai járdafelújítás)</t>
  </si>
  <si>
    <t xml:space="preserve">        Szemétszállítás</t>
  </si>
  <si>
    <t xml:space="preserve">        Város közterületein lévő faállomány karbantartása (gallyazás, kivágás, pótlás, gyepesítés)</t>
  </si>
  <si>
    <t>zv:84130</t>
  </si>
  <si>
    <t xml:space="preserve">              Schilhán park közvilágítás kiépítése II.ütem</t>
  </si>
  <si>
    <t>2026. évi adósságot keletkeztető ügyleteiből eredő fizetési kötelezettségek, várható saját bevételek</t>
  </si>
  <si>
    <t>2030 és további évek</t>
  </si>
  <si>
    <t xml:space="preserve">            Bajor Gizi Közösségi Ház beázásnak helyreállítása</t>
  </si>
  <si>
    <t>2025 és korábbi évek</t>
  </si>
  <si>
    <t>2026. évi Európai Uniós forrásból finanszírozott támogatással megvalósuló projektek kiadásai, 
projekt megvalósításhoz történő önkormányzati hozzájárulásai</t>
  </si>
  <si>
    <t>2026. évi költségvetést érintő kiadás</t>
  </si>
  <si>
    <t>2026. évi költségvetés érintő várható önerő összege</t>
  </si>
  <si>
    <t xml:space="preserve">             Kultkikötő Közhasznú Nonprofit Kft. működési támogatás </t>
  </si>
  <si>
    <t xml:space="preserve">             Kultkikötő Közhasznú Nonprofit Kft. feladatellátás</t>
  </si>
  <si>
    <t xml:space="preserve">     Céljutalom (választás)</t>
  </si>
  <si>
    <t xml:space="preserve">              Balatonföldvári Nonprofit Kft. működési támogatás (állami)</t>
  </si>
  <si>
    <t xml:space="preserve">        </t>
  </si>
  <si>
    <t xml:space="preserve">              Ny-i strand füvesítése, öntözőrendszer kiépítése</t>
  </si>
  <si>
    <t xml:space="preserve">             Pénzeszköz átadás útfelújításhoz (Kőröshegyi út részleges felújítása) II. ütem</t>
  </si>
  <si>
    <t xml:space="preserve">              Sztivattyú park közvilágítása, kandeláberek cseréje</t>
  </si>
  <si>
    <t xml:space="preserve">              1.1.1.3.1 Településüzemeltetés - közvilágítás támogatása </t>
  </si>
  <si>
    <t xml:space="preserve">          2.1.4. Önkormányzatok rendkívüli támogatása        </t>
  </si>
  <si>
    <t xml:space="preserve">          2.1.5. Önkormányzati elszámolások </t>
  </si>
  <si>
    <t xml:space="preserve">          2.4.6 Települési önkormányzatok kulturális feladatainak bérjellegű támogatása</t>
  </si>
  <si>
    <t xml:space="preserve">               Előző évi normatíva elszámolásból adódó többlettámogatás átadása </t>
  </si>
  <si>
    <t>Műszaki ellenőri feladatok (Versenyképes Járások Program)</t>
  </si>
  <si>
    <t xml:space="preserve">              Ultrahang készülék beszerzése</t>
  </si>
  <si>
    <t>Műszaki ellenőrzés (útfelújítás II.)</t>
  </si>
  <si>
    <t xml:space="preserve">     Karbantartás, kisjavítás (fénymásolók, gépjármű karbantart., felvonó, hőszivattyú, klíma karbantart.)</t>
  </si>
  <si>
    <t xml:space="preserve">        Informatikai kellékek </t>
  </si>
  <si>
    <t xml:space="preserve">            Kőröshegyi utcai járdafelújítás Deák utcától Puskás utcáig</t>
  </si>
  <si>
    <t xml:space="preserve">            Kőröshegyi út részleges felújítása II. ütem</t>
  </si>
  <si>
    <t xml:space="preserve">        Partnervárosi találkozó szállítási költségei</t>
  </si>
  <si>
    <t xml:space="preserve">                     Kulturális bérfejlesztés és illetményemelés támogatás továbbadása</t>
  </si>
  <si>
    <t xml:space="preserve">          Otthonteremtési támogatás</t>
  </si>
  <si>
    <t xml:space="preserve">    Otthonteremtési támogatás</t>
  </si>
  <si>
    <t xml:space="preserve">    Otthonteremtési támogatás (nem saját foglalkoztatott)</t>
  </si>
  <si>
    <t xml:space="preserve">     Otthonteremtési támogatás </t>
  </si>
  <si>
    <t>Tervezés (Kőröshegyi út felújítása II.)</t>
  </si>
  <si>
    <t>Műszaki ellenőrzés (útfelújítás I.)</t>
  </si>
  <si>
    <t>Otthonteremtési támogatás</t>
  </si>
  <si>
    <t xml:space="preserve">               Dél-Balatoni Regionális Hulladékgazdálkodási Önkormányzati Társulás 2026. évi működési hozzájárulása</t>
  </si>
  <si>
    <t xml:space="preserve">            Sportöltöző felújítása</t>
  </si>
  <si>
    <t xml:space="preserve">          Otthonteremtési támogatás (Hivatalt illeti)</t>
  </si>
  <si>
    <t xml:space="preserve">2026. évi eredeti előirányzat </t>
  </si>
  <si>
    <t xml:space="preserve">Balatonföldvár Város Önkormányzatának 2026. évi intézményi szintű összes kiadásai, intézményfinanszírozása
</t>
  </si>
  <si>
    <t>Önkormányzat (eredeti előirányzat 2026. év)</t>
  </si>
  <si>
    <t xml:space="preserve">       Kötelező (eredeti előirányzat 2026. év)</t>
  </si>
  <si>
    <t xml:space="preserve">       Önként vállalt (eredeti előirányzat 2026. év)</t>
  </si>
  <si>
    <t xml:space="preserve">       Államigazgatási feladatok (eredeti előirányzat 2026. év)</t>
  </si>
  <si>
    <t>KÖH (eredeti előirányzat 2026. év)</t>
  </si>
  <si>
    <t>Önk.mindösszesen (eredeti előirányzat 2026. év)</t>
  </si>
  <si>
    <t xml:space="preserve">       Kötelező teljesítés 2025.12.31.</t>
  </si>
  <si>
    <t xml:space="preserve">       Önként vállalt teljesítés 2025.12.31.</t>
  </si>
  <si>
    <t>Balatonföldvár Város Önkormányzat bevételeinek és kiadásainak mérlegszerű kimutatása
2024-2026. év</t>
  </si>
  <si>
    <t>2026-2029. évi gördülő tervezése</t>
  </si>
  <si>
    <t>Balatonföldvár Város Önkormányzat 2026. évi bevétel-kiadási előirányzat-felhasználási ütemterve</t>
  </si>
  <si>
    <t xml:space="preserve">   2. Külföldi finanszírozás bevételei</t>
  </si>
  <si>
    <t xml:space="preserve">   3. Adóssághoz nem kapcsolódó származékos ügyletek bevételei</t>
  </si>
  <si>
    <t xml:space="preserve">        1.2. ÁHB megelőlegezések</t>
  </si>
  <si>
    <t>2024. évi
 teljesítés</t>
  </si>
  <si>
    <t>2025. évi várható teljesítés</t>
  </si>
  <si>
    <t>2026. évi felhalmozási bevételei, kiadásai</t>
  </si>
  <si>
    <t>2026. évi költségvetési rendelet módosítás indokai és hatásai a 2011. évi CXCV. törvény 23. §. (5) alapján</t>
  </si>
  <si>
    <t>1. melléklet az 5/2026.(II.23.) önkormányzati rendelethez</t>
  </si>
  <si>
    <t>2. melléklet az 5/2026.(II.23.) önkormányzati rendelethez</t>
  </si>
  <si>
    <t>3. melléklet az 5/2026.(II.23.) önkormányzati rendelethez</t>
  </si>
  <si>
    <t>4. melléklet az 5/2026.(II.23.) önkormányzati rendelethez</t>
  </si>
  <si>
    <t>5. melléklet az 5/2026.(II.23.) önkormányzati rendelethez</t>
  </si>
  <si>
    <t>6. melléklet az 5/2026.(II.23.) önkormányzati rendelethez</t>
  </si>
  <si>
    <t>7. melléklet az 5/2026.(II.23.) önkormányzati rendelethez</t>
  </si>
  <si>
    <t>8. melléklet az 5/2026.(II.23.) önkormányzati rendelethez</t>
  </si>
  <si>
    <t>9. melléklet az 5/2026.(II.23.) önkormányzati rendelethez</t>
  </si>
  <si>
    <t>10. melléklet az 5/2026.(II.23.) önkormányzati rendelethez</t>
  </si>
  <si>
    <t>11. melléklet az 5/2026.(II.23.) önkormányzati rendelethez</t>
  </si>
  <si>
    <t>15. melléklet az 5/2026.(II.23.) önkormányzati rendelethez</t>
  </si>
  <si>
    <t>16. melléklet az 5/2026.(II.23.) önkormányzati rendelethez</t>
  </si>
  <si>
    <t xml:space="preserve">     Megbízási díjak</t>
  </si>
  <si>
    <t xml:space="preserve">     Megbízási díjak, reprezentáció, távolléti díjak (választás)</t>
  </si>
  <si>
    <t>K1102</t>
  </si>
  <si>
    <t xml:space="preserve">     Normatív jutalmak (választás)</t>
  </si>
  <si>
    <t xml:space="preserve">B12 </t>
  </si>
  <si>
    <t xml:space="preserve">          Elvonások és befizetések bevétele (2025. évi HIPA elszám.-ból visszafizetés)</t>
  </si>
  <si>
    <t xml:space="preserve">   TOP-PLUSZ-6.1.4-23-SO1-2024-00001 Kishajós megállópontok fejlesztése a Balaton körül - Dél-Balatoni vízi kör ismételt támogatás lehívása</t>
  </si>
  <si>
    <t xml:space="preserve">      1. Egyéb felh.-i célú tám.visszafizetés (TOP-PLUSZ-6.1.4-23-SO1-2024-00001 Kishajós megállópontok fejlesztése pályázat támogatás visszafizetése)</t>
  </si>
  <si>
    <t>Előző év költségvetési maradványának igénybevétele</t>
  </si>
  <si>
    <t>még elvehető ei</t>
  </si>
  <si>
    <t xml:space="preserve">     Egyéb működési bevétel   </t>
  </si>
  <si>
    <t>a többletbevétel a működési kiadást finanszírozza</t>
  </si>
  <si>
    <t xml:space="preserve">     Fénymásoló karbantartása (átcsop. K336-ról; B411)</t>
  </si>
  <si>
    <t xml:space="preserve">     Foglalkozás egészségügyi ellátás (átcsop. K334-re)</t>
  </si>
  <si>
    <t xml:space="preserve">     Választások támogatása (ei. elvonás)</t>
  </si>
  <si>
    <t xml:space="preserve">     Törvény szerinti illetmények, munkabérek (átcsop.K122-re)</t>
  </si>
  <si>
    <t>tervezett többletköltség elvonás</t>
  </si>
  <si>
    <t xml:space="preserve">     Megbízási díj (átcsop.K1101, K123-ról)</t>
  </si>
  <si>
    <t xml:space="preserve">     Választási bizottság tiszteletdíja (választás) (átcsop.K122-re)</t>
  </si>
  <si>
    <t xml:space="preserve">     Normatív jutalom (választás) (átcsop.K1103-ról)</t>
  </si>
  <si>
    <t xml:space="preserve">     Céljutalom (választás) (ei. elvonás)</t>
  </si>
  <si>
    <t xml:space="preserve">     Céljutalom (választás) (ei. elvonás) (átcsop.K1102, K1104-re)</t>
  </si>
  <si>
    <t xml:space="preserve">     Helyettesítési díj (átcsop.K1103, K1113-ról)</t>
  </si>
  <si>
    <t xml:space="preserve">     Egyéb személyi juttatás (átcsop.K1104-re)</t>
  </si>
  <si>
    <t xml:space="preserve">     Élhető Települések Országos Szövetsége tagdíj 46/2026.(IV.24.)</t>
  </si>
  <si>
    <t>a hazai fenntartható településfejlesztési szemlélet előmozdítása a cél</t>
  </si>
  <si>
    <t xml:space="preserve">     Működési célú ÁFA </t>
  </si>
  <si>
    <t>módosított működési kiadások ÁFA vonzata</t>
  </si>
  <si>
    <t xml:space="preserve">     Szakértői vizsgálat, egyéb szakértői tevékenység 47/2026.(IV.24.)</t>
  </si>
  <si>
    <t xml:space="preserve">a vizsgálat alapján meghatározható, hogy hol szükséges új fizetős zónákat bevezetni, vagy hol indokolt a meglévő díjak és időtartam-korlátozások módosítása </t>
  </si>
  <si>
    <t xml:space="preserve">     Műemlékvédelmi hatástanulmány elkészítése 48/2026.(IV.24.)</t>
  </si>
  <si>
    <t>szakmai iránytű, amely közvetlenül befolyásolja az ingatlanfejlesztés költségeit, az építészeti tervezést és a kulturális örökség megmaradását</t>
  </si>
  <si>
    <t xml:space="preserve">     Közvetített szolgáltatások: tervezői ktg. 49/2026.(IV.24.)</t>
  </si>
  <si>
    <t xml:space="preserve">     Közvetített szolgáltatások ellenértéke (tervezői + bonyolítási díj) 49/2026.(IV.24.)</t>
  </si>
  <si>
    <t xml:space="preserve">     Balatonföldvárért kitüntető díj 57/2026.(IV.24.)</t>
  </si>
  <si>
    <t xml:space="preserve">    Balatonfoldvári Nonprofit Kft. működési támogatás (saját): strandgondnoki feladatok 70/2026.(V.28.)</t>
  </si>
  <si>
    <t>tiszta, rendezett strand, visszatérő, elégedett vendégek</t>
  </si>
  <si>
    <t xml:space="preserve">     Balatonföldvár, Hunyadi utca és a Séta út találkozása (33/3 hrsz.) értékesítése 82/2026.(VI.26.)</t>
  </si>
  <si>
    <t>a többletbevétel a tartalékot növeli</t>
  </si>
  <si>
    <t>szabványok és technológiák betartása, építési napló ellenőrzése</t>
  </si>
  <si>
    <t xml:space="preserve">     Települési önk.-ok egyes köznevelési feladatainak tám.-a (óvoda) (májusi felmérés alapján)</t>
  </si>
  <si>
    <t xml:space="preserve">     Köznevelési feladatok támogatás (május havi felmérés: óvoda póttámogatás)</t>
  </si>
  <si>
    <t xml:space="preserve">     Szociális étkeztetés (májusi felmérés alapján 4 fő lemondás)</t>
  </si>
  <si>
    <t>többletbevétel ÁFA vonzata</t>
  </si>
  <si>
    <t>bevételnövekedés</t>
  </si>
  <si>
    <t>többletköltség</t>
  </si>
  <si>
    <t xml:space="preserve">     Személyi gondozás - társulás által történő feladatellátás (májusi felmérés alapján)</t>
  </si>
  <si>
    <t xml:space="preserve">     Személyi gondozás (májusi felmérés: póttámogatás)</t>
  </si>
  <si>
    <t xml:space="preserve">     Bölcsőde támogatás (májusi felmérés üzemeltetési támogatás elvonás, bértámogatás)</t>
  </si>
  <si>
    <t xml:space="preserve">támogatás csökkenés hatására az intézmény kevesebb ktg.-gel számolhat  </t>
  </si>
  <si>
    <t xml:space="preserve">     Bölcsőde támogatás (május havi felmérés alapján)</t>
  </si>
  <si>
    <t>támogatás csökkenés</t>
  </si>
  <si>
    <t>póttámogatás (bértámogatás)</t>
  </si>
  <si>
    <t xml:space="preserve">     Óvoda támogatás: 2025. évi tanárbér emelés kiegészítő támogatása</t>
  </si>
  <si>
    <t xml:space="preserve">     Bölcsőde támogatás: 2025. évi tanárbér emelés kiegészítő támogatása</t>
  </si>
  <si>
    <t xml:space="preserve">     Óvoda és bölcsőde támogatás: 2025. évi tanárbér emelés kiegészítő támogatás átadása</t>
  </si>
  <si>
    <t>póttámogatás a béremeléshez</t>
  </si>
  <si>
    <t xml:space="preserve">     Polgármesteri illetményhez és költségtérítéshez nyújtott támogatás (átcsop.B115-ről)</t>
  </si>
  <si>
    <t>bevétel átcsoportosítás, kp.-i int: ei.elvonás</t>
  </si>
  <si>
    <t>kp.-i intézkedés hatására a ktgtérítés elvonása</t>
  </si>
  <si>
    <t>kp.-i intézkedés hatására a ktgtérítés elvonás járulék vonzata</t>
  </si>
  <si>
    <t xml:space="preserve">     Tel.i önk.-ok egyes köznevelési fel.nak tám.-a (óvoda) (esélyteremtési illetményrész támogatása) átcsop.B115-ről</t>
  </si>
  <si>
    <t xml:space="preserve">     Esélyteremtési illetményrész támogatása (átcsop.B112-re)</t>
  </si>
  <si>
    <t>B12</t>
  </si>
  <si>
    <t>kp.- intézkedés, többletbevétel a tartalékot növeli</t>
  </si>
  <si>
    <t xml:space="preserve">     TOP-PLUSZ-6.1.4-23-SO1-2024-00001 Kishajós megállópontok fejlesztése a Balaton körül - Dél-Balatoni vízi kör ismételt támogatás lehívása</t>
  </si>
  <si>
    <t xml:space="preserve">      Kishajós megállópontok fejlesztése pályázat fel nem használt előleg visszafizetése</t>
  </si>
  <si>
    <t xml:space="preserve"> a kitüntető díj adományozása befolyásolhatja a díjatott szakmai jövőjét és követendő példa lehet a közösség számára</t>
  </si>
  <si>
    <t xml:space="preserve">     Egyéb dologi kiadások (átcsop.K334-re)</t>
  </si>
  <si>
    <t xml:space="preserve">     Karbantartás, kisjavítás: autóban esett kár javítása (átcsop.K355-ről)</t>
  </si>
  <si>
    <t>kiadás átcsoportosítás, a megrongálódott gépjármű megjavítása</t>
  </si>
  <si>
    <t xml:space="preserve">a plusz bevétel fedezetet biztosít egyes kiadási tételeknek </t>
  </si>
  <si>
    <t xml:space="preserve">     Könyvtári szolgáltatásból származó bevétel (fénymásolás)</t>
  </si>
  <si>
    <t>többletbevétel fedezetet biztosít egyes kiadási tételeknek</t>
  </si>
  <si>
    <t xml:space="preserve">     Közvetített szolgáltatások ellenértéke: korábbi év közüzemi elszámoló számlája alapján</t>
  </si>
  <si>
    <t>az eljárását kezdeményezők által megtérített ktg.-ek fedezetet biztosítanak az eljárás kapcsán felmerülő kiadásoknak</t>
  </si>
  <si>
    <t xml:space="preserve">     Tulajdonosi bevételek: bérleti díj szerződés szerint</t>
  </si>
  <si>
    <t xml:space="preserve">     Spur István utcai tűzcsap létesítéséhez tartozó földmunkák elvégzése</t>
  </si>
  <si>
    <t>biztonsági és műszaki kockázatok csökkentése (közműsérülések elkerülése)</t>
  </si>
  <si>
    <t>tervezett kiadás átcsoportosítása</t>
  </si>
  <si>
    <t xml:space="preserve">     Karbantartás, kisjavítás (garázskapu javítás) (átcsop.K6-ra)</t>
  </si>
  <si>
    <t>tervezett kiadások átcsoportosítása</t>
  </si>
  <si>
    <t xml:space="preserve">     Fizetendő ÁFA (zöld város projekt)</t>
  </si>
  <si>
    <t xml:space="preserve">      "Balatonföldvár zöld város program megval.-a" (TOP-2.1.2-15-2016-00002) (nettó)</t>
  </si>
  <si>
    <t xml:space="preserve">     Egyéb szolgáltatás: rendelő és labor helyiségekbe klíma telepítés díja, légcserélők bekötése, erős és gyengeáram kiépítése (átcsop.K7-ről)</t>
  </si>
  <si>
    <t>klímák használata megfelelő mikroklímát biztosítanak és általuk javulhat a levegő minősége is (kiadás átcsoportosítás)</t>
  </si>
  <si>
    <t xml:space="preserve">      Bajor Gizi Közösségi Ház beázásnak helyreállítása (átcsop.K337, K351-re)</t>
  </si>
  <si>
    <t xml:space="preserve">     Járulékok (Boldog Békeidők projekt) (átcsop.K351-ről)</t>
  </si>
  <si>
    <t xml:space="preserve">     Megbízási díjak (Boldog Békeidők projekt) (átcsop.K336-ról)</t>
  </si>
  <si>
    <t xml:space="preserve">     Működési célú ÁFA (Boldog Békeidők projekt) (átcsop.K2-re)</t>
  </si>
  <si>
    <t xml:space="preserve">     Kommunikáció (Boldog Békeidők pályázat) (átcsop.K122-re)</t>
  </si>
  <si>
    <t xml:space="preserve">     Fizetendő ÁFA (Boldog Békeidők projekt) (ei.elvonás)</t>
  </si>
  <si>
    <t xml:space="preserve">   Folyószámlahitel törlesztés</t>
  </si>
  <si>
    <t xml:space="preserve">   Folyószámlahitel igénybevétele</t>
  </si>
  <si>
    <t>likviditás biztosítása</t>
  </si>
  <si>
    <t>adósságállomány rendezése</t>
  </si>
  <si>
    <t xml:space="preserve">     Városi programok megvalósítása: wc konténer bérlés (átcsop.K337-ről)</t>
  </si>
  <si>
    <t xml:space="preserve">     Városi programok megvalósítása (átcsop.K333-ra)</t>
  </si>
  <si>
    <t xml:space="preserve">        Élhető Települések Országos Szövetség tagdíj (46/2026.(IV.24.))</t>
  </si>
  <si>
    <t xml:space="preserve">        Szakértői vizsgálat, egyéb szakértői tevékenység (47/2026.(IV.24.))</t>
  </si>
  <si>
    <t xml:space="preserve">        Műemlékvédelmi hatástanulmány (48/2026.(IV.24.))</t>
  </si>
  <si>
    <t xml:space="preserve">             Balatonföldvárért kitüntető díj (57/2026.(IV.24.))</t>
  </si>
  <si>
    <t xml:space="preserve">        Safecross intelligens gyalogátkelő újratelepítése</t>
  </si>
  <si>
    <t xml:space="preserve">        Egyéb (érintésvédelem, üléstvezető tám.rendszer, közvil.üzemeltetés, riasztórendszer, szakvélemény, kültéri kandeláberek festése, mérőhelykiépítés, szállítás, épületbontás, földmunkák, lakhatási tám., klíma telepítés és bekötése, rendezvények)</t>
  </si>
  <si>
    <t>K9111</t>
  </si>
  <si>
    <t xml:space="preserve">        Likviditási célú hitelek, kölcsönök törlesztése pénzügyi vállalkozásnak </t>
  </si>
  <si>
    <t>K9112</t>
  </si>
  <si>
    <t xml:space="preserve"> Likviditási célú hitelek, kölcsönök törlesztése pénzügyi vállalkozásnak </t>
  </si>
  <si>
    <t xml:space="preserve">        1.3. Likviditási célú hitelek, kölcsönök felvétele pénzügyi vállalkozástól</t>
  </si>
  <si>
    <t xml:space="preserve">              Balatonföldvári Nonprofit Kft. működési támogatás (saját) (70/2026.(V.28.))</t>
  </si>
  <si>
    <t xml:space="preserve">      2. Ingatlanok értékesítése, lakásrészletek befizetései (82/2026.(VI.26.), 93/2026.(VII.7.), 94/2026.(VII.7.))</t>
  </si>
  <si>
    <t xml:space="preserve">     Balatonföldvár, Szigligeti utca 11-13. (634 hrsz.) értékesítése 93/2026.(VII.7.), 94/2026.(VII.7.)</t>
  </si>
  <si>
    <t xml:space="preserve">        Műszaki ellenőri feladatok (zöldváros projekt) (95/2026.(VII.7.))</t>
  </si>
  <si>
    <t xml:space="preserve">     Műszaki ellenőri feladatok ellátása (Zöldváros program) 95/2026.(VII.7.)</t>
  </si>
  <si>
    <t xml:space="preserve">            Szociális ágazati és kiegészítő szociális pótlék (TKT)</t>
  </si>
  <si>
    <t xml:space="preserve">     Szociális ágazati és kiegészítő szociális pótlék (átcsop.B115-ről)</t>
  </si>
  <si>
    <t xml:space="preserve">     Szociális ágazati és kiegészítő szociális pótlék (átcsoportosítás B1131-re) </t>
  </si>
  <si>
    <t>HA szept-ben a bértámogatást vissza kell fizetni</t>
  </si>
  <si>
    <t xml:space="preserve">11. melléklet </t>
  </si>
  <si>
    <t xml:space="preserve">     Elvonások és befizetések bevétele (2025. évi HIPA elszám.-ból visszafizetés)</t>
  </si>
  <si>
    <t>tervezett többlettámogatás ei. elvonás</t>
  </si>
  <si>
    <t xml:space="preserve">     Könyvértékesítés bevétele</t>
  </si>
  <si>
    <t>B8112</t>
  </si>
  <si>
    <t xml:space="preserve">        Csatlakozási alapdíj, mérőhely kialakítása:áram (Boldog Békeidők projekt)</t>
  </si>
  <si>
    <t>biztonságosabb közlekedés biztosítása, fogyasztási hely kialakítása</t>
  </si>
  <si>
    <t xml:space="preserve">     Inteligens gyalogátkelőhely újratelepítése, csatlakozási alapdíj, mérőhely kialakítása: áram (Boldog Békeidők projekt)</t>
  </si>
  <si>
    <t xml:space="preserve">              Garázskapu cseréje</t>
  </si>
  <si>
    <t xml:space="preserve">      Garázskapu cseréje (átcsop.K334-ről)</t>
  </si>
  <si>
    <t>központi intézkedés, jogszabályi kötelezettség (fel nem használt előlegek visszafizetése)</t>
  </si>
  <si>
    <t xml:space="preserve">        Szoc.tűzifa szállítási ktg.</t>
  </si>
  <si>
    <t>kp.int., rászoruló családok támogatása</t>
  </si>
  <si>
    <t>rászoruló családok tüzelőanyagköltségének csökkentése</t>
  </si>
  <si>
    <t xml:space="preserve">     Szociális célú tűzifa beszerzés (tervezet)</t>
  </si>
  <si>
    <t xml:space="preserve">     A települési önkormányzatok szociális célú tüzelőanyag vásárlásához kapcsolódó tám.-a (tervezet)</t>
  </si>
  <si>
    <t xml:space="preserve">     Szoc.tűzifa szállítási ktg.-e</t>
  </si>
  <si>
    <t xml:space="preserve">   Fin.bev: folyószámlahitel folyósítás</t>
  </si>
  <si>
    <t xml:space="preserve">   Fin.kiadások: megelőlegezés, hiteltörl.)</t>
  </si>
  <si>
    <t xml:space="preserve">   Folyószámlahitel tőketörlesztése</t>
  </si>
  <si>
    <t>Hitel felvétel/folyószámlahitel</t>
  </si>
  <si>
    <t>Finanszíroási bevétel (hitelek)</t>
  </si>
  <si>
    <t>Belföldi finanszírozás
kiadásai (hiteltörlesztések, ÁHB megelőlegezés)</t>
  </si>
  <si>
    <t>Módosított előirányzat 2026.10.havi</t>
  </si>
  <si>
    <t>mód.ei.          2026.10.hó</t>
  </si>
  <si>
    <t>Önkormányzat (módosított előirányzat 2026.10.havi)</t>
  </si>
  <si>
    <t xml:space="preserve">       Kötelező (módosított előirányzat 2026.10. havi)</t>
  </si>
  <si>
    <t xml:space="preserve">       Önként vállalt (módosított előirányzat 2026.10. havi)</t>
  </si>
  <si>
    <t>Önk.mindösszesen (módosított ei. 2026.10. havi)</t>
  </si>
  <si>
    <t>a 12/2026.(X.2.) önkormányzati rendelethez</t>
  </si>
  <si>
    <t>KÖH (módosított előirányzat 2026.10. havi)</t>
  </si>
  <si>
    <t>Módosított előirányzat 2026.10.hó</t>
  </si>
  <si>
    <t xml:space="preserve">      Kőröshegyi utcai járdafelújítás Deák utcától Puskás utcáig</t>
  </si>
  <si>
    <t xml:space="preserve">     Egyéb szolgáltatás (átcsop.K7-ről)</t>
  </si>
  <si>
    <t xml:space="preserve">     Egyéb szakmai tev.segítő szolgáltatás (átcsop.K7-ről)</t>
  </si>
  <si>
    <t xml:space="preserve">     Egyéb közhatalmi bevételek: betelepülési hozzájárulás</t>
  </si>
  <si>
    <t>Kikötőhöz vezető út tervezése 39/2026.(III.20.)</t>
  </si>
  <si>
    <t>Közbeszerzés (Boldog Békeidők)</t>
  </si>
  <si>
    <t xml:space="preserve">     Szakmai anyagok beszerzése: könyvbeszerzés könyvtár (átcsop.K351-ről)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</si>
</sst>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Ft&quot;;[Red]\-#,##0\ &quot;Ft&quot;"/>
    <numFmt numFmtId="164" formatCode="_-* #,##0.00\ _F_t_-;\-* #,##0.00\ _F_t_-;_-* &quot;-&quot;??\ _F_t_-;_-@_-"/>
    <numFmt numFmtId="165" formatCode="_-* #,##0.00\ _F_t_-;\-* #,##0.00\ _F_t_-;_-* \-??\ _F_t_-;_-@_-"/>
  </numFmts>
  <fonts count="9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i/>
      <sz val="14"/>
      <name val="Times New Roman"/>
      <family val="1"/>
      <charset val="238"/>
    </font>
    <font>
      <sz val="14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b/>
      <sz val="8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9"/>
      <name val="Arial CE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7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6"/>
      <name val="Times New Roman"/>
      <family val="1"/>
      <charset val="238"/>
    </font>
    <font>
      <sz val="9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u/>
      <sz val="12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u/>
      <sz val="12"/>
      <name val="Arial CE"/>
      <charset val="238"/>
    </font>
    <font>
      <b/>
      <i/>
      <sz val="10"/>
      <name val="Arial CE"/>
      <family val="2"/>
      <charset val="238"/>
    </font>
    <font>
      <i/>
      <sz val="12"/>
      <name val="Times New Roman"/>
      <family val="1"/>
      <charset val="238"/>
    </font>
    <font>
      <sz val="10"/>
      <color indexed="10"/>
      <name val="Arial CE"/>
      <family val="2"/>
      <charset val="238"/>
    </font>
    <font>
      <i/>
      <sz val="10"/>
      <name val="Arial CE"/>
      <charset val="238"/>
    </font>
    <font>
      <b/>
      <i/>
      <sz val="9"/>
      <name val="Arial CE"/>
      <family val="2"/>
      <charset val="238"/>
    </font>
    <font>
      <sz val="7"/>
      <name val="Arial CE"/>
      <charset val="238"/>
    </font>
    <font>
      <b/>
      <sz val="9"/>
      <name val="Arial CE"/>
      <charset val="238"/>
    </font>
    <font>
      <b/>
      <i/>
      <sz val="8"/>
      <name val="Arial CE"/>
      <family val="2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 CE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sz val="10"/>
      <color rgb="FF000000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8"/>
      <color rgb="FFFF0000"/>
      <name val="Arial CE"/>
      <charset val="238"/>
    </font>
    <font>
      <sz val="10"/>
      <color theme="1"/>
      <name val="Arial"/>
      <family val="2"/>
      <charset val="238"/>
    </font>
    <font>
      <b/>
      <i/>
      <u/>
      <sz val="12"/>
      <name val="Arial"/>
      <family val="2"/>
      <charset val="238"/>
    </font>
    <font>
      <sz val="10"/>
      <name val="Times New Roman"/>
      <family val="1"/>
      <charset val="1"/>
    </font>
    <font>
      <sz val="10"/>
      <color theme="1"/>
      <name val="Arial CE"/>
      <charset val="238"/>
    </font>
    <font>
      <b/>
      <i/>
      <sz val="9"/>
      <name val="Arial CE"/>
      <charset val="238"/>
    </font>
    <font>
      <i/>
      <sz val="9"/>
      <name val="Times New Roman"/>
      <family val="1"/>
      <charset val="238"/>
    </font>
    <font>
      <b/>
      <sz val="10"/>
      <color rgb="FFED0000"/>
      <name val="Times New Roman"/>
      <family val="1"/>
      <charset val="238"/>
    </font>
    <font>
      <sz val="9"/>
      <color rgb="FFFF0000"/>
      <name val="Arial CE"/>
      <charset val="238"/>
    </font>
    <font>
      <b/>
      <i/>
      <sz val="8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8"/>
      <color theme="0"/>
      <name val="Times New Roman"/>
      <family val="1"/>
      <charset val="238"/>
    </font>
    <font>
      <i/>
      <sz val="8"/>
      <name val="Arial CE"/>
      <charset val="238"/>
    </font>
    <font>
      <b/>
      <sz val="12"/>
      <name val="Arial CE"/>
      <charset val="238"/>
    </font>
    <font>
      <sz val="10"/>
      <color rgb="FFFF0000"/>
      <name val="Arial CE"/>
      <charset val="238"/>
    </font>
    <font>
      <sz val="11"/>
      <color rgb="FF000000"/>
      <name val="Calibri"/>
      <family val="2"/>
      <charset val="238"/>
    </font>
    <font>
      <b/>
      <i/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7"/>
      <name val="Arial CE"/>
      <charset val="238"/>
    </font>
    <font>
      <sz val="9.5"/>
      <name val="Times New Roman"/>
      <family val="1"/>
      <charset val="238"/>
    </font>
    <font>
      <b/>
      <sz val="10"/>
      <color rgb="FF222222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22"/>
      </patternFill>
    </fill>
    <fill>
      <patternFill patternType="solid">
        <fgColor rgb="FF00B0F0"/>
        <bgColor rgb="FF000000"/>
      </patternFill>
    </fill>
    <fill>
      <patternFill patternType="solid">
        <fgColor rgb="FF76E3FF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5">
    <xf numFmtId="0" fontId="0" fillId="0" borderId="0"/>
    <xf numFmtId="164" fontId="13" fillId="0" borderId="0" applyFont="0" applyFill="0" applyBorder="0" applyAlignment="0" applyProtection="0"/>
    <xf numFmtId="165" fontId="22" fillId="0" borderId="0" applyFill="0" applyBorder="0" applyAlignment="0" applyProtection="0"/>
    <xf numFmtId="0" fontId="13" fillId="0" borderId="0"/>
    <xf numFmtId="0" fontId="13" fillId="0" borderId="0"/>
    <xf numFmtId="0" fontId="59" fillId="0" borderId="0"/>
    <xf numFmtId="0" fontId="50" fillId="0" borderId="0"/>
    <xf numFmtId="0" fontId="52" fillId="0" borderId="0"/>
    <xf numFmtId="0" fontId="53" fillId="0" borderId="0"/>
    <xf numFmtId="0" fontId="22" fillId="0" borderId="0"/>
    <xf numFmtId="0" fontId="8" fillId="0" borderId="0"/>
    <xf numFmtId="0" fontId="55" fillId="0" borderId="0"/>
    <xf numFmtId="0" fontId="13" fillId="0" borderId="0"/>
    <xf numFmtId="0" fontId="3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</cellStyleXfs>
  <cellXfs count="934">
    <xf numFmtId="0" fontId="0" fillId="0" borderId="0" xfId="0"/>
    <xf numFmtId="0" fontId="4" fillId="2" borderId="0" xfId="0" applyFont="1" applyFill="1"/>
    <xf numFmtId="0" fontId="4" fillId="0" borderId="0" xfId="0" applyFont="1"/>
    <xf numFmtId="0" fontId="0" fillId="2" borderId="0" xfId="0" applyFill="1"/>
    <xf numFmtId="0" fontId="12" fillId="0" borderId="0" xfId="0" applyFont="1"/>
    <xf numFmtId="3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/>
    <xf numFmtId="3" fontId="4" fillId="0" borderId="0" xfId="0" applyNumberFormat="1" applyFont="1"/>
    <xf numFmtId="0" fontId="4" fillId="0" borderId="1" xfId="0" applyFont="1" applyBorder="1"/>
    <xf numFmtId="0" fontId="14" fillId="0" borderId="0" xfId="0" applyFont="1"/>
    <xf numFmtId="0" fontId="4" fillId="2" borderId="0" xfId="0" applyFont="1" applyFill="1" applyAlignment="1">
      <alignment horizontal="right"/>
    </xf>
    <xf numFmtId="3" fontId="4" fillId="0" borderId="1" xfId="0" applyNumberFormat="1" applyFont="1" applyBorder="1"/>
    <xf numFmtId="0" fontId="4" fillId="0" borderId="2" xfId="0" applyFont="1" applyBorder="1"/>
    <xf numFmtId="3" fontId="4" fillId="0" borderId="1" xfId="0" applyNumberFormat="1" applyFont="1" applyBorder="1" applyAlignment="1">
      <alignment horizontal="right"/>
    </xf>
    <xf numFmtId="0" fontId="7" fillId="0" borderId="1" xfId="0" applyFont="1" applyBorder="1"/>
    <xf numFmtId="0" fontId="4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horizontal="left" vertical="center"/>
    </xf>
    <xf numFmtId="0" fontId="7" fillId="0" borderId="2" xfId="0" applyFont="1" applyBorder="1"/>
    <xf numFmtId="0" fontId="6" fillId="0" borderId="1" xfId="0" applyFont="1" applyBorder="1"/>
    <xf numFmtId="0" fontId="7" fillId="2" borderId="1" xfId="0" applyFont="1" applyFill="1" applyBorder="1"/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17" fillId="0" borderId="0" xfId="0" applyFont="1"/>
    <xf numFmtId="3" fontId="17" fillId="0" borderId="0" xfId="0" applyNumberFormat="1" applyFont="1"/>
    <xf numFmtId="0" fontId="14" fillId="0" borderId="3" xfId="0" applyFont="1" applyBorder="1"/>
    <xf numFmtId="0" fontId="4" fillId="0" borderId="1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/>
    </xf>
    <xf numFmtId="3" fontId="14" fillId="0" borderId="1" xfId="0" applyNumberFormat="1" applyFont="1" applyBorder="1"/>
    <xf numFmtId="0" fontId="16" fillId="2" borderId="0" xfId="0" applyFont="1" applyFill="1"/>
    <xf numFmtId="3" fontId="21" fillId="0" borderId="1" xfId="0" applyNumberFormat="1" applyFont="1" applyBorder="1"/>
    <xf numFmtId="3" fontId="19" fillId="0" borderId="1" xfId="0" applyNumberFormat="1" applyFont="1" applyBorder="1" applyAlignment="1">
      <alignment horizontal="right"/>
    </xf>
    <xf numFmtId="3" fontId="14" fillId="0" borderId="0" xfId="0" applyNumberFormat="1" applyFont="1"/>
    <xf numFmtId="3" fontId="6" fillId="0" borderId="1" xfId="0" applyNumberFormat="1" applyFont="1" applyBorder="1"/>
    <xf numFmtId="3" fontId="4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3" fontId="11" fillId="4" borderId="6" xfId="0" applyNumberFormat="1" applyFont="1" applyFill="1" applyBorder="1" applyAlignment="1">
      <alignment horizontal="right"/>
    </xf>
    <xf numFmtId="3" fontId="4" fillId="0" borderId="1" xfId="0" applyNumberFormat="1" applyFont="1" applyBorder="1" applyAlignment="1">
      <alignment horizontal="center"/>
    </xf>
    <xf numFmtId="0" fontId="13" fillId="0" borderId="0" xfId="0" applyFont="1"/>
    <xf numFmtId="0" fontId="21" fillId="0" borderId="0" xfId="0" applyFont="1"/>
    <xf numFmtId="0" fontId="4" fillId="0" borderId="3" xfId="0" applyFont="1" applyBorder="1" applyAlignment="1">
      <alignment horizontal="left" vertical="center"/>
    </xf>
    <xf numFmtId="0" fontId="4" fillId="5" borderId="0" xfId="0" applyFont="1" applyFill="1" applyAlignment="1">
      <alignment horizontal="center"/>
    </xf>
    <xf numFmtId="0" fontId="0" fillId="5" borderId="0" xfId="0" applyFill="1"/>
    <xf numFmtId="0" fontId="4" fillId="0" borderId="0" xfId="0" applyFont="1" applyAlignment="1">
      <alignment horizontal="right"/>
    </xf>
    <xf numFmtId="0" fontId="4" fillId="5" borderId="0" xfId="0" applyFont="1" applyFill="1"/>
    <xf numFmtId="3" fontId="4" fillId="0" borderId="0" xfId="0" applyNumberFormat="1" applyFont="1" applyAlignment="1">
      <alignment horizontal="right"/>
    </xf>
    <xf numFmtId="0" fontId="24" fillId="2" borderId="0" xfId="0" applyFont="1" applyFill="1" applyAlignment="1">
      <alignment horizontal="right"/>
    </xf>
    <xf numFmtId="3" fontId="0" fillId="0" borderId="1" xfId="0" applyNumberFormat="1" applyBorder="1"/>
    <xf numFmtId="0" fontId="26" fillId="0" borderId="1" xfId="0" applyFont="1" applyBorder="1"/>
    <xf numFmtId="0" fontId="0" fillId="0" borderId="1" xfId="0" applyBorder="1"/>
    <xf numFmtId="0" fontId="0" fillId="2" borderId="1" xfId="0" applyFill="1" applyBorder="1"/>
    <xf numFmtId="0" fontId="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3" fontId="29" fillId="0" borderId="0" xfId="0" applyNumberFormat="1" applyFont="1" applyAlignment="1">
      <alignment vertical="center"/>
    </xf>
    <xf numFmtId="3" fontId="7" fillId="3" borderId="1" xfId="0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2" xfId="1" applyNumberFormat="1" applyFont="1" applyFill="1" applyBorder="1" applyAlignment="1">
      <alignment horizontal="right" vertical="center"/>
    </xf>
    <xf numFmtId="3" fontId="29" fillId="0" borderId="7" xfId="0" applyNumberFormat="1" applyFont="1" applyBorder="1" applyAlignment="1">
      <alignment vertical="center"/>
    </xf>
    <xf numFmtId="0" fontId="18" fillId="3" borderId="8" xfId="0" applyFont="1" applyFill="1" applyBorder="1" applyAlignment="1">
      <alignment horizontal="center" vertical="center" wrapText="1"/>
    </xf>
    <xf numFmtId="3" fontId="24" fillId="0" borderId="1" xfId="0" applyNumberFormat="1" applyFont="1" applyBorder="1" applyAlignment="1">
      <alignment horizontal="right"/>
    </xf>
    <xf numFmtId="3" fontId="34" fillId="0" borderId="1" xfId="0" applyNumberFormat="1" applyFont="1" applyBorder="1" applyAlignment="1">
      <alignment horizontal="right"/>
    </xf>
    <xf numFmtId="9" fontId="17" fillId="0" borderId="0" xfId="0" applyNumberFormat="1" applyFont="1"/>
    <xf numFmtId="3" fontId="0" fillId="0" borderId="0" xfId="0" applyNumberFormat="1"/>
    <xf numFmtId="0" fontId="7" fillId="4" borderId="4" xfId="0" applyFont="1" applyFill="1" applyBorder="1" applyAlignment="1">
      <alignment horizontal="left"/>
    </xf>
    <xf numFmtId="3" fontId="4" fillId="0" borderId="1" xfId="0" applyNumberFormat="1" applyFont="1" applyBorder="1" applyAlignment="1">
      <alignment vertical="center" wrapText="1"/>
    </xf>
    <xf numFmtId="3" fontId="4" fillId="0" borderId="2" xfId="0" applyNumberFormat="1" applyFont="1" applyBorder="1"/>
    <xf numFmtId="0" fontId="9" fillId="0" borderId="1" xfId="0" applyFont="1" applyBorder="1"/>
    <xf numFmtId="3" fontId="4" fillId="0" borderId="3" xfId="0" applyNumberFormat="1" applyFont="1" applyBorder="1"/>
    <xf numFmtId="3" fontId="4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24" fillId="5" borderId="0" xfId="0" applyFont="1" applyFill="1" applyAlignment="1">
      <alignment horizontal="right"/>
    </xf>
    <xf numFmtId="0" fontId="8" fillId="2" borderId="0" xfId="0" applyFont="1" applyFill="1"/>
    <xf numFmtId="0" fontId="36" fillId="2" borderId="0" xfId="0" applyFont="1" applyFill="1"/>
    <xf numFmtId="0" fontId="24" fillId="2" borderId="0" xfId="0" applyFont="1" applyFill="1"/>
    <xf numFmtId="0" fontId="36" fillId="2" borderId="0" xfId="0" applyFont="1" applyFill="1" applyAlignment="1">
      <alignment horizontal="right"/>
    </xf>
    <xf numFmtId="0" fontId="24" fillId="0" borderId="0" xfId="0" applyFont="1"/>
    <xf numFmtId="0" fontId="24" fillId="0" borderId="0" xfId="0" applyFont="1" applyAlignment="1">
      <alignment horizontal="right"/>
    </xf>
    <xf numFmtId="3" fontId="10" fillId="0" borderId="0" xfId="0" applyNumberFormat="1" applyFont="1"/>
    <xf numFmtId="0" fontId="10" fillId="2" borderId="1" xfId="0" applyFont="1" applyFill="1" applyBorder="1"/>
    <xf numFmtId="3" fontId="36" fillId="0" borderId="0" xfId="0" applyNumberFormat="1" applyFont="1"/>
    <xf numFmtId="0" fontId="36" fillId="0" borderId="0" xfId="0" applyFont="1"/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0" borderId="9" xfId="0" applyFont="1" applyBorder="1"/>
    <xf numFmtId="0" fontId="10" fillId="0" borderId="10" xfId="0" applyFont="1" applyBorder="1"/>
    <xf numFmtId="0" fontId="0" fillId="0" borderId="11" xfId="0" applyBorder="1"/>
    <xf numFmtId="3" fontId="10" fillId="0" borderId="12" xfId="0" applyNumberFormat="1" applyFont="1" applyBorder="1"/>
    <xf numFmtId="0" fontId="10" fillId="0" borderId="11" xfId="0" applyFont="1" applyBorder="1"/>
    <xf numFmtId="3" fontId="10" fillId="0" borderId="1" xfId="0" applyNumberFormat="1" applyFont="1" applyBorder="1"/>
    <xf numFmtId="0" fontId="10" fillId="0" borderId="13" xfId="0" applyFont="1" applyBorder="1"/>
    <xf numFmtId="3" fontId="10" fillId="2" borderId="8" xfId="0" applyNumberFormat="1" applyFont="1" applyFill="1" applyBorder="1"/>
    <xf numFmtId="3" fontId="10" fillId="2" borderId="14" xfId="0" applyNumberFormat="1" applyFont="1" applyFill="1" applyBorder="1"/>
    <xf numFmtId="0" fontId="10" fillId="2" borderId="0" xfId="0" applyFont="1" applyFill="1"/>
    <xf numFmtId="0" fontId="43" fillId="2" borderId="0" xfId="0" applyFont="1" applyFill="1"/>
    <xf numFmtId="0" fontId="2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7" fillId="4" borderId="15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6" borderId="1" xfId="0" applyFont="1" applyFill="1" applyBorder="1"/>
    <xf numFmtId="3" fontId="7" fillId="6" borderId="2" xfId="0" applyNumberFormat="1" applyFont="1" applyFill="1" applyBorder="1"/>
    <xf numFmtId="3" fontId="24" fillId="0" borderId="3" xfId="0" applyNumberFormat="1" applyFont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44" fillId="6" borderId="1" xfId="0" applyFont="1" applyFill="1" applyBorder="1"/>
    <xf numFmtId="0" fontId="10" fillId="6" borderId="1" xfId="0" applyFont="1" applyFill="1" applyBorder="1" applyAlignment="1">
      <alignment horizontal="center" vertical="center" wrapText="1"/>
    </xf>
    <xf numFmtId="3" fontId="8" fillId="6" borderId="1" xfId="0" applyNumberFormat="1" applyFont="1" applyFill="1" applyBorder="1"/>
    <xf numFmtId="0" fontId="0" fillId="0" borderId="11" xfId="0" applyBorder="1" applyAlignment="1">
      <alignment wrapText="1"/>
    </xf>
    <xf numFmtId="3" fontId="7" fillId="7" borderId="4" xfId="0" applyNumberFormat="1" applyFont="1" applyFill="1" applyBorder="1" applyAlignment="1">
      <alignment horizontal="left" vertical="center"/>
    </xf>
    <xf numFmtId="3" fontId="7" fillId="7" borderId="5" xfId="1" applyNumberFormat="1" applyFont="1" applyFill="1" applyBorder="1" applyAlignment="1">
      <alignment horizontal="right" vertical="center"/>
    </xf>
    <xf numFmtId="3" fontId="7" fillId="7" borderId="6" xfId="0" applyNumberFormat="1" applyFont="1" applyFill="1" applyBorder="1" applyAlignment="1">
      <alignment vertical="center"/>
    </xf>
    <xf numFmtId="3" fontId="30" fillId="7" borderId="5" xfId="1" applyNumberFormat="1" applyFont="1" applyFill="1" applyBorder="1" applyAlignment="1">
      <alignment horizontal="right" vertical="center"/>
    </xf>
    <xf numFmtId="3" fontId="30" fillId="7" borderId="6" xfId="1" applyNumberFormat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3" fontId="17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7" fillId="7" borderId="5" xfId="0" applyNumberFormat="1" applyFont="1" applyFill="1" applyBorder="1" applyAlignment="1">
      <alignment vertical="center"/>
    </xf>
    <xf numFmtId="3" fontId="28" fillId="7" borderId="4" xfId="0" applyNumberFormat="1" applyFont="1" applyFill="1" applyBorder="1" applyAlignment="1">
      <alignment horizontal="left" vertical="center" wrapText="1"/>
    </xf>
    <xf numFmtId="3" fontId="28" fillId="7" borderId="5" xfId="0" applyNumberFormat="1" applyFont="1" applyFill="1" applyBorder="1" applyAlignment="1">
      <alignment vertical="center"/>
    </xf>
    <xf numFmtId="3" fontId="28" fillId="7" borderId="6" xfId="0" applyNumberFormat="1" applyFont="1" applyFill="1" applyBorder="1" applyAlignment="1">
      <alignment vertical="center"/>
    </xf>
    <xf numFmtId="3" fontId="7" fillId="0" borderId="1" xfId="1" applyNumberFormat="1" applyFont="1" applyFill="1" applyBorder="1" applyAlignment="1">
      <alignment horizontal="right" vertical="center"/>
    </xf>
    <xf numFmtId="3" fontId="7" fillId="0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36" fillId="5" borderId="0" xfId="0" applyFont="1" applyFill="1"/>
    <xf numFmtId="0" fontId="37" fillId="2" borderId="0" xfId="0" applyFont="1" applyFill="1"/>
    <xf numFmtId="0" fontId="19" fillId="2" borderId="4" xfId="0" applyFont="1" applyFill="1" applyBorder="1"/>
    <xf numFmtId="0" fontId="19" fillId="2" borderId="5" xfId="0" applyFont="1" applyFill="1" applyBorder="1"/>
    <xf numFmtId="3" fontId="19" fillId="2" borderId="5" xfId="0" applyNumberFormat="1" applyFont="1" applyFill="1" applyBorder="1"/>
    <xf numFmtId="49" fontId="4" fillId="0" borderId="2" xfId="0" applyNumberFormat="1" applyFont="1" applyBorder="1" applyAlignment="1">
      <alignment horizontal="right"/>
    </xf>
    <xf numFmtId="3" fontId="8" fillId="0" borderId="1" xfId="0" applyNumberFormat="1" applyFont="1" applyBorder="1"/>
    <xf numFmtId="0" fontId="4" fillId="0" borderId="16" xfId="0" applyFont="1" applyBorder="1" applyAlignment="1">
      <alignment horizontal="left" vertical="center" wrapText="1"/>
    </xf>
    <xf numFmtId="0" fontId="7" fillId="0" borderId="3" xfId="0" applyFont="1" applyBorder="1"/>
    <xf numFmtId="3" fontId="19" fillId="0" borderId="1" xfId="0" applyNumberFormat="1" applyFont="1" applyBorder="1"/>
    <xf numFmtId="3" fontId="7" fillId="6" borderId="1" xfId="0" applyNumberFormat="1" applyFont="1" applyFill="1" applyBorder="1"/>
    <xf numFmtId="0" fontId="24" fillId="0" borderId="1" xfId="0" applyFont="1" applyBorder="1"/>
    <xf numFmtId="0" fontId="7" fillId="6" borderId="2" xfId="0" applyFont="1" applyFill="1" applyBorder="1"/>
    <xf numFmtId="0" fontId="9" fillId="0" borderId="17" xfId="0" applyFont="1" applyBorder="1"/>
    <xf numFmtId="3" fontId="24" fillId="0" borderId="3" xfId="0" applyNumberFormat="1" applyFont="1" applyBorder="1"/>
    <xf numFmtId="3" fontId="5" fillId="6" borderId="5" xfId="0" applyNumberFormat="1" applyFont="1" applyFill="1" applyBorder="1"/>
    <xf numFmtId="0" fontId="9" fillId="0" borderId="3" xfId="0" applyFont="1" applyBorder="1"/>
    <xf numFmtId="3" fontId="7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/>
    <xf numFmtId="3" fontId="15" fillId="0" borderId="1" xfId="0" applyNumberFormat="1" applyFont="1" applyBorder="1" applyAlignment="1">
      <alignment horizontal="right"/>
    </xf>
    <xf numFmtId="3" fontId="7" fillId="6" borderId="3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/>
    </xf>
    <xf numFmtId="0" fontId="4" fillId="0" borderId="3" xfId="0" applyFont="1" applyBorder="1"/>
    <xf numFmtId="3" fontId="32" fillId="0" borderId="0" xfId="0" applyNumberFormat="1" applyFont="1"/>
    <xf numFmtId="0" fontId="4" fillId="0" borderId="2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26" fillId="0" borderId="0" xfId="0" applyNumberFormat="1" applyFont="1"/>
    <xf numFmtId="0" fontId="26" fillId="0" borderId="0" xfId="0" applyFont="1"/>
    <xf numFmtId="3" fontId="5" fillId="0" borderId="2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vertical="center"/>
    </xf>
    <xf numFmtId="3" fontId="5" fillId="0" borderId="3" xfId="0" applyNumberFormat="1" applyFont="1" applyBorder="1"/>
    <xf numFmtId="0" fontId="5" fillId="0" borderId="2" xfId="0" applyFont="1" applyBorder="1" applyAlignment="1">
      <alignment vertical="center"/>
    </xf>
    <xf numFmtId="3" fontId="17" fillId="0" borderId="1" xfId="0" applyNumberFormat="1" applyFont="1" applyBorder="1" applyAlignment="1">
      <alignment horizontal="right"/>
    </xf>
    <xf numFmtId="0" fontId="4" fillId="5" borderId="0" xfId="0" applyFont="1" applyFill="1" applyAlignment="1">
      <alignment horizontal="right"/>
    </xf>
    <xf numFmtId="0" fontId="41" fillId="3" borderId="18" xfId="0" applyFont="1" applyFill="1" applyBorder="1" applyAlignment="1">
      <alignment horizontal="center" vertical="center" wrapText="1"/>
    </xf>
    <xf numFmtId="3" fontId="11" fillId="4" borderId="5" xfId="0" applyNumberFormat="1" applyFont="1" applyFill="1" applyBorder="1" applyAlignment="1">
      <alignment horizontal="right"/>
    </xf>
    <xf numFmtId="0" fontId="16" fillId="5" borderId="0" xfId="0" applyFont="1" applyFill="1"/>
    <xf numFmtId="3" fontId="4" fillId="5" borderId="0" xfId="0" applyNumberFormat="1" applyFont="1" applyFill="1" applyAlignment="1">
      <alignment horizontal="right"/>
    </xf>
    <xf numFmtId="0" fontId="17" fillId="5" borderId="0" xfId="0" applyFont="1" applyFill="1"/>
    <xf numFmtId="3" fontId="19" fillId="0" borderId="5" xfId="0" applyNumberFormat="1" applyFont="1" applyBorder="1"/>
    <xf numFmtId="3" fontId="9" fillId="2" borderId="1" xfId="0" applyNumberFormat="1" applyFont="1" applyFill="1" applyBorder="1" applyAlignment="1">
      <alignment horizontal="right"/>
    </xf>
    <xf numFmtId="3" fontId="14" fillId="5" borderId="0" xfId="0" applyNumberFormat="1" applyFont="1" applyFill="1"/>
    <xf numFmtId="0" fontId="6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wrapText="1"/>
    </xf>
    <xf numFmtId="3" fontId="7" fillId="0" borderId="0" xfId="0" applyNumberFormat="1" applyFont="1"/>
    <xf numFmtId="3" fontId="5" fillId="0" borderId="1" xfId="0" applyNumberFormat="1" applyFont="1" applyBorder="1" applyAlignment="1">
      <alignment horizontal="right" vertical="center"/>
    </xf>
    <xf numFmtId="3" fontId="33" fillId="0" borderId="1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3" fontId="17" fillId="0" borderId="1" xfId="0" applyNumberFormat="1" applyFont="1" applyBorder="1"/>
    <xf numFmtId="3" fontId="47" fillId="0" borderId="0" xfId="0" applyNumberFormat="1" applyFont="1"/>
    <xf numFmtId="3" fontId="0" fillId="8" borderId="19" xfId="0" applyNumberFormat="1" applyFill="1" applyBorder="1"/>
    <xf numFmtId="0" fontId="7" fillId="0" borderId="4" xfId="0" applyFont="1" applyBorder="1"/>
    <xf numFmtId="0" fontId="7" fillId="0" borderId="0" xfId="0" applyFont="1"/>
    <xf numFmtId="0" fontId="11" fillId="6" borderId="20" xfId="0" applyFont="1" applyFill="1" applyBorder="1" applyAlignment="1">
      <alignment horizontal="left"/>
    </xf>
    <xf numFmtId="3" fontId="5" fillId="6" borderId="21" xfId="0" applyNumberFormat="1" applyFont="1" applyFill="1" applyBorder="1"/>
    <xf numFmtId="0" fontId="60" fillId="0" borderId="0" xfId="0" applyFont="1"/>
    <xf numFmtId="0" fontId="61" fillId="0" borderId="0" xfId="0" applyFont="1"/>
    <xf numFmtId="0" fontId="61" fillId="5" borderId="0" xfId="0" applyFont="1" applyFill="1"/>
    <xf numFmtId="0" fontId="7" fillId="6" borderId="3" xfId="0" applyFont="1" applyFill="1" applyBorder="1"/>
    <xf numFmtId="0" fontId="6" fillId="6" borderId="4" xfId="0" applyFont="1" applyFill="1" applyBorder="1"/>
    <xf numFmtId="0" fontId="33" fillId="0" borderId="1" xfId="0" applyFont="1" applyBorder="1"/>
    <xf numFmtId="0" fontId="6" fillId="6" borderId="7" xfId="0" applyFont="1" applyFill="1" applyBorder="1"/>
    <xf numFmtId="3" fontId="6" fillId="6" borderId="7" xfId="0" applyNumberFormat="1" applyFont="1" applyFill="1" applyBorder="1"/>
    <xf numFmtId="0" fontId="5" fillId="6" borderId="4" xfId="0" applyFont="1" applyFill="1" applyBorder="1"/>
    <xf numFmtId="0" fontId="24" fillId="4" borderId="11" xfId="0" applyFont="1" applyFill="1" applyBorder="1" applyAlignment="1">
      <alignment horizontal="center"/>
    </xf>
    <xf numFmtId="3" fontId="46" fillId="0" borderId="0" xfId="0" applyNumberFormat="1" applyFont="1"/>
    <xf numFmtId="3" fontId="29" fillId="5" borderId="0" xfId="0" applyNumberFormat="1" applyFont="1" applyFill="1" applyAlignment="1">
      <alignment vertical="center"/>
    </xf>
    <xf numFmtId="0" fontId="4" fillId="4" borderId="4" xfId="0" applyFont="1" applyFill="1" applyBorder="1"/>
    <xf numFmtId="0" fontId="11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3" fontId="14" fillId="0" borderId="18" xfId="0" applyNumberFormat="1" applyFont="1" applyBorder="1"/>
    <xf numFmtId="3" fontId="31" fillId="3" borderId="8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3" fontId="11" fillId="4" borderId="5" xfId="0" applyNumberFormat="1" applyFont="1" applyFill="1" applyBorder="1"/>
    <xf numFmtId="0" fontId="17" fillId="0" borderId="1" xfId="0" applyFont="1" applyBorder="1"/>
    <xf numFmtId="0" fontId="0" fillId="0" borderId="0" xfId="0" applyAlignment="1">
      <alignment wrapText="1"/>
    </xf>
    <xf numFmtId="3" fontId="4" fillId="0" borderId="3" xfId="0" applyNumberFormat="1" applyFont="1" applyBorder="1" applyAlignment="1">
      <alignment vertical="center" wrapText="1"/>
    </xf>
    <xf numFmtId="0" fontId="0" fillId="0" borderId="5" xfId="0" applyBorder="1"/>
    <xf numFmtId="3" fontId="7" fillId="6" borderId="1" xfId="0" applyNumberFormat="1" applyFont="1" applyFill="1" applyBorder="1" applyAlignment="1">
      <alignment horizontal="right"/>
    </xf>
    <xf numFmtId="3" fontId="7" fillId="6" borderId="2" xfId="0" applyNumberFormat="1" applyFont="1" applyFill="1" applyBorder="1" applyAlignment="1">
      <alignment horizontal="right"/>
    </xf>
    <xf numFmtId="3" fontId="5" fillId="6" borderId="5" xfId="0" applyNumberFormat="1" applyFont="1" applyFill="1" applyBorder="1" applyAlignment="1">
      <alignment horizontal="right"/>
    </xf>
    <xf numFmtId="3" fontId="7" fillId="6" borderId="3" xfId="0" applyNumberFormat="1" applyFont="1" applyFill="1" applyBorder="1" applyAlignment="1">
      <alignment horizontal="right"/>
    </xf>
    <xf numFmtId="3" fontId="34" fillId="0" borderId="1" xfId="0" applyNumberFormat="1" applyFont="1" applyBorder="1"/>
    <xf numFmtId="3" fontId="24" fillId="0" borderId="1" xfId="0" applyNumberFormat="1" applyFont="1" applyBorder="1"/>
    <xf numFmtId="3" fontId="7" fillId="4" borderId="22" xfId="0" applyNumberFormat="1" applyFont="1" applyFill="1" applyBorder="1"/>
    <xf numFmtId="3" fontId="7" fillId="4" borderId="2" xfId="0" applyNumberFormat="1" applyFont="1" applyFill="1" applyBorder="1"/>
    <xf numFmtId="3" fontId="7" fillId="4" borderId="1" xfId="0" applyNumberFormat="1" applyFont="1" applyFill="1" applyBorder="1"/>
    <xf numFmtId="3" fontId="7" fillId="4" borderId="5" xfId="0" applyNumberFormat="1" applyFont="1" applyFill="1" applyBorder="1"/>
    <xf numFmtId="3" fontId="7" fillId="4" borderId="3" xfId="0" applyNumberFormat="1" applyFont="1" applyFill="1" applyBorder="1"/>
    <xf numFmtId="3" fontId="7" fillId="4" borderId="23" xfId="0" applyNumberFormat="1" applyFont="1" applyFill="1" applyBorder="1"/>
    <xf numFmtId="3" fontId="7" fillId="4" borderId="12" xfId="0" applyNumberFormat="1" applyFont="1" applyFill="1" applyBorder="1"/>
    <xf numFmtId="3" fontId="7" fillId="8" borderId="6" xfId="0" applyNumberFormat="1" applyFont="1" applyFill="1" applyBorder="1"/>
    <xf numFmtId="3" fontId="7" fillId="4" borderId="10" xfId="0" applyNumberFormat="1" applyFont="1" applyFill="1" applyBorder="1"/>
    <xf numFmtId="0" fontId="5" fillId="0" borderId="3" xfId="0" applyFont="1" applyBorder="1" applyAlignment="1">
      <alignment horizontal="left" vertical="center"/>
    </xf>
    <xf numFmtId="3" fontId="6" fillId="0" borderId="3" xfId="0" applyNumberFormat="1" applyFont="1" applyBorder="1"/>
    <xf numFmtId="0" fontId="11" fillId="4" borderId="5" xfId="0" applyFont="1" applyFill="1" applyBorder="1" applyAlignment="1">
      <alignment horizontal="center" wrapText="1"/>
    </xf>
    <xf numFmtId="3" fontId="5" fillId="4" borderId="5" xfId="0" applyNumberFormat="1" applyFont="1" applyFill="1" applyBorder="1" applyAlignment="1">
      <alignment horizontal="right"/>
    </xf>
    <xf numFmtId="0" fontId="5" fillId="4" borderId="4" xfId="0" applyFont="1" applyFill="1" applyBorder="1"/>
    <xf numFmtId="3" fontId="7" fillId="0" borderId="3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/>
    </xf>
    <xf numFmtId="3" fontId="24" fillId="0" borderId="0" xfId="0" applyNumberFormat="1" applyFont="1"/>
    <xf numFmtId="0" fontId="62" fillId="0" borderId="0" xfId="0" applyFont="1"/>
    <xf numFmtId="0" fontId="7" fillId="4" borderId="4" xfId="0" applyFont="1" applyFill="1" applyBorder="1"/>
    <xf numFmtId="0" fontId="63" fillId="5" borderId="0" xfId="0" applyFont="1" applyFill="1"/>
    <xf numFmtId="3" fontId="33" fillId="0" borderId="3" xfId="0" applyNumberFormat="1" applyFont="1" applyBorder="1" applyAlignment="1">
      <alignment horizontal="right"/>
    </xf>
    <xf numFmtId="0" fontId="7" fillId="8" borderId="4" xfId="0" applyFont="1" applyFill="1" applyBorder="1" applyAlignment="1">
      <alignment wrapText="1"/>
    </xf>
    <xf numFmtId="3" fontId="49" fillId="0" borderId="1" xfId="0" applyNumberFormat="1" applyFont="1" applyBorder="1" applyAlignment="1">
      <alignment horizontal="right"/>
    </xf>
    <xf numFmtId="0" fontId="34" fillId="0" borderId="1" xfId="0" applyFont="1" applyBorder="1"/>
    <xf numFmtId="0" fontId="34" fillId="0" borderId="1" xfId="0" applyFont="1" applyBorder="1" applyAlignment="1">
      <alignment horizontal="left"/>
    </xf>
    <xf numFmtId="0" fontId="34" fillId="0" borderId="1" xfId="0" applyFont="1" applyBorder="1" applyAlignment="1">
      <alignment horizontal="left" wrapText="1"/>
    </xf>
    <xf numFmtId="0" fontId="34" fillId="0" borderId="3" xfId="0" applyFont="1" applyBorder="1"/>
    <xf numFmtId="3" fontId="24" fillId="0" borderId="2" xfId="0" applyNumberFormat="1" applyFont="1" applyBorder="1"/>
    <xf numFmtId="3" fontId="34" fillId="0" borderId="2" xfId="0" applyNumberFormat="1" applyFont="1" applyBorder="1"/>
    <xf numFmtId="0" fontId="26" fillId="0" borderId="11" xfId="0" applyFont="1" applyBorder="1"/>
    <xf numFmtId="0" fontId="26" fillId="5" borderId="0" xfId="0" applyFont="1" applyFill="1"/>
    <xf numFmtId="0" fontId="47" fillId="0" borderId="3" xfId="0" applyFont="1" applyBorder="1"/>
    <xf numFmtId="0" fontId="47" fillId="0" borderId="1" xfId="0" applyFont="1" applyBorder="1"/>
    <xf numFmtId="0" fontId="26" fillId="0" borderId="17" xfId="0" applyFont="1" applyBorder="1"/>
    <xf numFmtId="0" fontId="47" fillId="0" borderId="17" xfId="0" applyFont="1" applyBorder="1"/>
    <xf numFmtId="0" fontId="34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/>
    </xf>
    <xf numFmtId="0" fontId="18" fillId="3" borderId="22" xfId="0" applyFont="1" applyFill="1" applyBorder="1" applyAlignment="1">
      <alignment horizontal="center" vertical="center"/>
    </xf>
    <xf numFmtId="0" fontId="27" fillId="0" borderId="25" xfId="0" applyFont="1" applyBorder="1" applyAlignment="1">
      <alignment horizontal="center" vertical="center" wrapText="1"/>
    </xf>
    <xf numFmtId="0" fontId="26" fillId="0" borderId="26" xfId="0" applyFont="1" applyBorder="1"/>
    <xf numFmtId="3" fontId="4" fillId="7" borderId="3" xfId="0" applyNumberFormat="1" applyFont="1" applyFill="1" applyBorder="1"/>
    <xf numFmtId="3" fontId="7" fillId="7" borderId="1" xfId="0" applyNumberFormat="1" applyFont="1" applyFill="1" applyBorder="1"/>
    <xf numFmtId="0" fontId="9" fillId="0" borderId="0" xfId="0" applyFont="1"/>
    <xf numFmtId="0" fontId="47" fillId="8" borderId="27" xfId="0" applyFont="1" applyFill="1" applyBorder="1"/>
    <xf numFmtId="0" fontId="24" fillId="0" borderId="2" xfId="0" applyFont="1" applyBorder="1" applyAlignment="1">
      <alignment horizontal="center"/>
    </xf>
    <xf numFmtId="0" fontId="4" fillId="4" borderId="11" xfId="0" applyFont="1" applyFill="1" applyBorder="1" applyAlignment="1">
      <alignment horizontal="center" wrapText="1"/>
    </xf>
    <xf numFmtId="3" fontId="7" fillId="7" borderId="4" xfId="0" applyNumberFormat="1" applyFont="1" applyFill="1" applyBorder="1" applyAlignment="1">
      <alignment horizontal="left" vertical="center" wrapText="1"/>
    </xf>
    <xf numFmtId="3" fontId="4" fillId="0" borderId="11" xfId="0" applyNumberFormat="1" applyFont="1" applyBorder="1" applyAlignment="1">
      <alignment horizontal="left" vertical="center" wrapText="1"/>
    </xf>
    <xf numFmtId="3" fontId="7" fillId="0" borderId="12" xfId="0" applyNumberFormat="1" applyFont="1" applyBorder="1" applyAlignment="1">
      <alignment vertical="center"/>
    </xf>
    <xf numFmtId="3" fontId="29" fillId="5" borderId="0" xfId="0" applyNumberFormat="1" applyFont="1" applyFill="1" applyAlignment="1">
      <alignment horizontal="right" vertical="center"/>
    </xf>
    <xf numFmtId="3" fontId="7" fillId="0" borderId="16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horizontal="left" vertical="center" wrapText="1"/>
    </xf>
    <xf numFmtId="3" fontId="7" fillId="0" borderId="10" xfId="1" applyNumberFormat="1" applyFont="1" applyFill="1" applyBorder="1" applyAlignment="1">
      <alignment horizontal="right" vertical="center"/>
    </xf>
    <xf numFmtId="3" fontId="4" fillId="0" borderId="29" xfId="0" applyNumberFormat="1" applyFont="1" applyBorder="1" applyAlignment="1">
      <alignment horizontal="left" vertical="center" wrapText="1"/>
    </xf>
    <xf numFmtId="3" fontId="7" fillId="7" borderId="3" xfId="0" applyNumberFormat="1" applyFont="1" applyFill="1" applyBorder="1" applyAlignment="1">
      <alignment horizontal="right" vertical="center" wrapText="1"/>
    </xf>
    <xf numFmtId="3" fontId="4" fillId="7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3" fontId="17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3" fontId="39" fillId="6" borderId="34" xfId="0" applyNumberFormat="1" applyFont="1" applyFill="1" applyBorder="1" applyAlignment="1">
      <alignment horizontal="center" vertical="center" wrapText="1"/>
    </xf>
    <xf numFmtId="0" fontId="64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3" fontId="8" fillId="0" borderId="1" xfId="0" applyNumberFormat="1" applyFont="1" applyBorder="1" applyAlignment="1">
      <alignment horizontal="right"/>
    </xf>
    <xf numFmtId="0" fontId="41" fillId="3" borderId="35" xfId="0" applyFont="1" applyFill="1" applyBorder="1" applyAlignment="1">
      <alignment horizontal="center" vertical="center" wrapText="1"/>
    </xf>
    <xf numFmtId="0" fontId="41" fillId="3" borderId="36" xfId="0" applyFont="1" applyFill="1" applyBorder="1" applyAlignment="1">
      <alignment horizontal="center" vertical="center" wrapText="1"/>
    </xf>
    <xf numFmtId="0" fontId="48" fillId="3" borderId="8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wrapText="1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4" fillId="0" borderId="3" xfId="0" applyNumberFormat="1" applyFont="1" applyBorder="1" applyAlignment="1">
      <alignment horizontal="right"/>
    </xf>
    <xf numFmtId="0" fontId="47" fillId="0" borderId="0" xfId="0" applyFont="1"/>
    <xf numFmtId="3" fontId="21" fillId="0" borderId="0" xfId="0" applyNumberFormat="1" applyFont="1"/>
    <xf numFmtId="3" fontId="66" fillId="0" borderId="1" xfId="0" applyNumberFormat="1" applyFont="1" applyBorder="1" applyAlignment="1">
      <alignment horizontal="right"/>
    </xf>
    <xf numFmtId="0" fontId="5" fillId="4" borderId="24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7" fillId="0" borderId="11" xfId="0" applyFont="1" applyBorder="1"/>
    <xf numFmtId="0" fontId="4" fillId="0" borderId="11" xfId="0" applyFont="1" applyBorder="1"/>
    <xf numFmtId="0" fontId="33" fillId="0" borderId="11" xfId="0" applyFont="1" applyBorder="1"/>
    <xf numFmtId="0" fontId="33" fillId="0" borderId="1" xfId="0" applyFont="1" applyBorder="1" applyAlignment="1">
      <alignment horizontal="left" vertical="center" wrapText="1"/>
    </xf>
    <xf numFmtId="0" fontId="33" fillId="0" borderId="0" xfId="0" applyFont="1"/>
    <xf numFmtId="0" fontId="44" fillId="0" borderId="0" xfId="0" applyFont="1"/>
    <xf numFmtId="0" fontId="4" fillId="0" borderId="39" xfId="0" applyFont="1" applyBorder="1"/>
    <xf numFmtId="0" fontId="4" fillId="4" borderId="27" xfId="0" applyFont="1" applyFill="1" applyBorder="1"/>
    <xf numFmtId="3" fontId="11" fillId="4" borderId="5" xfId="0" applyNumberFormat="1" applyFont="1" applyFill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15" fillId="0" borderId="1" xfId="0" applyFont="1" applyBorder="1"/>
    <xf numFmtId="0" fontId="11" fillId="4" borderId="4" xfId="0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vertical="center"/>
    </xf>
    <xf numFmtId="3" fontId="6" fillId="0" borderId="12" xfId="0" applyNumberFormat="1" applyFont="1" applyBorder="1"/>
    <xf numFmtId="3" fontId="4" fillId="0" borderId="12" xfId="0" applyNumberFormat="1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33" fillId="0" borderId="12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5" fillId="0" borderId="12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0" fontId="27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14" fillId="5" borderId="0" xfId="0" applyFont="1" applyFill="1"/>
    <xf numFmtId="0" fontId="14" fillId="8" borderId="19" xfId="0" applyFont="1" applyFill="1" applyBorder="1"/>
    <xf numFmtId="0" fontId="63" fillId="5" borderId="0" xfId="0" applyFont="1" applyFill="1" applyAlignment="1">
      <alignment horizontal="center"/>
    </xf>
    <xf numFmtId="3" fontId="26" fillId="8" borderId="24" xfId="0" applyNumberFormat="1" applyFont="1" applyFill="1" applyBorder="1"/>
    <xf numFmtId="3" fontId="4" fillId="9" borderId="0" xfId="0" applyNumberFormat="1" applyFont="1" applyFill="1"/>
    <xf numFmtId="0" fontId="24" fillId="5" borderId="0" xfId="0" applyFont="1" applyFill="1"/>
    <xf numFmtId="3" fontId="9" fillId="0" borderId="1" xfId="0" applyNumberFormat="1" applyFont="1" applyBorder="1" applyAlignment="1">
      <alignment horizontal="center"/>
    </xf>
    <xf numFmtId="0" fontId="27" fillId="7" borderId="1" xfId="0" applyFont="1" applyFill="1" applyBorder="1" applyAlignment="1">
      <alignment horizontal="center" vertical="center" wrapText="1"/>
    </xf>
    <xf numFmtId="0" fontId="23" fillId="0" borderId="0" xfId="0" applyFont="1"/>
    <xf numFmtId="3" fontId="23" fillId="0" borderId="0" xfId="0" applyNumberFormat="1" applyFont="1"/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3" fontId="9" fillId="0" borderId="0" xfId="0" applyNumberFormat="1" applyFont="1"/>
    <xf numFmtId="3" fontId="67" fillId="0" borderId="0" xfId="0" applyNumberFormat="1" applyFont="1"/>
    <xf numFmtId="3" fontId="11" fillId="4" borderId="40" xfId="0" applyNumberFormat="1" applyFont="1" applyFill="1" applyBorder="1" applyAlignment="1">
      <alignment horizontal="right"/>
    </xf>
    <xf numFmtId="3" fontId="39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3" fontId="9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1" fontId="39" fillId="0" borderId="0" xfId="0" applyNumberFormat="1" applyFont="1" applyAlignment="1">
      <alignment horizontal="center" vertical="center" wrapText="1"/>
    </xf>
    <xf numFmtId="1" fontId="39" fillId="6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3" fontId="7" fillId="0" borderId="41" xfId="0" applyNumberFormat="1" applyFont="1" applyBorder="1" applyAlignment="1">
      <alignment vertical="center"/>
    </xf>
    <xf numFmtId="3" fontId="7" fillId="0" borderId="7" xfId="1" applyNumberFormat="1" applyFont="1" applyFill="1" applyBorder="1" applyAlignment="1">
      <alignment horizontal="right" vertical="center"/>
    </xf>
    <xf numFmtId="3" fontId="4" fillId="0" borderId="7" xfId="1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horizontal="right" vertical="center" wrapText="1"/>
    </xf>
    <xf numFmtId="3" fontId="66" fillId="0" borderId="0" xfId="0" applyNumberFormat="1" applyFont="1"/>
    <xf numFmtId="0" fontId="4" fillId="0" borderId="42" xfId="0" applyFont="1" applyBorder="1"/>
    <xf numFmtId="3" fontId="4" fillId="0" borderId="12" xfId="0" applyNumberFormat="1" applyFont="1" applyBorder="1" applyAlignment="1">
      <alignment horizontal="right" vertical="center"/>
    </xf>
    <xf numFmtId="0" fontId="4" fillId="0" borderId="9" xfId="0" applyFont="1" applyBorder="1"/>
    <xf numFmtId="0" fontId="7" fillId="0" borderId="11" xfId="0" applyFont="1" applyBorder="1" applyAlignment="1">
      <alignment wrapText="1"/>
    </xf>
    <xf numFmtId="3" fontId="24" fillId="5" borderId="0" xfId="0" applyNumberFormat="1" applyFont="1" applyFill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3" fontId="24" fillId="2" borderId="0" xfId="0" applyNumberFormat="1" applyFont="1" applyFill="1" applyAlignment="1">
      <alignment horizontal="right"/>
    </xf>
    <xf numFmtId="0" fontId="4" fillId="0" borderId="16" xfId="0" applyFont="1" applyBorder="1"/>
    <xf numFmtId="0" fontId="24" fillId="5" borderId="0" xfId="0" applyFont="1" applyFill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vertical="center"/>
    </xf>
    <xf numFmtId="3" fontId="4" fillId="0" borderId="39" xfId="0" applyNumberFormat="1" applyFont="1" applyBorder="1" applyAlignment="1">
      <alignment horizontal="left" vertical="center" wrapText="1"/>
    </xf>
    <xf numFmtId="3" fontId="19" fillId="7" borderId="4" xfId="0" applyNumberFormat="1" applyFont="1" applyFill="1" applyBorder="1" applyAlignment="1">
      <alignment horizontal="left" vertical="center" wrapText="1"/>
    </xf>
    <xf numFmtId="0" fontId="24" fillId="0" borderId="16" xfId="0" applyFont="1" applyBorder="1" applyAlignment="1">
      <alignment wrapText="1"/>
    </xf>
    <xf numFmtId="3" fontId="14" fillId="9" borderId="0" xfId="0" applyNumberFormat="1" applyFont="1" applyFill="1"/>
    <xf numFmtId="0" fontId="51" fillId="0" borderId="1" xfId="0" applyFont="1" applyBorder="1"/>
    <xf numFmtId="0" fontId="22" fillId="0" borderId="1" xfId="0" applyFont="1" applyBorder="1" applyAlignment="1">
      <alignment wrapText="1"/>
    </xf>
    <xf numFmtId="3" fontId="7" fillId="7" borderId="3" xfId="0" applyNumberFormat="1" applyFont="1" applyFill="1" applyBorder="1"/>
    <xf numFmtId="3" fontId="4" fillId="7" borderId="1" xfId="0" applyNumberFormat="1" applyFont="1" applyFill="1" applyBorder="1"/>
    <xf numFmtId="0" fontId="4" fillId="0" borderId="2" xfId="0" applyFont="1" applyBorder="1" applyAlignment="1">
      <alignment wrapText="1"/>
    </xf>
    <xf numFmtId="3" fontId="51" fillId="0" borderId="1" xfId="0" applyNumberFormat="1" applyFont="1" applyBorder="1"/>
    <xf numFmtId="0" fontId="68" fillId="0" borderId="1" xfId="0" applyFont="1" applyBorder="1" applyAlignment="1">
      <alignment wrapText="1"/>
    </xf>
    <xf numFmtId="0" fontId="3" fillId="5" borderId="0" xfId="13" applyFill="1"/>
    <xf numFmtId="0" fontId="3" fillId="0" borderId="0" xfId="13"/>
    <xf numFmtId="3" fontId="4" fillId="5" borderId="0" xfId="13" applyNumberFormat="1" applyFont="1" applyFill="1" applyAlignment="1">
      <alignment horizontal="right"/>
    </xf>
    <xf numFmtId="0" fontId="4" fillId="10" borderId="0" xfId="13" applyFont="1" applyFill="1"/>
    <xf numFmtId="0" fontId="4" fillId="5" borderId="0" xfId="13" applyFont="1" applyFill="1"/>
    <xf numFmtId="0" fontId="7" fillId="0" borderId="1" xfId="13" applyFont="1" applyBorder="1" applyAlignment="1">
      <alignment horizontal="center" vertical="center" wrapText="1"/>
    </xf>
    <xf numFmtId="3" fontId="7" fillId="0" borderId="1" xfId="13" applyNumberFormat="1" applyFont="1" applyBorder="1" applyAlignment="1">
      <alignment vertical="center" wrapText="1"/>
    </xf>
    <xf numFmtId="0" fontId="7" fillId="0" borderId="1" xfId="13" applyFont="1" applyBorder="1" applyAlignment="1">
      <alignment horizontal="left" vertical="center"/>
    </xf>
    <xf numFmtId="3" fontId="7" fillId="0" borderId="1" xfId="13" applyNumberFormat="1" applyFont="1" applyBorder="1" applyAlignment="1">
      <alignment vertical="center"/>
    </xf>
    <xf numFmtId="0" fontId="7" fillId="0" borderId="1" xfId="13" applyFont="1" applyBorder="1" applyAlignment="1">
      <alignment vertical="center"/>
    </xf>
    <xf numFmtId="0" fontId="4" fillId="0" borderId="1" xfId="13" applyFont="1" applyBorder="1" applyAlignment="1">
      <alignment horizontal="left" vertical="center" indent="1"/>
    </xf>
    <xf numFmtId="3" fontId="4" fillId="0" borderId="1" xfId="13" applyNumberFormat="1" applyFont="1" applyBorder="1" applyAlignment="1">
      <alignment vertical="center"/>
    </xf>
    <xf numFmtId="0" fontId="4" fillId="0" borderId="1" xfId="13" applyFont="1" applyBorder="1" applyAlignment="1">
      <alignment horizontal="left" vertical="center" wrapText="1" indent="1"/>
    </xf>
    <xf numFmtId="3" fontId="4" fillId="0" borderId="1" xfId="13" applyNumberFormat="1" applyFont="1" applyBorder="1" applyAlignment="1">
      <alignment vertical="center" wrapText="1"/>
    </xf>
    <xf numFmtId="0" fontId="4" fillId="0" borderId="1" xfId="13" applyFont="1" applyBorder="1" applyAlignment="1">
      <alignment vertical="center"/>
    </xf>
    <xf numFmtId="0" fontId="7" fillId="0" borderId="1" xfId="13" applyFont="1" applyBorder="1" applyAlignment="1">
      <alignment horizontal="center" vertical="center"/>
    </xf>
    <xf numFmtId="0" fontId="4" fillId="0" borderId="1" xfId="13" applyFont="1" applyBorder="1" applyAlignment="1">
      <alignment horizontal="left" indent="2"/>
    </xf>
    <xf numFmtId="3" fontId="4" fillId="0" borderId="1" xfId="13" applyNumberFormat="1" applyFont="1" applyBorder="1"/>
    <xf numFmtId="0" fontId="4" fillId="0" borderId="1" xfId="13" applyFont="1" applyBorder="1" applyAlignment="1">
      <alignment horizontal="left" vertical="center" indent="3"/>
    </xf>
    <xf numFmtId="0" fontId="4" fillId="0" borderId="1" xfId="13" applyFont="1" applyBorder="1" applyAlignment="1">
      <alignment horizontal="left" vertical="center"/>
    </xf>
    <xf numFmtId="3" fontId="4" fillId="0" borderId="3" xfId="13" applyNumberFormat="1" applyFont="1" applyBorder="1" applyAlignment="1">
      <alignment horizontal="right" vertical="center"/>
    </xf>
    <xf numFmtId="3" fontId="24" fillId="5" borderId="0" xfId="0" applyNumberFormat="1" applyFont="1" applyFill="1" applyAlignment="1">
      <alignment horizontal="right"/>
    </xf>
    <xf numFmtId="0" fontId="25" fillId="0" borderId="0" xfId="0" applyFont="1"/>
    <xf numFmtId="3" fontId="9" fillId="0" borderId="1" xfId="0" applyNumberFormat="1" applyFont="1" applyBorder="1"/>
    <xf numFmtId="0" fontId="4" fillId="5" borderId="0" xfId="0" applyFont="1" applyFill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0" fontId="4" fillId="8" borderId="1" xfId="0" applyFont="1" applyFill="1" applyBorder="1" applyAlignment="1">
      <alignment horizontal="left" vertical="center"/>
    </xf>
    <xf numFmtId="3" fontId="64" fillId="0" borderId="1" xfId="0" applyNumberFormat="1" applyFont="1" applyBorder="1" applyAlignment="1">
      <alignment horizontal="right" vertical="center"/>
    </xf>
    <xf numFmtId="3" fontId="65" fillId="0" borderId="1" xfId="0" applyNumberFormat="1" applyFont="1" applyBorder="1"/>
    <xf numFmtId="3" fontId="64" fillId="0" borderId="1" xfId="0" applyNumberFormat="1" applyFont="1" applyBorder="1" applyAlignment="1">
      <alignment horizontal="right"/>
    </xf>
    <xf numFmtId="0" fontId="71" fillId="0" borderId="0" xfId="0" applyFont="1"/>
    <xf numFmtId="0" fontId="72" fillId="0" borderId="17" xfId="0" applyFont="1" applyBorder="1"/>
    <xf numFmtId="0" fontId="15" fillId="6" borderId="2" xfId="0" applyFont="1" applyFill="1" applyBorder="1"/>
    <xf numFmtId="3" fontId="15" fillId="6" borderId="1" xfId="0" applyNumberFormat="1" applyFont="1" applyFill="1" applyBorder="1"/>
    <xf numFmtId="3" fontId="15" fillId="6" borderId="2" xfId="0" applyNumberFormat="1" applyFont="1" applyFill="1" applyBorder="1"/>
    <xf numFmtId="0" fontId="51" fillId="5" borderId="0" xfId="0" applyFont="1" applyFill="1"/>
    <xf numFmtId="0" fontId="22" fillId="5" borderId="0" xfId="0" applyFont="1" applyFill="1" applyAlignment="1">
      <alignment horizontal="right"/>
    </xf>
    <xf numFmtId="0" fontId="56" fillId="7" borderId="43" xfId="0" applyFont="1" applyFill="1" applyBorder="1" applyAlignment="1">
      <alignment horizontal="center" vertical="center" wrapText="1"/>
    </xf>
    <xf numFmtId="0" fontId="56" fillId="7" borderId="36" xfId="0" applyFont="1" applyFill="1" applyBorder="1" applyAlignment="1">
      <alignment horizontal="center" vertical="center" wrapText="1"/>
    </xf>
    <xf numFmtId="0" fontId="56" fillId="7" borderId="44" xfId="0" applyFont="1" applyFill="1" applyBorder="1" applyAlignment="1">
      <alignment horizontal="center" vertical="center" wrapText="1"/>
    </xf>
    <xf numFmtId="0" fontId="56" fillId="7" borderId="2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57" fillId="0" borderId="0" xfId="0" applyNumberFormat="1" applyFont="1" applyAlignment="1">
      <alignment horizontal="center" vertical="center" wrapText="1"/>
    </xf>
    <xf numFmtId="0" fontId="51" fillId="7" borderId="45" xfId="0" applyFont="1" applyFill="1" applyBorder="1"/>
    <xf numFmtId="3" fontId="0" fillId="0" borderId="31" xfId="0" applyNumberFormat="1" applyBorder="1"/>
    <xf numFmtId="3" fontId="22" fillId="0" borderId="16" xfId="0" applyNumberFormat="1" applyFont="1" applyBorder="1"/>
    <xf numFmtId="3" fontId="22" fillId="0" borderId="3" xfId="0" applyNumberFormat="1" applyFont="1" applyBorder="1"/>
    <xf numFmtId="3" fontId="0" fillId="0" borderId="3" xfId="0" applyNumberFormat="1" applyBorder="1"/>
    <xf numFmtId="3" fontId="0" fillId="0" borderId="46" xfId="0" applyNumberFormat="1" applyBorder="1"/>
    <xf numFmtId="3" fontId="51" fillId="0" borderId="31" xfId="0" applyNumberFormat="1" applyFont="1" applyBorder="1"/>
    <xf numFmtId="3" fontId="0" fillId="0" borderId="28" xfId="0" applyNumberFormat="1" applyBorder="1"/>
    <xf numFmtId="3" fontId="0" fillId="0" borderId="47" xfId="0" applyNumberFormat="1" applyBorder="1"/>
    <xf numFmtId="3" fontId="51" fillId="7" borderId="31" xfId="0" applyNumberFormat="1" applyFont="1" applyFill="1" applyBorder="1"/>
    <xf numFmtId="3" fontId="23" fillId="0" borderId="48" xfId="0" applyNumberFormat="1" applyFont="1" applyBorder="1"/>
    <xf numFmtId="3" fontId="0" fillId="7" borderId="48" xfId="0" applyNumberFormat="1" applyFill="1" applyBorder="1"/>
    <xf numFmtId="0" fontId="51" fillId="7" borderId="42" xfId="0" applyFont="1" applyFill="1" applyBorder="1"/>
    <xf numFmtId="0" fontId="51" fillId="0" borderId="32" xfId="0" applyFont="1" applyBorder="1"/>
    <xf numFmtId="3" fontId="23" fillId="0" borderId="32" xfId="0" applyNumberFormat="1" applyFont="1" applyBorder="1"/>
    <xf numFmtId="3" fontId="0" fillId="7" borderId="32" xfId="0" applyNumberFormat="1" applyFill="1" applyBorder="1"/>
    <xf numFmtId="0" fontId="22" fillId="0" borderId="0" xfId="0" applyFont="1"/>
    <xf numFmtId="6" fontId="0" fillId="0" borderId="0" xfId="0" applyNumberFormat="1"/>
    <xf numFmtId="0" fontId="58" fillId="0" borderId="0" xfId="0" applyFont="1"/>
    <xf numFmtId="3" fontId="51" fillId="0" borderId="32" xfId="0" applyNumberFormat="1" applyFont="1" applyBorder="1"/>
    <xf numFmtId="3" fontId="0" fillId="0" borderId="16" xfId="0" applyNumberFormat="1" applyBorder="1"/>
    <xf numFmtId="3" fontId="22" fillId="0" borderId="1" xfId="0" applyNumberFormat="1" applyFont="1" applyBorder="1"/>
    <xf numFmtId="3" fontId="51" fillId="7" borderId="32" xfId="0" applyNumberFormat="1" applyFont="1" applyFill="1" applyBorder="1"/>
    <xf numFmtId="0" fontId="51" fillId="7" borderId="17" xfId="0" applyFont="1" applyFill="1" applyBorder="1"/>
    <xf numFmtId="3" fontId="0" fillId="0" borderId="32" xfId="0" applyNumberFormat="1" applyBorder="1"/>
    <xf numFmtId="3" fontId="0" fillId="0" borderId="17" xfId="0" applyNumberFormat="1" applyBorder="1"/>
    <xf numFmtId="0" fontId="51" fillId="7" borderId="32" xfId="0" applyFont="1" applyFill="1" applyBorder="1"/>
    <xf numFmtId="0" fontId="51" fillId="7" borderId="49" xfId="0" applyFont="1" applyFill="1" applyBorder="1"/>
    <xf numFmtId="3" fontId="51" fillId="7" borderId="50" xfId="0" applyNumberFormat="1" applyFont="1" applyFill="1" applyBorder="1"/>
    <xf numFmtId="3" fontId="51" fillId="7" borderId="43" xfId="0" applyNumberFormat="1" applyFont="1" applyFill="1" applyBorder="1"/>
    <xf numFmtId="3" fontId="51" fillId="7" borderId="36" xfId="0" applyNumberFormat="1" applyFont="1" applyFill="1" applyBorder="1"/>
    <xf numFmtId="3" fontId="51" fillId="7" borderId="51" xfId="0" applyNumberFormat="1" applyFont="1" applyFill="1" applyBorder="1"/>
    <xf numFmtId="0" fontId="51" fillId="7" borderId="50" xfId="0" applyFont="1" applyFill="1" applyBorder="1"/>
    <xf numFmtId="3" fontId="51" fillId="7" borderId="44" xfId="0" applyNumberFormat="1" applyFont="1" applyFill="1" applyBorder="1"/>
    <xf numFmtId="3" fontId="57" fillId="7" borderId="50" xfId="0" applyNumberFormat="1" applyFont="1" applyFill="1" applyBorder="1"/>
    <xf numFmtId="3" fontId="51" fillId="7" borderId="33" xfId="0" applyNumberFormat="1" applyFont="1" applyFill="1" applyBorder="1"/>
    <xf numFmtId="0" fontId="51" fillId="0" borderId="0" xfId="0" applyFont="1"/>
    <xf numFmtId="3" fontId="51" fillId="0" borderId="0" xfId="0" applyNumberFormat="1" applyFont="1"/>
    <xf numFmtId="3" fontId="57" fillId="0" borderId="0" xfId="0" applyNumberFormat="1" applyFont="1"/>
    <xf numFmtId="1" fontId="0" fillId="0" borderId="0" xfId="0" applyNumberFormat="1"/>
    <xf numFmtId="3" fontId="22" fillId="0" borderId="10" xfId="0" applyNumberFormat="1" applyFont="1" applyBorder="1"/>
    <xf numFmtId="3" fontId="23" fillId="0" borderId="10" xfId="0" applyNumberFormat="1" applyFont="1" applyBorder="1"/>
    <xf numFmtId="3" fontId="23" fillId="0" borderId="12" xfId="0" applyNumberFormat="1" applyFont="1" applyBorder="1"/>
    <xf numFmtId="3" fontId="51" fillId="7" borderId="52" xfId="0" applyNumberFormat="1" applyFont="1" applyFill="1" applyBorder="1"/>
    <xf numFmtId="3" fontId="57" fillId="7" borderId="52" xfId="0" applyNumberFormat="1" applyFont="1" applyFill="1" applyBorder="1"/>
    <xf numFmtId="3" fontId="51" fillId="8" borderId="31" xfId="0" applyNumberFormat="1" applyFont="1" applyFill="1" applyBorder="1"/>
    <xf numFmtId="0" fontId="7" fillId="11" borderId="1" xfId="13" applyFont="1" applyFill="1" applyBorder="1" applyAlignment="1">
      <alignment horizontal="center" vertical="center" wrapText="1"/>
    </xf>
    <xf numFmtId="0" fontId="3" fillId="5" borderId="0" xfId="13" applyFill="1" applyAlignment="1">
      <alignment horizontal="right"/>
    </xf>
    <xf numFmtId="0" fontId="4" fillId="5" borderId="0" xfId="13" applyFont="1" applyFill="1" applyAlignment="1">
      <alignment horizontal="right"/>
    </xf>
    <xf numFmtId="0" fontId="3" fillId="11" borderId="1" xfId="13" applyFill="1" applyBorder="1" applyAlignment="1">
      <alignment horizontal="right"/>
    </xf>
    <xf numFmtId="0" fontId="70" fillId="0" borderId="1" xfId="13" applyFont="1" applyBorder="1" applyAlignment="1">
      <alignment horizontal="right"/>
    </xf>
    <xf numFmtId="49" fontId="70" fillId="0" borderId="1" xfId="13" applyNumberFormat="1" applyFont="1" applyBorder="1" applyAlignment="1">
      <alignment horizontal="right"/>
    </xf>
    <xf numFmtId="0" fontId="3" fillId="0" borderId="0" xfId="13" applyAlignment="1">
      <alignment horizontal="right"/>
    </xf>
    <xf numFmtId="3" fontId="49" fillId="0" borderId="1" xfId="0" applyNumberFormat="1" applyFont="1" applyBorder="1" applyAlignment="1">
      <alignment horizontal="left" vertical="center"/>
    </xf>
    <xf numFmtId="3" fontId="66" fillId="0" borderId="3" xfId="0" applyNumberFormat="1" applyFont="1" applyBorder="1" applyAlignment="1">
      <alignment horizontal="right" vertical="center"/>
    </xf>
    <xf numFmtId="3" fontId="66" fillId="0" borderId="1" xfId="0" applyNumberFormat="1" applyFont="1" applyBorder="1" applyAlignment="1">
      <alignment horizontal="right" vertical="center"/>
    </xf>
    <xf numFmtId="9" fontId="4" fillId="0" borderId="2" xfId="24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9" fontId="19" fillId="2" borderId="6" xfId="24" applyFont="1" applyFill="1" applyBorder="1"/>
    <xf numFmtId="0" fontId="14" fillId="0" borderId="0" xfId="0" applyFont="1" applyAlignment="1">
      <alignment horizontal="right"/>
    </xf>
    <xf numFmtId="9" fontId="4" fillId="0" borderId="2" xfId="24" applyFont="1" applyFill="1" applyBorder="1" applyAlignment="1">
      <alignment horizontal="right"/>
    </xf>
    <xf numFmtId="3" fontId="3" fillId="0" borderId="0" xfId="13" applyNumberFormat="1"/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56" fillId="7" borderId="54" xfId="0" applyFont="1" applyFill="1" applyBorder="1" applyAlignment="1">
      <alignment horizontal="center" vertical="center" wrapText="1"/>
    </xf>
    <xf numFmtId="0" fontId="56" fillId="7" borderId="51" xfId="0" applyFont="1" applyFill="1" applyBorder="1" applyAlignment="1">
      <alignment horizontal="center" vertical="center" wrapText="1"/>
    </xf>
    <xf numFmtId="3" fontId="0" fillId="8" borderId="31" xfId="0" applyNumberFormat="1" applyFill="1" applyBorder="1"/>
    <xf numFmtId="3" fontId="0" fillId="8" borderId="46" xfId="0" applyNumberFormat="1" applyFill="1" applyBorder="1"/>
    <xf numFmtId="3" fontId="22" fillId="8" borderId="16" xfId="0" applyNumberFormat="1" applyFont="1" applyFill="1" applyBorder="1"/>
    <xf numFmtId="3" fontId="22" fillId="8" borderId="3" xfId="0" applyNumberFormat="1" applyFont="1" applyFill="1" applyBorder="1"/>
    <xf numFmtId="3" fontId="0" fillId="8" borderId="3" xfId="0" applyNumberFormat="1" applyFill="1" applyBorder="1"/>
    <xf numFmtId="3" fontId="0" fillId="8" borderId="28" xfId="0" applyNumberFormat="1" applyFill="1" applyBorder="1"/>
    <xf numFmtId="3" fontId="0" fillId="8" borderId="47" xfId="0" applyNumberFormat="1" applyFill="1" applyBorder="1"/>
    <xf numFmtId="3" fontId="0" fillId="0" borderId="34" xfId="0" applyNumberFormat="1" applyBorder="1"/>
    <xf numFmtId="3" fontId="22" fillId="0" borderId="0" xfId="0" applyNumberFormat="1" applyFont="1"/>
    <xf numFmtId="0" fontId="51" fillId="8" borderId="45" xfId="0" applyFont="1" applyFill="1" applyBorder="1"/>
    <xf numFmtId="0" fontId="51" fillId="8" borderId="48" xfId="0" applyFont="1" applyFill="1" applyBorder="1"/>
    <xf numFmtId="3" fontId="4" fillId="7" borderId="3" xfId="0" applyNumberFormat="1" applyFont="1" applyFill="1" applyBorder="1" applyAlignment="1">
      <alignment vertical="center"/>
    </xf>
    <xf numFmtId="0" fontId="69" fillId="10" borderId="0" xfId="13" applyFont="1" applyFill="1" applyAlignment="1">
      <alignment horizontal="center" wrapText="1"/>
    </xf>
    <xf numFmtId="0" fontId="69" fillId="10" borderId="0" xfId="13" applyFont="1" applyFill="1" applyAlignment="1">
      <alignment horizontal="center"/>
    </xf>
    <xf numFmtId="0" fontId="0" fillId="0" borderId="1" xfId="0" applyBorder="1" applyAlignment="1">
      <alignment wrapText="1"/>
    </xf>
    <xf numFmtId="0" fontId="5" fillId="0" borderId="4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/>
    </xf>
    <xf numFmtId="0" fontId="7" fillId="0" borderId="1" xfId="13" applyFont="1" applyBorder="1" applyAlignment="1">
      <alignment horizontal="right"/>
    </xf>
    <xf numFmtId="0" fontId="15" fillId="0" borderId="1" xfId="13" applyFont="1" applyBorder="1" applyAlignment="1">
      <alignment horizontal="left" vertical="center" indent="1"/>
    </xf>
    <xf numFmtId="3" fontId="15" fillId="0" borderId="1" xfId="13" applyNumberFormat="1" applyFont="1" applyBorder="1" applyAlignment="1">
      <alignment vertical="center"/>
    </xf>
    <xf numFmtId="0" fontId="73" fillId="0" borderId="1" xfId="0" applyFont="1" applyBorder="1"/>
    <xf numFmtId="3" fontId="73" fillId="0" borderId="1" xfId="0" applyNumberFormat="1" applyFont="1" applyBorder="1" applyAlignment="1">
      <alignment horizontal="right"/>
    </xf>
    <xf numFmtId="0" fontId="1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3" fontId="74" fillId="0" borderId="1" xfId="0" applyNumberFormat="1" applyFont="1" applyBorder="1"/>
    <xf numFmtId="0" fontId="7" fillId="0" borderId="1" xfId="0" applyFont="1" applyBorder="1" applyAlignment="1">
      <alignment vertical="center" wrapText="1"/>
    </xf>
    <xf numFmtId="0" fontId="0" fillId="0" borderId="59" xfId="0" applyBorder="1"/>
    <xf numFmtId="3" fontId="75" fillId="0" borderId="0" xfId="0" applyNumberFormat="1" applyFont="1"/>
    <xf numFmtId="3" fontId="9" fillId="6" borderId="1" xfId="0" applyNumberFormat="1" applyFont="1" applyFill="1" applyBorder="1"/>
    <xf numFmtId="3" fontId="9" fillId="2" borderId="1" xfId="0" applyNumberFormat="1" applyFont="1" applyFill="1" applyBorder="1"/>
    <xf numFmtId="3" fontId="51" fillId="6" borderId="50" xfId="0" applyNumberFormat="1" applyFont="1" applyFill="1" applyBorder="1"/>
    <xf numFmtId="0" fontId="26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4" fillId="0" borderId="16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1" fillId="4" borderId="40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3" fontId="33" fillId="0" borderId="3" xfId="0" applyNumberFormat="1" applyFont="1" applyBorder="1" applyAlignment="1">
      <alignment vertical="center"/>
    </xf>
    <xf numFmtId="3" fontId="33" fillId="4" borderId="5" xfId="0" applyNumberFormat="1" applyFont="1" applyFill="1" applyBorder="1" applyAlignment="1">
      <alignment horizontal="right"/>
    </xf>
    <xf numFmtId="0" fontId="4" fillId="0" borderId="1" xfId="0" applyFont="1" applyBorder="1" applyAlignment="1">
      <alignment vertical="center"/>
    </xf>
    <xf numFmtId="0" fontId="18" fillId="2" borderId="0" xfId="0" applyFont="1" applyFill="1"/>
    <xf numFmtId="0" fontId="17" fillId="2" borderId="0" xfId="0" applyFont="1" applyFill="1"/>
    <xf numFmtId="0" fontId="76" fillId="4" borderId="5" xfId="0" applyFont="1" applyFill="1" applyBorder="1" applyAlignment="1">
      <alignment horizontal="center" vertical="center" wrapText="1"/>
    </xf>
    <xf numFmtId="3" fontId="76" fillId="0" borderId="3" xfId="0" applyNumberFormat="1" applyFont="1" applyBorder="1" applyAlignment="1">
      <alignment vertical="center"/>
    </xf>
    <xf numFmtId="3" fontId="76" fillId="0" borderId="1" xfId="0" applyNumberFormat="1" applyFont="1" applyBorder="1"/>
    <xf numFmtId="3" fontId="18" fillId="0" borderId="1" xfId="0" applyNumberFormat="1" applyFont="1" applyBorder="1" applyAlignment="1">
      <alignment horizontal="right"/>
    </xf>
    <xf numFmtId="3" fontId="18" fillId="0" borderId="1" xfId="0" applyNumberFormat="1" applyFont="1" applyBorder="1"/>
    <xf numFmtId="0" fontId="17" fillId="0" borderId="16" xfId="0" applyFont="1" applyBorder="1"/>
    <xf numFmtId="0" fontId="17" fillId="0" borderId="16" xfId="0" applyFont="1" applyBorder="1" applyAlignment="1">
      <alignment wrapText="1"/>
    </xf>
    <xf numFmtId="0" fontId="18" fillId="0" borderId="1" xfId="0" applyFont="1" applyBorder="1"/>
    <xf numFmtId="3" fontId="18" fillId="0" borderId="1" xfId="0" applyNumberFormat="1" applyFont="1" applyBorder="1" applyAlignment="1">
      <alignment horizontal="right" vertical="center" wrapText="1"/>
    </xf>
    <xf numFmtId="0" fontId="76" fillId="0" borderId="1" xfId="0" applyFont="1" applyBorder="1"/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/>
    <xf numFmtId="0" fontId="76" fillId="2" borderId="1" xfId="0" applyFont="1" applyFill="1" applyBorder="1" applyAlignment="1">
      <alignment horizontal="left" vertical="center" wrapText="1"/>
    </xf>
    <xf numFmtId="0" fontId="76" fillId="2" borderId="2" xfId="0" applyFont="1" applyFill="1" applyBorder="1" applyAlignment="1">
      <alignment horizontal="left" vertical="center" wrapText="1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Border="1" applyAlignment="1">
      <alignment horizontal="right" vertical="center" wrapText="1"/>
    </xf>
    <xf numFmtId="3" fontId="77" fillId="0" borderId="1" xfId="0" applyNumberFormat="1" applyFont="1" applyBorder="1" applyAlignment="1">
      <alignment horizontal="right"/>
    </xf>
    <xf numFmtId="3" fontId="76" fillId="4" borderId="5" xfId="0" applyNumberFormat="1" applyFont="1" applyFill="1" applyBorder="1" applyAlignment="1">
      <alignment horizontal="right"/>
    </xf>
    <xf numFmtId="3" fontId="76" fillId="0" borderId="3" xfId="0" applyNumberFormat="1" applyFont="1" applyBorder="1"/>
    <xf numFmtId="3" fontId="76" fillId="0" borderId="1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19" fillId="0" borderId="1" xfId="0" applyFont="1" applyBorder="1"/>
    <xf numFmtId="0" fontId="78" fillId="0" borderId="1" xfId="0" applyFont="1" applyBorder="1"/>
    <xf numFmtId="0" fontId="79" fillId="0" borderId="1" xfId="0" applyFont="1" applyBorder="1"/>
    <xf numFmtId="0" fontId="78" fillId="0" borderId="1" xfId="0" applyFont="1" applyBorder="1" applyAlignment="1">
      <alignment wrapText="1"/>
    </xf>
    <xf numFmtId="0" fontId="79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78" fillId="0" borderId="1" xfId="0" applyFont="1" applyBorder="1" applyAlignment="1">
      <alignment horizontal="left" vertical="center" wrapText="1"/>
    </xf>
    <xf numFmtId="0" fontId="78" fillId="0" borderId="1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7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3" fontId="76" fillId="0" borderId="1" xfId="0" applyNumberFormat="1" applyFont="1" applyBorder="1" applyAlignment="1">
      <alignment wrapText="1"/>
    </xf>
    <xf numFmtId="3" fontId="76" fillId="4" borderId="5" xfId="0" applyNumberFormat="1" applyFont="1" applyFill="1" applyBorder="1"/>
    <xf numFmtId="0" fontId="77" fillId="0" borderId="0" xfId="0" applyFont="1"/>
    <xf numFmtId="3" fontId="76" fillId="0" borderId="1" xfId="0" applyNumberFormat="1" applyFont="1" applyBorder="1" applyAlignment="1">
      <alignment vertical="center"/>
    </xf>
    <xf numFmtId="0" fontId="76" fillId="2" borderId="1" xfId="0" applyFont="1" applyFill="1" applyBorder="1" applyAlignment="1">
      <alignment horizontal="right" vertical="center" wrapText="1"/>
    </xf>
    <xf numFmtId="0" fontId="76" fillId="2" borderId="2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80" fillId="5" borderId="0" xfId="0" applyFont="1" applyFill="1" applyAlignment="1">
      <alignment horizontal="center"/>
    </xf>
    <xf numFmtId="0" fontId="17" fillId="5" borderId="0" xfId="0" applyFont="1" applyFill="1" applyAlignment="1">
      <alignment horizontal="center"/>
    </xf>
    <xf numFmtId="0" fontId="17" fillId="0" borderId="1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3" fontId="18" fillId="0" borderId="1" xfId="0" applyNumberFormat="1" applyFont="1" applyBorder="1" applyAlignment="1">
      <alignment horizontal="right" vertical="center"/>
    </xf>
    <xf numFmtId="3" fontId="76" fillId="0" borderId="5" xfId="0" applyNumberFormat="1" applyFont="1" applyBorder="1" applyAlignment="1">
      <alignment horizontal="right"/>
    </xf>
    <xf numFmtId="3" fontId="18" fillId="0" borderId="3" xfId="0" applyNumberFormat="1" applyFont="1" applyBorder="1" applyAlignment="1">
      <alignment horizontal="righ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7" fillId="0" borderId="2" xfId="0" applyFont="1" applyBorder="1" applyAlignment="1">
      <alignment horizontal="right" vertical="center" wrapText="1"/>
    </xf>
    <xf numFmtId="3" fontId="17" fillId="0" borderId="1" xfId="0" applyNumberFormat="1" applyFont="1" applyBorder="1" applyAlignment="1">
      <alignment horizontal="right" vertical="center"/>
    </xf>
    <xf numFmtId="3" fontId="49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right"/>
    </xf>
    <xf numFmtId="0" fontId="5" fillId="0" borderId="4" xfId="0" applyFont="1" applyBorder="1" applyAlignment="1">
      <alignment horizontal="left" vertical="center" wrapText="1"/>
    </xf>
    <xf numFmtId="0" fontId="76" fillId="0" borderId="40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left" vertical="center"/>
    </xf>
    <xf numFmtId="3" fontId="15" fillId="0" borderId="5" xfId="0" applyNumberFormat="1" applyFont="1" applyBorder="1" applyAlignment="1">
      <alignment vertical="center"/>
    </xf>
    <xf numFmtId="3" fontId="15" fillId="0" borderId="6" xfId="0" applyNumberFormat="1" applyFont="1" applyBorder="1" applyAlignment="1">
      <alignment vertical="center"/>
    </xf>
    <xf numFmtId="3" fontId="33" fillId="0" borderId="11" xfId="0" applyNumberFormat="1" applyFont="1" applyBorder="1" applyAlignment="1">
      <alignment horizontal="left" vertical="center" wrapText="1"/>
    </xf>
    <xf numFmtId="3" fontId="33" fillId="0" borderId="3" xfId="0" applyNumberFormat="1" applyFont="1" applyBorder="1" applyAlignment="1">
      <alignment horizontal="right" vertical="center"/>
    </xf>
    <xf numFmtId="3" fontId="15" fillId="0" borderId="1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3" fontId="33" fillId="0" borderId="2" xfId="0" applyNumberFormat="1" applyFont="1" applyBorder="1" applyAlignment="1">
      <alignment vertical="center"/>
    </xf>
    <xf numFmtId="3" fontId="33" fillId="0" borderId="1" xfId="0" applyNumberFormat="1" applyFont="1" applyBorder="1" applyAlignment="1">
      <alignment vertical="center"/>
    </xf>
    <xf numFmtId="3" fontId="33" fillId="0" borderId="1" xfId="0" applyNumberFormat="1" applyFont="1" applyBorder="1" applyAlignment="1">
      <alignment horizontal="right" vertical="center"/>
    </xf>
    <xf numFmtId="3" fontId="15" fillId="0" borderId="1" xfId="0" applyNumberFormat="1" applyFont="1" applyBorder="1" applyAlignment="1">
      <alignment vertical="center"/>
    </xf>
    <xf numFmtId="3" fontId="15" fillId="0" borderId="12" xfId="0" applyNumberFormat="1" applyFont="1" applyBorder="1" applyAlignment="1">
      <alignment vertical="center"/>
    </xf>
    <xf numFmtId="3" fontId="33" fillId="0" borderId="39" xfId="0" applyNumberFormat="1" applyFont="1" applyBorder="1" applyAlignment="1">
      <alignment horizontal="left" vertical="center" wrapText="1"/>
    </xf>
    <xf numFmtId="3" fontId="49" fillId="0" borderId="1" xfId="0" applyNumberFormat="1" applyFont="1" applyBorder="1" applyAlignment="1">
      <alignment vertical="center"/>
    </xf>
    <xf numFmtId="3" fontId="6" fillId="0" borderId="4" xfId="0" applyNumberFormat="1" applyFont="1" applyBorder="1" applyAlignment="1">
      <alignment horizontal="left" vertical="center" wrapText="1"/>
    </xf>
    <xf numFmtId="3" fontId="5" fillId="0" borderId="5" xfId="0" applyNumberFormat="1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3" fontId="15" fillId="0" borderId="4" xfId="0" applyNumberFormat="1" applyFont="1" applyBorder="1" applyAlignment="1">
      <alignment horizontal="left" vertical="center" wrapText="1"/>
    </xf>
    <xf numFmtId="3" fontId="15" fillId="0" borderId="5" xfId="1" applyNumberFormat="1" applyFont="1" applyFill="1" applyBorder="1" applyAlignment="1">
      <alignment horizontal="right" vertical="center"/>
    </xf>
    <xf numFmtId="3" fontId="15" fillId="0" borderId="6" xfId="1" applyNumberFormat="1" applyFont="1" applyFill="1" applyBorder="1" applyAlignment="1">
      <alignment horizontal="right" vertical="center"/>
    </xf>
    <xf numFmtId="3" fontId="33" fillId="0" borderId="9" xfId="0" applyNumberFormat="1" applyFont="1" applyBorder="1" applyAlignment="1">
      <alignment horizontal="left" vertical="center" wrapText="1"/>
    </xf>
    <xf numFmtId="3" fontId="33" fillId="0" borderId="3" xfId="1" applyNumberFormat="1" applyFont="1" applyFill="1" applyBorder="1" applyAlignment="1">
      <alignment horizontal="right" vertical="center"/>
    </xf>
    <xf numFmtId="3" fontId="15" fillId="0" borderId="3" xfId="1" applyNumberFormat="1" applyFont="1" applyFill="1" applyBorder="1" applyAlignment="1">
      <alignment horizontal="right" vertical="center"/>
    </xf>
    <xf numFmtId="3" fontId="15" fillId="0" borderId="10" xfId="1" applyNumberFormat="1" applyFont="1" applyFill="1" applyBorder="1" applyAlignment="1">
      <alignment horizontal="right" vertical="center"/>
    </xf>
    <xf numFmtId="3" fontId="33" fillId="0" borderId="2" xfId="1" applyNumberFormat="1" applyFont="1" applyFill="1" applyBorder="1" applyAlignment="1">
      <alignment horizontal="right" vertical="center"/>
    </xf>
    <xf numFmtId="3" fontId="33" fillId="0" borderId="1" xfId="1" applyNumberFormat="1" applyFont="1" applyFill="1" applyBorder="1" applyAlignment="1">
      <alignment horizontal="right" vertical="center"/>
    </xf>
    <xf numFmtId="3" fontId="15" fillId="0" borderId="1" xfId="1" applyNumberFormat="1" applyFont="1" applyFill="1" applyBorder="1" applyAlignment="1">
      <alignment horizontal="right" vertical="center"/>
    </xf>
    <xf numFmtId="3" fontId="5" fillId="0" borderId="4" xfId="0" applyNumberFormat="1" applyFont="1" applyBorder="1" applyAlignment="1">
      <alignment horizontal="left" vertical="center" wrapText="1"/>
    </xf>
    <xf numFmtId="0" fontId="76" fillId="0" borderId="25" xfId="0" applyFont="1" applyBorder="1" applyAlignment="1">
      <alignment horizontal="center" vertical="center" wrapText="1"/>
    </xf>
    <xf numFmtId="3" fontId="18" fillId="6" borderId="1" xfId="0" applyNumberFormat="1" applyFont="1" applyFill="1" applyBorder="1" applyAlignment="1">
      <alignment horizontal="right"/>
    </xf>
    <xf numFmtId="3" fontId="76" fillId="6" borderId="5" xfId="0" applyNumberFormat="1" applyFont="1" applyFill="1" applyBorder="1" applyAlignment="1">
      <alignment horizontal="right"/>
    </xf>
    <xf numFmtId="3" fontId="18" fillId="6" borderId="3" xfId="0" applyNumberFormat="1" applyFont="1" applyFill="1" applyBorder="1" applyAlignment="1">
      <alignment horizontal="right"/>
    </xf>
    <xf numFmtId="3" fontId="17" fillId="0" borderId="3" xfId="0" applyNumberFormat="1" applyFont="1" applyBorder="1"/>
    <xf numFmtId="3" fontId="18" fillId="6" borderId="2" xfId="0" applyNumberFormat="1" applyFont="1" applyFill="1" applyBorder="1" applyAlignment="1">
      <alignment horizontal="right"/>
    </xf>
    <xf numFmtId="3" fontId="18" fillId="7" borderId="3" xfId="0" applyNumberFormat="1" applyFont="1" applyFill="1" applyBorder="1" applyAlignment="1">
      <alignment horizontal="right" vertical="center" wrapText="1"/>
    </xf>
    <xf numFmtId="3" fontId="17" fillId="7" borderId="3" xfId="0" applyNumberFormat="1" applyFont="1" applyFill="1" applyBorder="1" applyAlignment="1">
      <alignment horizontal="right" vertical="center" wrapText="1"/>
    </xf>
    <xf numFmtId="3" fontId="18" fillId="6" borderId="3" xfId="0" applyNumberFormat="1" applyFont="1" applyFill="1" applyBorder="1" applyAlignment="1">
      <alignment horizontal="right" vertical="center" wrapText="1"/>
    </xf>
    <xf numFmtId="3" fontId="17" fillId="7" borderId="7" xfId="0" applyNumberFormat="1" applyFont="1" applyFill="1" applyBorder="1" applyAlignment="1">
      <alignment horizontal="right" vertical="center" wrapText="1"/>
    </xf>
    <xf numFmtId="3" fontId="76" fillId="6" borderId="5" xfId="0" applyNumberFormat="1" applyFont="1" applyFill="1" applyBorder="1"/>
    <xf numFmtId="0" fontId="76" fillId="0" borderId="1" xfId="0" applyFont="1" applyBorder="1" applyAlignment="1">
      <alignment horizontal="center" vertical="center" wrapText="1"/>
    </xf>
    <xf numFmtId="3" fontId="18" fillId="0" borderId="3" xfId="0" applyNumberFormat="1" applyFont="1" applyBorder="1" applyAlignment="1">
      <alignment vertical="center" wrapText="1"/>
    </xf>
    <xf numFmtId="3" fontId="17" fillId="0" borderId="3" xfId="0" applyNumberFormat="1" applyFont="1" applyBorder="1" applyAlignment="1">
      <alignment vertical="center" wrapText="1"/>
    </xf>
    <xf numFmtId="3" fontId="18" fillId="6" borderId="1" xfId="0" applyNumberFormat="1" applyFont="1" applyFill="1" applyBorder="1"/>
    <xf numFmtId="3" fontId="76" fillId="6" borderId="1" xfId="0" applyNumberFormat="1" applyFont="1" applyFill="1" applyBorder="1"/>
    <xf numFmtId="3" fontId="76" fillId="6" borderId="7" xfId="0" applyNumberFormat="1" applyFont="1" applyFill="1" applyBorder="1"/>
    <xf numFmtId="3" fontId="76" fillId="6" borderId="21" xfId="0" applyNumberFormat="1" applyFont="1" applyFill="1" applyBorder="1"/>
    <xf numFmtId="0" fontId="14" fillId="0" borderId="5" xfId="0" applyFont="1" applyBorder="1"/>
    <xf numFmtId="0" fontId="76" fillId="7" borderId="1" xfId="0" applyFont="1" applyFill="1" applyBorder="1" applyAlignment="1">
      <alignment horizontal="center" vertical="center" wrapText="1"/>
    </xf>
    <xf numFmtId="3" fontId="18" fillId="7" borderId="1" xfId="0" applyNumberFormat="1" applyFont="1" applyFill="1" applyBorder="1"/>
    <xf numFmtId="3" fontId="17" fillId="7" borderId="3" xfId="0" applyNumberFormat="1" applyFont="1" applyFill="1" applyBorder="1"/>
    <xf numFmtId="3" fontId="17" fillId="7" borderId="1" xfId="0" applyNumberFormat="1" applyFont="1" applyFill="1" applyBorder="1"/>
    <xf numFmtId="3" fontId="18" fillId="7" borderId="3" xfId="0" applyNumberFormat="1" applyFont="1" applyFill="1" applyBorder="1"/>
    <xf numFmtId="3" fontId="17" fillId="7" borderId="3" xfId="0" applyNumberFormat="1" applyFont="1" applyFill="1" applyBorder="1" applyAlignment="1">
      <alignment vertical="center"/>
    </xf>
    <xf numFmtId="0" fontId="27" fillId="0" borderId="0" xfId="0" applyFont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 wrapText="1"/>
    </xf>
    <xf numFmtId="3" fontId="7" fillId="0" borderId="0" xfId="0" applyNumberFormat="1" applyFont="1" applyAlignment="1">
      <alignment horizontal="right" vertical="center" wrapText="1"/>
    </xf>
    <xf numFmtId="0" fontId="11" fillId="6" borderId="4" xfId="0" applyFont="1" applyFill="1" applyBorder="1" applyAlignment="1">
      <alignment horizontal="left"/>
    </xf>
    <xf numFmtId="3" fontId="0" fillId="0" borderId="22" xfId="0" applyNumberFormat="1" applyBorder="1"/>
    <xf numFmtId="0" fontId="51" fillId="0" borderId="48" xfId="0" applyFont="1" applyBorder="1"/>
    <xf numFmtId="3" fontId="0" fillId="8" borderId="22" xfId="0" applyNumberFormat="1" applyFill="1" applyBorder="1"/>
    <xf numFmtId="0" fontId="4" fillId="0" borderId="1" xfId="0" applyFont="1" applyBorder="1" applyAlignment="1">
      <alignment horizontal="center"/>
    </xf>
    <xf numFmtId="0" fontId="7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82" fillId="0" borderId="0" xfId="0" applyFont="1" applyAlignment="1">
      <alignment vertical="center"/>
    </xf>
    <xf numFmtId="0" fontId="20" fillId="5" borderId="0" xfId="0" applyFont="1" applyFill="1" applyAlignment="1">
      <alignment horizontal="center"/>
    </xf>
    <xf numFmtId="0" fontId="4" fillId="0" borderId="0" xfId="4" applyFont="1"/>
    <xf numFmtId="0" fontId="4" fillId="0" borderId="0" xfId="4" applyFont="1" applyAlignment="1">
      <alignment horizontal="right"/>
    </xf>
    <xf numFmtId="3" fontId="4" fillId="0" borderId="0" xfId="4" applyNumberFormat="1" applyFont="1" applyAlignment="1">
      <alignment horizontal="right"/>
    </xf>
    <xf numFmtId="0" fontId="28" fillId="6" borderId="4" xfId="4" applyFont="1" applyFill="1" applyBorder="1" applyAlignment="1">
      <alignment horizontal="center" vertical="top" wrapText="1"/>
    </xf>
    <xf numFmtId="0" fontId="28" fillId="6" borderId="5" xfId="4" applyFont="1" applyFill="1" applyBorder="1" applyAlignment="1">
      <alignment horizontal="center" vertical="center" wrapText="1"/>
    </xf>
    <xf numFmtId="0" fontId="28" fillId="6" borderId="25" xfId="4" applyFont="1" applyFill="1" applyBorder="1" applyAlignment="1">
      <alignment horizontal="center" vertical="center" wrapText="1"/>
    </xf>
    <xf numFmtId="0" fontId="7" fillId="0" borderId="0" xfId="4" applyFont="1"/>
    <xf numFmtId="0" fontId="4" fillId="0" borderId="9" xfId="4" applyFont="1" applyBorder="1" applyAlignment="1">
      <alignment horizontal="center" vertical="top" wrapText="1"/>
    </xf>
    <xf numFmtId="0" fontId="4" fillId="0" borderId="3" xfId="4" applyFont="1" applyBorder="1" applyAlignment="1">
      <alignment horizontal="left" vertical="top" wrapText="1"/>
    </xf>
    <xf numFmtId="3" fontId="4" fillId="0" borderId="3" xfId="4" applyNumberFormat="1" applyFont="1" applyBorder="1" applyAlignment="1">
      <alignment horizontal="right" vertical="top" wrapText="1"/>
    </xf>
    <xf numFmtId="3" fontId="4" fillId="6" borderId="31" xfId="4" applyNumberFormat="1" applyFont="1" applyFill="1" applyBorder="1" applyAlignment="1">
      <alignment horizontal="right" vertical="top" wrapText="1"/>
    </xf>
    <xf numFmtId="3" fontId="4" fillId="0" borderId="0" xfId="4" applyNumberFormat="1" applyFont="1"/>
    <xf numFmtId="0" fontId="4" fillId="0" borderId="11" xfId="4" applyFont="1" applyBorder="1" applyAlignment="1">
      <alignment horizontal="center" vertical="top" wrapText="1"/>
    </xf>
    <xf numFmtId="0" fontId="4" fillId="0" borderId="1" xfId="4" applyFont="1" applyBorder="1" applyAlignment="1">
      <alignment horizontal="left" vertical="top" wrapText="1"/>
    </xf>
    <xf numFmtId="3" fontId="4" fillId="0" borderId="1" xfId="4" applyNumberFormat="1" applyFont="1" applyBorder="1" applyAlignment="1">
      <alignment horizontal="right" vertical="top" wrapText="1"/>
    </xf>
    <xf numFmtId="3" fontId="4" fillId="6" borderId="32" xfId="4" applyNumberFormat="1" applyFont="1" applyFill="1" applyBorder="1" applyAlignment="1">
      <alignment horizontal="right" vertical="top" wrapText="1"/>
    </xf>
    <xf numFmtId="0" fontId="7" fillId="0" borderId="11" xfId="4" applyFont="1" applyBorder="1" applyAlignment="1">
      <alignment horizontal="center" vertical="top" wrapText="1"/>
    </xf>
    <xf numFmtId="0" fontId="7" fillId="0" borderId="1" xfId="4" applyFont="1" applyBorder="1" applyAlignment="1">
      <alignment horizontal="left" vertical="top" wrapText="1"/>
    </xf>
    <xf numFmtId="3" fontId="7" fillId="0" borderId="1" xfId="4" applyNumberFormat="1" applyFont="1" applyBorder="1" applyAlignment="1">
      <alignment horizontal="right" vertical="top" wrapText="1"/>
    </xf>
    <xf numFmtId="3" fontId="7" fillId="6" borderId="32" xfId="4" applyNumberFormat="1" applyFont="1" applyFill="1" applyBorder="1" applyAlignment="1">
      <alignment horizontal="right" vertical="top" wrapText="1"/>
    </xf>
    <xf numFmtId="3" fontId="17" fillId="0" borderId="0" xfId="4" applyNumberFormat="1" applyFont="1"/>
    <xf numFmtId="3" fontId="4" fillId="0" borderId="1" xfId="4" applyNumberFormat="1" applyFont="1" applyBorder="1" applyAlignment="1">
      <alignment horizontal="right" vertical="center" wrapText="1"/>
    </xf>
    <xf numFmtId="3" fontId="4" fillId="6" borderId="32" xfId="4" applyNumberFormat="1" applyFont="1" applyFill="1" applyBorder="1" applyAlignment="1">
      <alignment horizontal="right" vertical="center" wrapText="1"/>
    </xf>
    <xf numFmtId="0" fontId="7" fillId="0" borderId="13" xfId="4" applyFont="1" applyBorder="1" applyAlignment="1">
      <alignment horizontal="center" vertical="top" wrapText="1"/>
    </xf>
    <xf numFmtId="0" fontId="7" fillId="0" borderId="8" xfId="4" applyFont="1" applyBorder="1" applyAlignment="1">
      <alignment horizontal="left" vertical="top" wrapText="1"/>
    </xf>
    <xf numFmtId="3" fontId="4" fillId="0" borderId="8" xfId="4" applyNumberFormat="1" applyFont="1" applyBorder="1" applyAlignment="1">
      <alignment horizontal="right" vertical="top" wrapText="1"/>
    </xf>
    <xf numFmtId="3" fontId="4" fillId="6" borderId="33" xfId="4" applyNumberFormat="1" applyFont="1" applyFill="1" applyBorder="1" applyAlignment="1">
      <alignment horizontal="right" vertical="top" wrapText="1"/>
    </xf>
    <xf numFmtId="3" fontId="17" fillId="8" borderId="1" xfId="0" applyNumberFormat="1" applyFont="1" applyFill="1" applyBorder="1" applyAlignment="1">
      <alignment horizontal="right"/>
    </xf>
    <xf numFmtId="3" fontId="49" fillId="0" borderId="1" xfId="0" applyNumberFormat="1" applyFont="1" applyBorder="1"/>
    <xf numFmtId="3" fontId="4" fillId="13" borderId="0" xfId="0" applyNumberFormat="1" applyFont="1" applyFill="1"/>
    <xf numFmtId="0" fontId="4" fillId="0" borderId="0" xfId="0" applyFont="1" applyAlignment="1">
      <alignment horizontal="center"/>
    </xf>
    <xf numFmtId="3" fontId="66" fillId="0" borderId="0" xfId="1" applyNumberFormat="1" applyFont="1"/>
    <xf numFmtId="3" fontId="83" fillId="0" borderId="0" xfId="0" applyNumberFormat="1" applyFont="1"/>
    <xf numFmtId="0" fontId="84" fillId="0" borderId="0" xfId="0" applyFont="1"/>
    <xf numFmtId="3" fontId="64" fillId="0" borderId="1" xfId="0" applyNumberFormat="1" applyFont="1" applyBorder="1"/>
    <xf numFmtId="0" fontId="4" fillId="0" borderId="47" xfId="0" applyFont="1" applyBorder="1"/>
    <xf numFmtId="0" fontId="4" fillId="0" borderId="46" xfId="0" applyFont="1" applyBorder="1"/>
    <xf numFmtId="0" fontId="4" fillId="0" borderId="28" xfId="0" applyFont="1" applyBorder="1"/>
    <xf numFmtId="3" fontId="17" fillId="0" borderId="16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17" fillId="0" borderId="2" xfId="0" applyNumberFormat="1" applyFont="1" applyBorder="1" applyAlignment="1">
      <alignment horizontal="right" vertical="center"/>
    </xf>
    <xf numFmtId="3" fontId="4" fillId="8" borderId="1" xfId="0" applyNumberFormat="1" applyFont="1" applyFill="1" applyBorder="1" applyAlignment="1">
      <alignment horizontal="right"/>
    </xf>
    <xf numFmtId="3" fontId="4" fillId="8" borderId="1" xfId="0" applyNumberFormat="1" applyFont="1" applyFill="1" applyBorder="1" applyAlignment="1">
      <alignment horizontal="left" vertical="center"/>
    </xf>
    <xf numFmtId="0" fontId="17" fillId="8" borderId="1" xfId="0" applyFont="1" applyFill="1" applyBorder="1" applyAlignment="1">
      <alignment horizontal="right"/>
    </xf>
    <xf numFmtId="3" fontId="27" fillId="0" borderId="3" xfId="0" applyNumberFormat="1" applyFont="1" applyBorder="1" applyAlignment="1">
      <alignment vertical="center"/>
    </xf>
    <xf numFmtId="3" fontId="27" fillId="0" borderId="1" xfId="0" applyNumberFormat="1" applyFont="1" applyBorder="1"/>
    <xf numFmtId="3" fontId="27" fillId="0" borderId="1" xfId="0" applyNumberFormat="1" applyFont="1" applyBorder="1" applyAlignment="1">
      <alignment horizontal="right"/>
    </xf>
    <xf numFmtId="3" fontId="24" fillId="0" borderId="1" xfId="0" applyNumberFormat="1" applyFont="1" applyBorder="1" applyAlignment="1">
      <alignment horizontal="center"/>
    </xf>
    <xf numFmtId="3" fontId="24" fillId="0" borderId="1" xfId="0" applyNumberFormat="1" applyFont="1" applyBorder="1" applyAlignment="1">
      <alignment horizontal="right" vertical="center" wrapText="1"/>
    </xf>
    <xf numFmtId="3" fontId="27" fillId="0" borderId="1" xfId="0" applyNumberFormat="1" applyFont="1" applyBorder="1" applyAlignment="1">
      <alignment horizontal="right" vertical="center"/>
    </xf>
    <xf numFmtId="3" fontId="34" fillId="0" borderId="1" xfId="0" applyNumberFormat="1" applyFont="1" applyBorder="1" applyAlignment="1">
      <alignment horizontal="right" vertical="center"/>
    </xf>
    <xf numFmtId="0" fontId="24" fillId="0" borderId="2" xfId="0" applyFont="1" applyBorder="1"/>
    <xf numFmtId="3" fontId="27" fillId="4" borderId="40" xfId="0" applyNumberFormat="1" applyFont="1" applyFill="1" applyBorder="1" applyAlignment="1">
      <alignment horizontal="right"/>
    </xf>
    <xf numFmtId="3" fontId="27" fillId="0" borderId="3" xfId="0" applyNumberFormat="1" applyFont="1" applyBorder="1"/>
    <xf numFmtId="3" fontId="24" fillId="0" borderId="1" xfId="0" applyNumberFormat="1" applyFont="1" applyBorder="1" applyAlignment="1">
      <alignment vertical="center"/>
    </xf>
    <xf numFmtId="3" fontId="24" fillId="0" borderId="2" xfId="0" applyNumberFormat="1" applyFont="1" applyBorder="1" applyAlignment="1">
      <alignment vertical="center"/>
    </xf>
    <xf numFmtId="3" fontId="73" fillId="0" borderId="3" xfId="0" applyNumberFormat="1" applyFont="1" applyBorder="1" applyAlignment="1">
      <alignment horizontal="right"/>
    </xf>
    <xf numFmtId="3" fontId="27" fillId="0" borderId="2" xfId="0" applyNumberFormat="1" applyFont="1" applyBorder="1" applyAlignment="1">
      <alignment horizontal="right" vertical="center"/>
    </xf>
    <xf numFmtId="3" fontId="81" fillId="6" borderId="1" xfId="0" applyNumberFormat="1" applyFont="1" applyFill="1" applyBorder="1"/>
    <xf numFmtId="3" fontId="44" fillId="6" borderId="1" xfId="0" applyNumberFormat="1" applyFont="1" applyFill="1" applyBorder="1"/>
    <xf numFmtId="0" fontId="70" fillId="0" borderId="1" xfId="13" applyFont="1" applyBorder="1" applyAlignment="1">
      <alignment horizontal="right" vertical="center"/>
    </xf>
    <xf numFmtId="49" fontId="70" fillId="0" borderId="1" xfId="13" applyNumberFormat="1" applyFont="1" applyBorder="1" applyAlignment="1">
      <alignment horizontal="right" vertical="center"/>
    </xf>
    <xf numFmtId="3" fontId="86" fillId="0" borderId="28" xfId="0" applyNumberFormat="1" applyFont="1" applyBorder="1" applyAlignment="1">
      <alignment vertical="center"/>
    </xf>
    <xf numFmtId="3" fontId="87" fillId="0" borderId="16" xfId="0" applyNumberFormat="1" applyFont="1" applyBorder="1" applyAlignment="1">
      <alignment vertical="center"/>
    </xf>
    <xf numFmtId="3" fontId="88" fillId="0" borderId="16" xfId="0" applyNumberFormat="1" applyFont="1" applyBorder="1" applyAlignment="1">
      <alignment vertical="center"/>
    </xf>
    <xf numFmtId="3" fontId="85" fillId="0" borderId="16" xfId="0" applyNumberFormat="1" applyFont="1" applyBorder="1" applyAlignment="1">
      <alignment vertical="center"/>
    </xf>
    <xf numFmtId="3" fontId="86" fillId="0" borderId="16" xfId="0" applyNumberFormat="1" applyFont="1" applyBorder="1" applyAlignment="1">
      <alignment vertical="center"/>
    </xf>
    <xf numFmtId="3" fontId="6" fillId="0" borderId="28" xfId="0" applyNumberFormat="1" applyFont="1" applyBorder="1" applyAlignment="1">
      <alignment vertical="center"/>
    </xf>
    <xf numFmtId="3" fontId="79" fillId="0" borderId="28" xfId="0" applyNumberFormat="1" applyFont="1" applyBorder="1" applyAlignment="1">
      <alignment vertical="center"/>
    </xf>
    <xf numFmtId="3" fontId="89" fillId="0" borderId="0" xfId="0" applyNumberFormat="1" applyFont="1"/>
    <xf numFmtId="3" fontId="46" fillId="12" borderId="0" xfId="0" applyNumberFormat="1" applyFont="1" applyFill="1"/>
    <xf numFmtId="0" fontId="83" fillId="0" borderId="0" xfId="0" applyFont="1"/>
    <xf numFmtId="3" fontId="7" fillId="3" borderId="17" xfId="0" applyNumberFormat="1" applyFont="1" applyFill="1" applyBorder="1" applyAlignment="1">
      <alignment horizontal="center" vertical="center" wrapText="1"/>
    </xf>
    <xf numFmtId="3" fontId="28" fillId="7" borderId="30" xfId="0" applyNumberFormat="1" applyFont="1" applyFill="1" applyBorder="1" applyAlignment="1">
      <alignment vertical="center"/>
    </xf>
    <xf numFmtId="3" fontId="15" fillId="0" borderId="30" xfId="0" applyNumberFormat="1" applyFont="1" applyBorder="1" applyAlignment="1">
      <alignment vertical="center"/>
    </xf>
    <xf numFmtId="3" fontId="7" fillId="7" borderId="30" xfId="0" applyNumberFormat="1" applyFont="1" applyFill="1" applyBorder="1" applyAlignment="1">
      <alignment vertical="center"/>
    </xf>
    <xf numFmtId="3" fontId="33" fillId="0" borderId="47" xfId="0" applyNumberFormat="1" applyFont="1" applyBorder="1" applyAlignment="1">
      <alignment vertical="center"/>
    </xf>
    <xf numFmtId="3" fontId="4" fillId="0" borderId="47" xfId="0" applyNumberFormat="1" applyFont="1" applyBorder="1" applyAlignment="1">
      <alignment vertical="center"/>
    </xf>
    <xf numFmtId="3" fontId="33" fillId="0" borderId="17" xfId="0" applyNumberFormat="1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3" fontId="17" fillId="0" borderId="17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90" fillId="0" borderId="1" xfId="0" applyFont="1" applyBorder="1" applyAlignment="1">
      <alignment wrapText="1"/>
    </xf>
    <xf numFmtId="0" fontId="78" fillId="2" borderId="1" xfId="0" applyFont="1" applyFill="1" applyBorder="1" applyAlignment="1">
      <alignment horizontal="left" vertical="center" wrapText="1"/>
    </xf>
    <xf numFmtId="0" fontId="91" fillId="0" borderId="0" xfId="0" applyFont="1"/>
    <xf numFmtId="3" fontId="27" fillId="0" borderId="3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20" fillId="5" borderId="0" xfId="0" applyFont="1" applyFill="1" applyAlignment="1">
      <alignment horizontal="center"/>
    </xf>
    <xf numFmtId="0" fontId="0" fillId="0" borderId="0" xfId="0"/>
    <xf numFmtId="0" fontId="20" fillId="0" borderId="0" xfId="0" applyFont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1" xfId="0" applyFont="1" applyBorder="1" applyAlignment="1">
      <alignment horizont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0" fontId="20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center" wrapText="1"/>
    </xf>
    <xf numFmtId="3" fontId="17" fillId="0" borderId="2" xfId="0" applyNumberFormat="1" applyFont="1" applyBorder="1" applyAlignment="1">
      <alignment horizontal="right" vertical="center"/>
    </xf>
    <xf numFmtId="3" fontId="17" fillId="0" borderId="7" xfId="0" applyNumberFormat="1" applyFont="1" applyBorder="1" applyAlignment="1">
      <alignment horizontal="right" vertical="center"/>
    </xf>
    <xf numFmtId="3" fontId="17" fillId="0" borderId="3" xfId="0" applyNumberFormat="1" applyFont="1" applyBorder="1" applyAlignment="1">
      <alignment horizontal="right" vertical="center"/>
    </xf>
    <xf numFmtId="3" fontId="33" fillId="0" borderId="2" xfId="0" applyNumberFormat="1" applyFont="1" applyBorder="1" applyAlignment="1">
      <alignment horizontal="right" vertical="center"/>
    </xf>
    <xf numFmtId="3" fontId="33" fillId="0" borderId="7" xfId="0" applyNumberFormat="1" applyFont="1" applyBorder="1" applyAlignment="1">
      <alignment horizontal="right" vertical="center"/>
    </xf>
    <xf numFmtId="3" fontId="33" fillId="0" borderId="3" xfId="0" applyNumberFormat="1" applyFont="1" applyBorder="1" applyAlignment="1">
      <alignment horizontal="right" vertical="center"/>
    </xf>
    <xf numFmtId="3" fontId="7" fillId="3" borderId="21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 wrapText="1"/>
    </xf>
    <xf numFmtId="3" fontId="7" fillId="3" borderId="36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right" vertical="center"/>
    </xf>
    <xf numFmtId="0" fontId="11" fillId="5" borderId="0" xfId="0" applyFont="1" applyFill="1" applyAlignment="1">
      <alignment horizontal="center" vertical="center"/>
    </xf>
    <xf numFmtId="3" fontId="7" fillId="3" borderId="20" xfId="0" applyNumberFormat="1" applyFont="1" applyFill="1" applyBorder="1" applyAlignment="1">
      <alignment horizontal="center" vertical="center" wrapText="1"/>
    </xf>
    <xf numFmtId="3" fontId="7" fillId="3" borderId="29" xfId="0" applyNumberFormat="1" applyFont="1" applyFill="1" applyBorder="1" applyAlignment="1">
      <alignment horizontal="center" vertical="center" wrapText="1"/>
    </xf>
    <xf numFmtId="3" fontId="7" fillId="3" borderId="53" xfId="0" applyNumberFormat="1" applyFont="1" applyFill="1" applyBorder="1" applyAlignment="1">
      <alignment horizontal="center" vertical="center" wrapText="1"/>
    </xf>
    <xf numFmtId="3" fontId="7" fillId="3" borderId="37" xfId="0" applyNumberFormat="1" applyFont="1" applyFill="1" applyBorder="1" applyAlignment="1">
      <alignment horizontal="center" vertical="center" wrapText="1"/>
    </xf>
    <xf numFmtId="3" fontId="7" fillId="3" borderId="57" xfId="0" applyNumberFormat="1" applyFont="1" applyFill="1" applyBorder="1" applyAlignment="1">
      <alignment horizontal="center" vertical="center" wrapText="1"/>
    </xf>
    <xf numFmtId="3" fontId="7" fillId="3" borderId="38" xfId="0" applyNumberFormat="1" applyFont="1" applyFill="1" applyBorder="1" applyAlignment="1">
      <alignment horizontal="center" vertical="center" wrapText="1"/>
    </xf>
    <xf numFmtId="3" fontId="7" fillId="3" borderId="63" xfId="0" applyNumberFormat="1" applyFont="1" applyFill="1" applyBorder="1" applyAlignment="1">
      <alignment horizontal="center" vertical="center" wrapText="1"/>
    </xf>
    <xf numFmtId="3" fontId="7" fillId="3" borderId="41" xfId="0" applyNumberFormat="1" applyFont="1" applyFill="1" applyBorder="1" applyAlignment="1">
      <alignment horizontal="center" vertical="center" wrapText="1"/>
    </xf>
    <xf numFmtId="3" fontId="7" fillId="3" borderId="5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3" borderId="17" xfId="0" applyNumberFormat="1" applyFont="1" applyFill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horizontal="center" vertical="center" wrapText="1"/>
    </xf>
    <xf numFmtId="3" fontId="30" fillId="3" borderId="2" xfId="0" applyNumberFormat="1" applyFont="1" applyFill="1" applyBorder="1" applyAlignment="1">
      <alignment horizontal="center" vertical="center" wrapText="1"/>
    </xf>
    <xf numFmtId="3" fontId="30" fillId="3" borderId="36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textRotation="90" wrapText="1"/>
    </xf>
    <xf numFmtId="0" fontId="7" fillId="6" borderId="7" xfId="0" applyFont="1" applyFill="1" applyBorder="1" applyAlignment="1">
      <alignment horizontal="center" vertical="center" textRotation="90" wrapText="1"/>
    </xf>
    <xf numFmtId="0" fontId="7" fillId="6" borderId="3" xfId="0" applyFont="1" applyFill="1" applyBorder="1" applyAlignment="1">
      <alignment horizontal="center" vertical="center" textRotation="90" wrapText="1"/>
    </xf>
    <xf numFmtId="0" fontId="7" fillId="6" borderId="2" xfId="0" applyFont="1" applyFill="1" applyBorder="1" applyAlignment="1">
      <alignment horizontal="center" vertical="center" textRotation="90"/>
    </xf>
    <xf numFmtId="0" fontId="7" fillId="6" borderId="7" xfId="0" applyFont="1" applyFill="1" applyBorder="1" applyAlignment="1">
      <alignment horizontal="center" vertical="center" textRotation="90"/>
    </xf>
    <xf numFmtId="0" fontId="7" fillId="6" borderId="3" xfId="0" applyFont="1" applyFill="1" applyBorder="1" applyAlignment="1">
      <alignment horizontal="center" vertical="center" textRotation="90"/>
    </xf>
    <xf numFmtId="0" fontId="0" fillId="0" borderId="36" xfId="0" applyBorder="1" applyAlignment="1">
      <alignment horizontal="center" vertical="center"/>
    </xf>
    <xf numFmtId="3" fontId="18" fillId="3" borderId="35" xfId="0" applyNumberFormat="1" applyFont="1" applyFill="1" applyBorder="1" applyAlignment="1">
      <alignment horizontal="center" vertical="center" wrapText="1"/>
    </xf>
    <xf numFmtId="3" fontId="18" fillId="3" borderId="68" xfId="0" applyNumberFormat="1" applyFont="1" applyFill="1" applyBorder="1" applyAlignment="1">
      <alignment horizontal="center" vertical="center" wrapText="1"/>
    </xf>
    <xf numFmtId="3" fontId="18" fillId="3" borderId="47" xfId="0" applyNumberFormat="1" applyFont="1" applyFill="1" applyBorder="1" applyAlignment="1">
      <alignment horizontal="center" vertical="center" wrapText="1"/>
    </xf>
    <xf numFmtId="3" fontId="18" fillId="3" borderId="28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3" fontId="7" fillId="3" borderId="15" xfId="0" applyNumberFormat="1" applyFont="1" applyFill="1" applyBorder="1" applyAlignment="1">
      <alignment horizontal="center" vertical="center" wrapText="1"/>
    </xf>
    <xf numFmtId="3" fontId="7" fillId="3" borderId="11" xfId="0" applyNumberFormat="1" applyFont="1" applyFill="1" applyBorder="1" applyAlignment="1">
      <alignment horizontal="center" vertical="center" wrapText="1"/>
    </xf>
    <xf numFmtId="3" fontId="7" fillId="3" borderId="13" xfId="0" applyNumberFormat="1" applyFont="1" applyFill="1" applyBorder="1" applyAlignment="1">
      <alignment horizontal="center" vertical="center" wrapText="1"/>
    </xf>
    <xf numFmtId="3" fontId="7" fillId="3" borderId="22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7" fillId="3" borderId="8" xfId="0" applyNumberFormat="1" applyFont="1" applyFill="1" applyBorder="1" applyAlignment="1">
      <alignment horizontal="center" vertical="center" wrapText="1"/>
    </xf>
    <xf numFmtId="3" fontId="7" fillId="3" borderId="23" xfId="0" applyNumberFormat="1" applyFont="1" applyFill="1" applyBorder="1" applyAlignment="1">
      <alignment horizontal="center" vertical="center" wrapText="1"/>
    </xf>
    <xf numFmtId="3" fontId="7" fillId="3" borderId="12" xfId="0" applyNumberFormat="1" applyFont="1" applyFill="1" applyBorder="1" applyAlignment="1">
      <alignment horizontal="center" vertical="center" wrapText="1"/>
    </xf>
    <xf numFmtId="3" fontId="7" fillId="3" borderId="14" xfId="0" applyNumberFormat="1" applyFont="1" applyFill="1" applyBorder="1" applyAlignment="1">
      <alignment horizontal="center" vertical="center" wrapText="1"/>
    </xf>
    <xf numFmtId="3" fontId="18" fillId="3" borderId="17" xfId="0" applyNumberFormat="1" applyFont="1" applyFill="1" applyBorder="1" applyAlignment="1">
      <alignment horizontal="center" vertical="center" wrapText="1"/>
    </xf>
    <xf numFmtId="3" fontId="18" fillId="3" borderId="16" xfId="0" applyNumberFormat="1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center" vertical="top" wrapText="1"/>
    </xf>
    <xf numFmtId="0" fontId="20" fillId="5" borderId="0" xfId="0" applyFont="1" applyFill="1" applyAlignment="1">
      <alignment horizontal="center" vertical="top"/>
    </xf>
    <xf numFmtId="0" fontId="7" fillId="3" borderId="1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7" fillId="6" borderId="1" xfId="24" applyFont="1" applyFill="1" applyBorder="1" applyAlignment="1">
      <alignment horizontal="center" vertical="center"/>
    </xf>
    <xf numFmtId="9" fontId="0" fillId="0" borderId="1" xfId="24" applyFont="1" applyBorder="1" applyAlignment="1">
      <alignment horizontal="center" vertical="center"/>
    </xf>
    <xf numFmtId="0" fontId="27" fillId="6" borderId="17" xfId="0" applyFont="1" applyFill="1" applyBorder="1" applyAlignment="1">
      <alignment horizontal="center" vertical="center" wrapText="1"/>
    </xf>
    <xf numFmtId="0" fontId="27" fillId="6" borderId="34" xfId="0" applyFont="1" applyFill="1" applyBorder="1" applyAlignment="1">
      <alignment horizontal="center" vertical="center" wrapText="1"/>
    </xf>
    <xf numFmtId="0" fontId="27" fillId="6" borderId="1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7" fillId="6" borderId="59" xfId="0" applyFont="1" applyFill="1" applyBorder="1" applyAlignment="1">
      <alignment horizontal="center" vertical="center" wrapText="1"/>
    </xf>
    <xf numFmtId="0" fontId="27" fillId="6" borderId="60" xfId="0" applyFont="1" applyFill="1" applyBorder="1" applyAlignment="1">
      <alignment horizontal="center" vertical="center" wrapText="1"/>
    </xf>
    <xf numFmtId="0" fontId="27" fillId="6" borderId="6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7" fillId="0" borderId="1" xfId="0" applyFont="1" applyBorder="1" applyAlignment="1">
      <alignment horizontal="center" vertical="center"/>
    </xf>
    <xf numFmtId="3" fontId="18" fillId="0" borderId="21" xfId="0" applyNumberFormat="1" applyFont="1" applyBorder="1" applyAlignment="1">
      <alignment horizontal="right" vertical="center" wrapText="1"/>
    </xf>
    <xf numFmtId="3" fontId="18" fillId="0" borderId="3" xfId="0" applyNumberFormat="1" applyFont="1" applyBorder="1" applyAlignment="1">
      <alignment horizontal="right" vertical="center" wrapText="1"/>
    </xf>
    <xf numFmtId="0" fontId="25" fillId="5" borderId="0" xfId="0" applyFont="1" applyFill="1" applyAlignment="1">
      <alignment horizontal="center"/>
    </xf>
    <xf numFmtId="3" fontId="7" fillId="0" borderId="21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3" fontId="17" fillId="0" borderId="21" xfId="0" applyNumberFormat="1" applyFont="1" applyBorder="1" applyAlignment="1">
      <alignment horizontal="right" vertical="center"/>
    </xf>
    <xf numFmtId="0" fontId="6" fillId="6" borderId="58" xfId="0" applyFont="1" applyFill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5" fillId="6" borderId="27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  <xf numFmtId="3" fontId="8" fillId="6" borderId="17" xfId="0" applyNumberFormat="1" applyFont="1" applyFill="1" applyBorder="1" applyAlignment="1">
      <alignment horizontal="center"/>
    </xf>
    <xf numFmtId="3" fontId="8" fillId="6" borderId="16" xfId="0" applyNumberFormat="1" applyFont="1" applyFill="1" applyBorder="1" applyAlignment="1">
      <alignment horizontal="center"/>
    </xf>
    <xf numFmtId="1" fontId="39" fillId="6" borderId="17" xfId="0" applyNumberFormat="1" applyFont="1" applyFill="1" applyBorder="1" applyAlignment="1">
      <alignment horizontal="center" vertical="center" wrapText="1"/>
    </xf>
    <xf numFmtId="1" fontId="39" fillId="6" borderId="16" xfId="0" applyNumberFormat="1" applyFont="1" applyFill="1" applyBorder="1" applyAlignment="1">
      <alignment horizontal="center" vertical="center" wrapText="1"/>
    </xf>
    <xf numFmtId="3" fontId="39" fillId="6" borderId="34" xfId="0" applyNumberFormat="1" applyFont="1" applyFill="1" applyBorder="1" applyAlignment="1">
      <alignment horizontal="center" vertical="center" wrapText="1"/>
    </xf>
    <xf numFmtId="3" fontId="39" fillId="6" borderId="16" xfId="0" applyNumberFormat="1" applyFont="1" applyFill="1" applyBorder="1" applyAlignment="1">
      <alignment horizontal="center" vertical="center" wrapText="1"/>
    </xf>
    <xf numFmtId="3" fontId="46" fillId="0" borderId="18" xfId="0" applyNumberFormat="1" applyFont="1" applyBorder="1" applyAlignment="1">
      <alignment horizontal="right" vertical="center"/>
    </xf>
    <xf numFmtId="0" fontId="39" fillId="3" borderId="59" xfId="0" applyFont="1" applyFill="1" applyBorder="1" applyAlignment="1">
      <alignment horizontal="center" vertical="center" wrapText="1"/>
    </xf>
    <xf numFmtId="0" fontId="39" fillId="3" borderId="60" xfId="0" applyFont="1" applyFill="1" applyBorder="1" applyAlignment="1">
      <alignment horizontal="center" vertical="center" wrapText="1"/>
    </xf>
    <xf numFmtId="0" fontId="39" fillId="3" borderId="61" xfId="0" applyFont="1" applyFill="1" applyBorder="1" applyAlignment="1">
      <alignment horizontal="center" vertical="center" wrapText="1"/>
    </xf>
    <xf numFmtId="0" fontId="39" fillId="3" borderId="18" xfId="0" applyFont="1" applyFill="1" applyBorder="1" applyAlignment="1">
      <alignment horizontal="center" vertical="center" wrapText="1"/>
    </xf>
    <xf numFmtId="0" fontId="39" fillId="3" borderId="0" xfId="0" applyFont="1" applyFill="1" applyAlignment="1">
      <alignment horizontal="center" vertical="center" wrapText="1"/>
    </xf>
    <xf numFmtId="0" fontId="39" fillId="3" borderId="62" xfId="0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center" vertical="center" wrapText="1"/>
    </xf>
    <xf numFmtId="0" fontId="39" fillId="3" borderId="46" xfId="0" applyFont="1" applyFill="1" applyBorder="1" applyAlignment="1">
      <alignment horizontal="center" vertical="center" wrapText="1"/>
    </xf>
    <xf numFmtId="0" fontId="39" fillId="3" borderId="28" xfId="0" applyFont="1" applyFill="1" applyBorder="1" applyAlignment="1">
      <alignment horizontal="center" vertical="center" wrapText="1"/>
    </xf>
    <xf numFmtId="3" fontId="39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0" fillId="6" borderId="17" xfId="0" applyNumberFormat="1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1" fontId="10" fillId="0" borderId="17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8" fillId="2" borderId="0" xfId="0" applyFont="1" applyFill="1" applyAlignment="1">
      <alignment horizontal="center"/>
    </xf>
    <xf numFmtId="0" fontId="37" fillId="2" borderId="0" xfId="0" applyFont="1" applyFill="1" applyAlignment="1">
      <alignment horizontal="center"/>
    </xf>
    <xf numFmtId="3" fontId="8" fillId="0" borderId="17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40" fillId="2" borderId="0" xfId="0" applyFont="1" applyFill="1" applyAlignment="1">
      <alignment horizontal="center"/>
    </xf>
    <xf numFmtId="0" fontId="39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5" fillId="2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1" fillId="3" borderId="47" xfId="0" applyFont="1" applyFill="1" applyBorder="1" applyAlignment="1">
      <alignment horizontal="center" vertical="center" wrapText="1"/>
    </xf>
    <xf numFmtId="0" fontId="41" fillId="3" borderId="28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41" fillId="3" borderId="36" xfId="0" applyFont="1" applyFill="1" applyBorder="1" applyAlignment="1">
      <alignment horizontal="center" vertical="center" wrapText="1"/>
    </xf>
    <xf numFmtId="0" fontId="38" fillId="2" borderId="0" xfId="0" applyFont="1" applyFill="1" applyAlignment="1">
      <alignment horizontal="center" wrapText="1"/>
    </xf>
    <xf numFmtId="0" fontId="41" fillId="3" borderId="20" xfId="0" applyFont="1" applyFill="1" applyBorder="1" applyAlignment="1">
      <alignment horizontal="center" vertical="center" wrapText="1"/>
    </xf>
    <xf numFmtId="0" fontId="41" fillId="3" borderId="29" xfId="0" applyFont="1" applyFill="1" applyBorder="1" applyAlignment="1">
      <alignment horizontal="center" vertical="center" wrapText="1"/>
    </xf>
    <xf numFmtId="0" fontId="41" fillId="3" borderId="53" xfId="0" applyFont="1" applyFill="1" applyBorder="1" applyAlignment="1">
      <alignment horizontal="center" vertical="center" wrapText="1"/>
    </xf>
    <xf numFmtId="0" fontId="41" fillId="3" borderId="21" xfId="0" applyFont="1" applyFill="1" applyBorder="1" applyAlignment="1">
      <alignment horizontal="center" vertical="center" wrapText="1"/>
    </xf>
    <xf numFmtId="0" fontId="45" fillId="3" borderId="21" xfId="0" applyFont="1" applyFill="1" applyBorder="1" applyAlignment="1">
      <alignment horizontal="center" vertical="center" wrapText="1"/>
    </xf>
    <xf numFmtId="0" fontId="45" fillId="3" borderId="7" xfId="0" applyFont="1" applyFill="1" applyBorder="1" applyAlignment="1">
      <alignment horizontal="center" vertical="center" wrapText="1"/>
    </xf>
    <xf numFmtId="0" fontId="45" fillId="3" borderId="36" xfId="0" applyFont="1" applyFill="1" applyBorder="1" applyAlignment="1">
      <alignment horizontal="center" vertical="center" wrapText="1"/>
    </xf>
    <xf numFmtId="0" fontId="41" fillId="3" borderId="37" xfId="0" applyFont="1" applyFill="1" applyBorder="1" applyAlignment="1">
      <alignment horizontal="center" vertical="center" wrapText="1"/>
    </xf>
    <xf numFmtId="0" fontId="41" fillId="3" borderId="57" xfId="0" applyFont="1" applyFill="1" applyBorder="1" applyAlignment="1">
      <alignment horizontal="center" vertical="center" wrapText="1"/>
    </xf>
    <xf numFmtId="0" fontId="41" fillId="3" borderId="38" xfId="0" applyFont="1" applyFill="1" applyBorder="1" applyAlignment="1">
      <alignment horizontal="center" vertical="center" wrapText="1"/>
    </xf>
    <xf numFmtId="0" fontId="41" fillId="6" borderId="21" xfId="0" applyFont="1" applyFill="1" applyBorder="1" applyAlignment="1">
      <alignment horizontal="center" vertical="center" wrapText="1"/>
    </xf>
    <xf numFmtId="0" fontId="41" fillId="6" borderId="7" xfId="0" applyFont="1" applyFill="1" applyBorder="1" applyAlignment="1">
      <alignment horizontal="center" vertical="center" wrapText="1"/>
    </xf>
    <xf numFmtId="0" fontId="41" fillId="6" borderId="36" xfId="0" applyFont="1" applyFill="1" applyBorder="1" applyAlignment="1">
      <alignment horizontal="center" vertical="center" wrapText="1"/>
    </xf>
    <xf numFmtId="0" fontId="48" fillId="3" borderId="63" xfId="0" applyFont="1" applyFill="1" applyBorder="1" applyAlignment="1">
      <alignment horizontal="center" vertical="center" wrapText="1"/>
    </xf>
    <xf numFmtId="0" fontId="48" fillId="3" borderId="41" xfId="0" applyFont="1" applyFill="1" applyBorder="1" applyAlignment="1">
      <alignment horizontal="center" vertical="center" wrapText="1"/>
    </xf>
    <xf numFmtId="0" fontId="48" fillId="3" borderId="52" xfId="0" applyFont="1" applyFill="1" applyBorder="1" applyAlignment="1">
      <alignment horizontal="center" vertical="center" wrapText="1"/>
    </xf>
    <xf numFmtId="0" fontId="69" fillId="10" borderId="0" xfId="13" applyFont="1" applyFill="1" applyAlignment="1">
      <alignment horizontal="center" wrapText="1"/>
    </xf>
    <xf numFmtId="0" fontId="69" fillId="10" borderId="0" xfId="13" applyFont="1" applyFill="1" applyAlignment="1">
      <alignment horizontal="center"/>
    </xf>
    <xf numFmtId="0" fontId="11" fillId="5" borderId="0" xfId="0" applyFont="1" applyFill="1" applyAlignment="1">
      <alignment horizontal="center"/>
    </xf>
    <xf numFmtId="0" fontId="6" fillId="4" borderId="20" xfId="0" applyFont="1" applyFill="1" applyBorder="1" applyAlignment="1">
      <alignment horizontal="center" vertical="center"/>
    </xf>
    <xf numFmtId="0" fontId="6" fillId="4" borderId="5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55" xfId="0" applyFont="1" applyFill="1" applyBorder="1" applyAlignment="1">
      <alignment horizontal="center" vertical="center" wrapText="1"/>
    </xf>
    <xf numFmtId="0" fontId="5" fillId="4" borderId="54" xfId="0" applyFont="1" applyFill="1" applyBorder="1" applyAlignment="1">
      <alignment horizontal="center" vertical="center" wrapText="1"/>
    </xf>
    <xf numFmtId="0" fontId="5" fillId="4" borderId="56" xfId="0" applyFont="1" applyFill="1" applyBorder="1" applyAlignment="1">
      <alignment horizontal="center" vertical="center" wrapText="1"/>
    </xf>
    <xf numFmtId="0" fontId="5" fillId="4" borderId="63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57" fillId="7" borderId="48" xfId="0" applyFont="1" applyFill="1" applyBorder="1" applyAlignment="1">
      <alignment horizontal="center" vertical="center" wrapText="1"/>
    </xf>
    <xf numFmtId="0" fontId="57" fillId="7" borderId="33" xfId="0" applyFont="1" applyFill="1" applyBorder="1" applyAlignment="1">
      <alignment horizontal="center" vertical="center" wrapText="1"/>
    </xf>
    <xf numFmtId="0" fontId="51" fillId="7" borderId="48" xfId="0" applyFont="1" applyFill="1" applyBorder="1" applyAlignment="1">
      <alignment horizontal="center" vertical="center" wrapText="1"/>
    </xf>
    <xf numFmtId="0" fontId="51" fillId="7" borderId="33" xfId="0" applyFont="1" applyFill="1" applyBorder="1" applyAlignment="1">
      <alignment horizontal="center" vertical="center" wrapText="1"/>
    </xf>
    <xf numFmtId="0" fontId="57" fillId="7" borderId="67" xfId="0" applyFont="1" applyFill="1" applyBorder="1" applyAlignment="1">
      <alignment horizontal="center" vertical="center" wrapText="1"/>
    </xf>
    <xf numFmtId="0" fontId="57" fillId="7" borderId="66" xfId="0" applyFont="1" applyFill="1" applyBorder="1" applyAlignment="1">
      <alignment horizontal="center" vertical="center" wrapText="1"/>
    </xf>
    <xf numFmtId="0" fontId="51" fillId="7" borderId="64" xfId="0" applyFont="1" applyFill="1" applyBorder="1" applyAlignment="1">
      <alignment horizontal="center" vertical="center"/>
    </xf>
    <xf numFmtId="0" fontId="51" fillId="7" borderId="65" xfId="0" applyFont="1" applyFill="1" applyBorder="1" applyAlignment="1">
      <alignment horizontal="center" vertical="center"/>
    </xf>
    <xf numFmtId="0" fontId="56" fillId="7" borderId="48" xfId="0" applyFont="1" applyFill="1" applyBorder="1" applyAlignment="1">
      <alignment horizontal="center" vertical="center" wrapText="1"/>
    </xf>
    <xf numFmtId="0" fontId="56" fillId="7" borderId="33" xfId="0" applyFont="1" applyFill="1" applyBorder="1" applyAlignment="1">
      <alignment horizontal="center" vertical="center" wrapText="1"/>
    </xf>
    <xf numFmtId="0" fontId="51" fillId="7" borderId="19" xfId="0" applyFont="1" applyFill="1" applyBorder="1" applyAlignment="1">
      <alignment horizontal="center"/>
    </xf>
    <xf numFmtId="0" fontId="51" fillId="7" borderId="66" xfId="0" applyFont="1" applyFill="1" applyBorder="1" applyAlignment="1">
      <alignment horizontal="center" vertical="center"/>
    </xf>
    <xf numFmtId="0" fontId="51" fillId="7" borderId="4" xfId="0" applyFont="1" applyFill="1" applyBorder="1" applyAlignment="1">
      <alignment horizontal="center"/>
    </xf>
    <xf numFmtId="0" fontId="51" fillId="7" borderId="5" xfId="0" applyFont="1" applyFill="1" applyBorder="1" applyAlignment="1">
      <alignment horizontal="center"/>
    </xf>
    <xf numFmtId="0" fontId="51" fillId="7" borderId="30" xfId="0" applyFont="1" applyFill="1" applyBorder="1" applyAlignment="1">
      <alignment horizontal="center"/>
    </xf>
    <xf numFmtId="0" fontId="51" fillId="7" borderId="58" xfId="0" applyFont="1" applyFill="1" applyBorder="1" applyAlignment="1">
      <alignment horizontal="center" vertical="center" wrapText="1"/>
    </xf>
    <xf numFmtId="0" fontId="51" fillId="7" borderId="50" xfId="0" applyFont="1" applyFill="1" applyBorder="1" applyAlignment="1">
      <alignment horizontal="center" vertical="center" wrapText="1"/>
    </xf>
    <xf numFmtId="0" fontId="23" fillId="7" borderId="58" xfId="0" applyFont="1" applyFill="1" applyBorder="1" applyAlignment="1">
      <alignment horizontal="center" vertical="center" wrapText="1"/>
    </xf>
    <xf numFmtId="0" fontId="23" fillId="7" borderId="50" xfId="0" applyFont="1" applyFill="1" applyBorder="1" applyAlignment="1">
      <alignment horizontal="center" vertical="center"/>
    </xf>
  </cellXfs>
  <cellStyles count="25">
    <cellStyle name="Ezres 2" xfId="1" xr:uid="{00000000-0005-0000-0000-000001000000}"/>
    <cellStyle name="Ezres 2 2" xfId="20" xr:uid="{00000000-0005-0000-0000-000002000000}"/>
    <cellStyle name="Ezres 3" xfId="2" xr:uid="{00000000-0005-0000-0000-000003000000}"/>
    <cellStyle name="Ezres 4" xfId="19" xr:uid="{00000000-0005-0000-0000-000004000000}"/>
    <cellStyle name="Normál" xfId="0" builtinId="0"/>
    <cellStyle name="Normál 10" xfId="13" xr:uid="{00000000-0005-0000-0000-000006000000}"/>
    <cellStyle name="Normál 10 2" xfId="22" xr:uid="{00000000-0005-0000-0000-000007000000}"/>
    <cellStyle name="Normál 2" xfId="3" xr:uid="{00000000-0005-0000-0000-000008000000}"/>
    <cellStyle name="Normál 2 2" xfId="4" xr:uid="{00000000-0005-0000-0000-000009000000}"/>
    <cellStyle name="Normál 3" xfId="5" xr:uid="{00000000-0005-0000-0000-00000A000000}"/>
    <cellStyle name="Normál 3 2" xfId="14" xr:uid="{00000000-0005-0000-0000-00000B000000}"/>
    <cellStyle name="Normál 3 2 2" xfId="23" xr:uid="{00000000-0005-0000-0000-00000C000000}"/>
    <cellStyle name="Normál 3 3" xfId="21" xr:uid="{00000000-0005-0000-0000-00000D000000}"/>
    <cellStyle name="Normál 4" xfId="6" xr:uid="{00000000-0005-0000-0000-00000E000000}"/>
    <cellStyle name="Normál 4 2" xfId="15" xr:uid="{00000000-0005-0000-0000-00000F000000}"/>
    <cellStyle name="Normál 5" xfId="7" xr:uid="{00000000-0005-0000-0000-000010000000}"/>
    <cellStyle name="Normál 5 2" xfId="16" xr:uid="{00000000-0005-0000-0000-000011000000}"/>
    <cellStyle name="Normál 6" xfId="8" xr:uid="{00000000-0005-0000-0000-000012000000}"/>
    <cellStyle name="Normál 6 2" xfId="17" xr:uid="{00000000-0005-0000-0000-000013000000}"/>
    <cellStyle name="Normál 7" xfId="9" xr:uid="{00000000-0005-0000-0000-000014000000}"/>
    <cellStyle name="Normál 8" xfId="10" xr:uid="{00000000-0005-0000-0000-000015000000}"/>
    <cellStyle name="Normál 9" xfId="11" xr:uid="{00000000-0005-0000-0000-000016000000}"/>
    <cellStyle name="Normál 9 2" xfId="18" xr:uid="{00000000-0005-0000-0000-000017000000}"/>
    <cellStyle name="Normal_KARSZJ3" xfId="12" xr:uid="{00000000-0005-0000-0000-000018000000}"/>
    <cellStyle name="Százalék" xfId="2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2005.%20&#233;vi%20k&#246;lt&#233;sgvet&#233;s\Mell&#233;kletek\&#214;sszes%20t&#225;bla%20egyb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yes/Documents/2005.%20&#233;vi%20k&#246;lt&#233;sgvet&#233;s/Mell&#233;kletek/&#214;sszes%20t&#225;bla%20egyb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2026_BALATONF&#214;LDV&#193;R\2026_ktgvet&#233;s_Bf\I.fordul&#243;\ktgvet&#233;s%202026_Bf&#246;ldv&#225;r_I.fordul&#243;.xlsx" TargetMode="External"/><Relationship Id="rId1" Type="http://schemas.openxmlformats.org/officeDocument/2006/relationships/externalLinkPath" Target="/2026/2026_BALATONF&#214;LDV&#193;R/2026_ktgvet&#233;s_Bf/I.fordul&#243;/ktgvet&#233;s%202026_Bf&#246;ldv&#225;r_I.fordul&#243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5\2025_BALATONF&#214;LDV&#193;R\2025_ktgvet&#233;s_Bf\k&#246;lts&#233;gvet&#233;s%202025_BF_II.fordul&#243;_.xlsx" TargetMode="External"/><Relationship Id="rId1" Type="http://schemas.openxmlformats.org/officeDocument/2006/relationships/externalLinkPath" Target="/2025/2025_BALATONF&#214;LDV&#193;R/2025_ktgvet&#233;s_Bf/k&#246;lts&#233;gvet&#233;s%202025_BF_II.fordul&#243;_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5\2025_BALATONF&#214;LDV&#193;R\2025_eim&#243;d_Bf\2025_okt&#243;ber_Bf&#246;ldv&#225;r\2025.&#233;vi%20II.eim&#243;d-mell&#233;kletek_Bf&#246;ldv&#225;r_s.xlsx" TargetMode="External"/><Relationship Id="rId1" Type="http://schemas.openxmlformats.org/officeDocument/2006/relationships/externalLinkPath" Target="/2025/2025_BALATONF&#214;LDV&#193;R/2025_eim&#243;d_Bf/2025_okt&#243;ber_Bf&#246;ldv&#225;r/2025.&#233;vi%20II.eim&#243;d-mell&#233;kletek_Bf&#246;ldv&#225;r_s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5\2025_TKT\2025_ktgvet&#233;s_TKT\TKT\K&#246;lts&#233;gfeloszt&#225;s_2025_TKT_.xls" TargetMode="External"/><Relationship Id="rId1" Type="http://schemas.openxmlformats.org/officeDocument/2006/relationships/externalLinkPath" Target="/2025/2025_TKT/2025_ktgvet&#233;s_TKT/TKT/K&#246;lts&#233;gfeloszt&#225;s_2025_TKT_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5\2025_TKT\2025_eim&#243;d_TKT\2025_augusztus_TKT\K&#246;lts&#233;gfeloszt&#225;s_2025_TKT_Im&#243;d.xls" TargetMode="External"/><Relationship Id="rId1" Type="http://schemas.openxmlformats.org/officeDocument/2006/relationships/externalLinkPath" Target="/2025/2025_TKT/2025_eim&#243;d_TKT/2025_augusztus_TKT/K&#246;lts&#233;gfeloszt&#225;s_2025_TKT_Im&#243;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4."/>
      <sheetName val="15."/>
      <sheetName val="16."/>
      <sheetName val="17."/>
      <sheetName val="2. táj."/>
      <sheetName val="3. táj."/>
      <sheetName val="4.1. táj."/>
      <sheetName val="4.2. táj."/>
      <sheetName val="5. táj."/>
      <sheetName val="6. táj."/>
      <sheetName val="13."/>
      <sheetName val="7. táj."/>
      <sheetName val="4_1_ táj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Bev-kiad."/>
      <sheetName val="2.működés"/>
      <sheetName val="Munka1"/>
      <sheetName val="3.felh"/>
      <sheetName val="4. Átadott p.eszk."/>
      <sheetName val="5.Bev.össz"/>
      <sheetName val="6.Kiad.össz. "/>
      <sheetName val="7.finanszírozás."/>
      <sheetName val="8.Önk."/>
      <sheetName val="9.Hivatal"/>
      <sheetName val="10.Adósság"/>
      <sheetName val="11.Likviditás"/>
      <sheetName val="12. gördülő tervezés"/>
      <sheetName val="13. Eu projekt"/>
      <sheetName val="14.Mérlegszerű kimutatás"/>
      <sheetName val="12.Tartalék"/>
      <sheetName val="13.Bev-kiad.mód.vált.indok"/>
      <sheetName val="Társulási fel. tájékoztatásul"/>
    </sheetNames>
    <sheetDataSet>
      <sheetData sheetId="0"/>
      <sheetData sheetId="1">
        <row r="14">
          <cell r="D14">
            <v>8988</v>
          </cell>
        </row>
        <row r="17">
          <cell r="D17">
            <v>100</v>
          </cell>
        </row>
        <row r="18">
          <cell r="D18">
            <v>8058</v>
          </cell>
        </row>
      </sheetData>
      <sheetData sheetId="2"/>
      <sheetData sheetId="3">
        <row r="42">
          <cell r="D42">
            <v>152112</v>
          </cell>
        </row>
      </sheetData>
      <sheetData sheetId="4">
        <row r="66">
          <cell r="C66">
            <v>745822</v>
          </cell>
        </row>
      </sheetData>
      <sheetData sheetId="5"/>
      <sheetData sheetId="6"/>
      <sheetData sheetId="7"/>
      <sheetData sheetId="8">
        <row r="32">
          <cell r="BU32">
            <v>72011</v>
          </cell>
        </row>
      </sheetData>
      <sheetData sheetId="9">
        <row r="26">
          <cell r="Y26">
            <v>284520</v>
          </cell>
        </row>
        <row r="84">
          <cell r="Y84">
            <v>700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Összesítő"/>
      <sheetName val="1.Bev-kiad."/>
      <sheetName val="2.működés"/>
      <sheetName val="3.felh"/>
      <sheetName val="4. Átadott p.eszk."/>
      <sheetName val="5.Bev.össz"/>
      <sheetName val="6.Kiad.össz. "/>
      <sheetName val="7.finanszírozás."/>
      <sheetName val="8.Önk."/>
      <sheetName val="9.Hivatal"/>
      <sheetName val="10.Adósság"/>
      <sheetName val="11.Likviditás"/>
      <sheetName val="12. Gördülő tervezés"/>
      <sheetName val="13. Eu projekt"/>
      <sheetName val="14.Mérlegszerű kimutatás"/>
      <sheetName val="15.Tartalék"/>
      <sheetName val="Társulási fel. tájékoztatásul"/>
    </sheetNames>
    <sheetDataSet>
      <sheetData sheetId="0" refreshError="1"/>
      <sheetData sheetId="1">
        <row r="2">
          <cell r="C2" t="str">
            <v>a 2/2025.(II.28.) önkormányzati rendelethez</v>
          </cell>
        </row>
        <row r="60">
          <cell r="C60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Összesítő"/>
      <sheetName val="1.Bev-kiad."/>
      <sheetName val="2.működés"/>
      <sheetName val="3.felh"/>
      <sheetName val="4. Átadott p.eszk."/>
      <sheetName val="5.Bev.össz"/>
      <sheetName val="6.Kiad.össz. "/>
      <sheetName val="7.finanszírozás."/>
      <sheetName val="8.Önk."/>
      <sheetName val="9.Hivatal"/>
      <sheetName val="10.Adósság"/>
      <sheetName val="11.Likviditás"/>
      <sheetName val="12. gördülő tervezés"/>
      <sheetName val="13. Eu projekt"/>
      <sheetName val="14.Mérlegszerű kimutatás"/>
      <sheetName val="15.Tartalék"/>
      <sheetName val="Társulási fel. tájékoztatás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Óvoda"/>
      <sheetName val="Házi segítségnyújtás"/>
      <sheetName val="Jelzőrendszer"/>
      <sheetName val="Püg.,TV, étkeztetés "/>
      <sheetName val="Társulási hozzájár."/>
      <sheetName val="Labor"/>
      <sheetName val="Családsegítés"/>
      <sheetName val="Összesítő"/>
    </sheetNames>
    <sheetDataSet>
      <sheetData sheetId="0" refreshError="1"/>
      <sheetData sheetId="1" refreshError="1"/>
      <sheetData sheetId="2">
        <row r="31">
          <cell r="C31">
            <v>0</v>
          </cell>
        </row>
      </sheetData>
      <sheetData sheetId="3">
        <row r="33">
          <cell r="C33">
            <v>2200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Óvoda"/>
      <sheetName val="Házi segítségnyújtás"/>
      <sheetName val="Jelzőrendszer"/>
      <sheetName val="Püg.,TV, étkeztetés "/>
      <sheetName val="Társulási hozzájár."/>
      <sheetName val="Labor"/>
      <sheetName val="Családsegítés"/>
      <sheetName val="Összesít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753"/>
  <sheetViews>
    <sheetView tabSelected="1" zoomScale="90" zoomScaleNormal="90" workbookViewId="0">
      <selection activeCell="A8" sqref="A8"/>
    </sheetView>
  </sheetViews>
  <sheetFormatPr defaultRowHeight="12.75" x14ac:dyDescent="0.2"/>
  <cols>
    <col min="1" max="1" width="6.28515625" style="2" customWidth="1"/>
    <col min="2" max="2" width="75" customWidth="1"/>
    <col min="3" max="3" width="10.28515625" customWidth="1"/>
    <col min="4" max="4" width="15.7109375" style="35" customWidth="1"/>
    <col min="5" max="5" width="10" style="35" customWidth="1"/>
    <col min="6" max="6" width="15.42578125" style="35" customWidth="1"/>
    <col min="7" max="7" width="9.7109375" style="35" hidden="1" customWidth="1"/>
    <col min="8" max="8" width="15.5703125" style="159" hidden="1" customWidth="1"/>
    <col min="9" max="9" width="10.140625" style="159" hidden="1" customWidth="1"/>
    <col min="10" max="10" width="15.28515625" style="35" hidden="1" customWidth="1"/>
    <col min="11" max="11" width="10.28515625" style="35" hidden="1" customWidth="1"/>
    <col min="12" max="12" width="15.28515625" style="35" hidden="1" customWidth="1"/>
    <col min="13" max="13" width="13.85546875" style="35" hidden="1" customWidth="1"/>
    <col min="14" max="14" width="12.140625" customWidth="1"/>
    <col min="15" max="15" width="10.85546875" customWidth="1"/>
    <col min="16" max="18" width="9.140625" customWidth="1"/>
    <col min="19" max="19" width="9.7109375" customWidth="1"/>
  </cols>
  <sheetData>
    <row r="1" spans="1:48" ht="15" customHeight="1" x14ac:dyDescent="0.3">
      <c r="A1" s="54"/>
      <c r="B1" s="170"/>
      <c r="C1" s="170"/>
      <c r="E1" s="171"/>
      <c r="F1" s="171" t="s">
        <v>499</v>
      </c>
      <c r="I1" s="171"/>
      <c r="K1" s="17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ht="15" customHeight="1" x14ac:dyDescent="0.3">
      <c r="A2" s="54"/>
      <c r="B2" s="170"/>
      <c r="C2" s="170"/>
      <c r="E2" s="171"/>
      <c r="F2" s="171" t="s">
        <v>1295</v>
      </c>
      <c r="I2" s="171"/>
      <c r="K2" s="17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ht="15" customHeight="1" x14ac:dyDescent="0.3">
      <c r="A3" s="54"/>
      <c r="B3" s="170"/>
      <c r="C3" s="170"/>
      <c r="E3" s="171"/>
      <c r="F3" s="171" t="s">
        <v>1135</v>
      </c>
      <c r="I3" s="171"/>
      <c r="K3" s="171"/>
      <c r="L3" s="17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ht="15" customHeight="1" x14ac:dyDescent="0.3">
      <c r="A4" s="54"/>
      <c r="B4" s="170"/>
      <c r="C4" s="170"/>
      <c r="F4" s="171"/>
      <c r="G4" s="171"/>
      <c r="H4" s="171"/>
      <c r="I4" s="17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19.5" x14ac:dyDescent="0.35">
      <c r="A5" s="759" t="s">
        <v>23</v>
      </c>
      <c r="B5" s="759"/>
      <c r="C5" s="759"/>
      <c r="D5" s="760"/>
      <c r="E5" s="760"/>
      <c r="F5" s="760"/>
      <c r="G5" s="760"/>
      <c r="H5" s="760"/>
      <c r="I5" s="760"/>
      <c r="J5" s="760"/>
      <c r="K5" s="760"/>
      <c r="L5" s="760"/>
      <c r="M5" s="760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ht="19.5" x14ac:dyDescent="0.35">
      <c r="A6" s="759" t="s">
        <v>1020</v>
      </c>
      <c r="B6" s="759"/>
      <c r="C6" s="759"/>
      <c r="D6" s="760"/>
      <c r="E6" s="760"/>
      <c r="F6" s="760"/>
      <c r="G6" s="760"/>
      <c r="H6" s="760"/>
      <c r="I6" s="760"/>
      <c r="J6" s="760"/>
      <c r="K6" s="760"/>
      <c r="L6" s="760"/>
      <c r="M6" s="760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ht="13.5" thickBot="1" x14ac:dyDescent="0.25">
      <c r="A7" s="54"/>
      <c r="B7" s="54"/>
      <c r="C7" s="54"/>
      <c r="E7" s="171"/>
      <c r="F7" s="171" t="s">
        <v>0</v>
      </c>
      <c r="I7" s="171"/>
      <c r="K7" s="17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ht="48" thickBot="1" x14ac:dyDescent="0.25">
      <c r="A8" s="207" t="s">
        <v>108</v>
      </c>
      <c r="B8" s="43" t="s">
        <v>335</v>
      </c>
      <c r="C8" s="531" t="s">
        <v>1021</v>
      </c>
      <c r="D8" s="43" t="s">
        <v>1115</v>
      </c>
      <c r="E8" s="532" t="s">
        <v>903</v>
      </c>
      <c r="F8" s="43" t="s">
        <v>1289</v>
      </c>
      <c r="G8" s="532" t="s">
        <v>903</v>
      </c>
      <c r="H8" s="43"/>
      <c r="I8" s="532" t="s">
        <v>903</v>
      </c>
      <c r="J8" s="43"/>
      <c r="K8" s="532" t="s">
        <v>903</v>
      </c>
      <c r="L8" s="43"/>
      <c r="M8" s="44"/>
      <c r="N8" s="2"/>
      <c r="O8" s="28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22.5" customHeight="1" x14ac:dyDescent="0.2">
      <c r="A9" s="140" t="s">
        <v>314</v>
      </c>
      <c r="B9" s="215" t="s">
        <v>301</v>
      </c>
      <c r="C9" s="715">
        <f>SUM(C10:C51)</f>
        <v>1995619</v>
      </c>
      <c r="D9" s="163">
        <f>SUM(D10:D51)</f>
        <v>2584205</v>
      </c>
      <c r="E9" s="533">
        <f>F9-D9</f>
        <v>-80594</v>
      </c>
      <c r="F9" s="163">
        <f>SUM(F10:F51)</f>
        <v>2503611</v>
      </c>
      <c r="G9" s="533">
        <f>H9-F9</f>
        <v>-2503611</v>
      </c>
      <c r="H9" s="163">
        <f>SUM(H10:H51)</f>
        <v>0</v>
      </c>
      <c r="I9" s="533">
        <f>J9-H9</f>
        <v>0</v>
      </c>
      <c r="J9" s="163">
        <f>SUM(J10:J51)</f>
        <v>0</v>
      </c>
      <c r="K9" s="533">
        <f>L9-J9</f>
        <v>0</v>
      </c>
      <c r="L9" s="163">
        <f>SUM(L10:L51)</f>
        <v>0</v>
      </c>
      <c r="M9" s="163">
        <f>SUM(M10:M51)</f>
        <v>0</v>
      </c>
      <c r="N9" s="7"/>
      <c r="O9" s="284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spans="1:48" ht="18" customHeight="1" x14ac:dyDescent="0.25">
      <c r="A10" s="14" t="s">
        <v>110</v>
      </c>
      <c r="B10" s="22" t="s">
        <v>210</v>
      </c>
      <c r="C10" s="716">
        <f>SUM('2.működés'!C9)</f>
        <v>769186</v>
      </c>
      <c r="D10" s="36">
        <f>SUM('2.működés'!D9)</f>
        <v>895072</v>
      </c>
      <c r="E10" s="533">
        <f t="shared" ref="E10:E63" si="0">F10-D10</f>
        <v>9087</v>
      </c>
      <c r="F10" s="36">
        <f>SUM('2.működés'!F9)</f>
        <v>904159</v>
      </c>
      <c r="G10" s="533">
        <f t="shared" ref="G10:I62" si="1">H10-F10</f>
        <v>-904159</v>
      </c>
      <c r="H10" s="36">
        <f>SUM('2.működés'!H9)</f>
        <v>0</v>
      </c>
      <c r="I10" s="533">
        <f t="shared" si="1"/>
        <v>0</v>
      </c>
      <c r="J10" s="36">
        <f>SUM('2.működés'!J9)</f>
        <v>0</v>
      </c>
      <c r="K10" s="533">
        <f t="shared" ref="K10:K62" si="2">L10-J10</f>
        <v>0</v>
      </c>
      <c r="L10" s="36">
        <f>SUM('2.működés'!L9)</f>
        <v>0</v>
      </c>
      <c r="M10" s="36">
        <f>SUM('2.működés'!M9)</f>
        <v>0</v>
      </c>
      <c r="N10" s="7"/>
      <c r="O10" s="284"/>
      <c r="P10" s="2"/>
      <c r="Q10" s="2"/>
      <c r="R10" s="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spans="1:48" ht="13.5" hidden="1" customHeight="1" x14ac:dyDescent="0.2">
      <c r="A11" s="8" t="s">
        <v>111</v>
      </c>
      <c r="B11" s="8" t="s">
        <v>119</v>
      </c>
      <c r="C11" s="71"/>
      <c r="D11" s="5"/>
      <c r="E11" s="533">
        <f t="shared" si="0"/>
        <v>0</v>
      </c>
      <c r="F11" s="5"/>
      <c r="G11" s="533">
        <f t="shared" si="1"/>
        <v>0</v>
      </c>
      <c r="H11" s="5"/>
      <c r="I11" s="533">
        <f t="shared" si="1"/>
        <v>0</v>
      </c>
      <c r="J11" s="5"/>
      <c r="K11" s="533">
        <f t="shared" si="2"/>
        <v>0</v>
      </c>
      <c r="L11" s="5"/>
      <c r="M11" s="5"/>
      <c r="N11" s="7"/>
      <c r="O11" s="284"/>
      <c r="P11" s="2"/>
      <c r="Q11" s="2"/>
      <c r="R11" s="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spans="1:48" ht="13.5" hidden="1" customHeight="1" x14ac:dyDescent="0.2">
      <c r="A12" s="8" t="s">
        <v>160</v>
      </c>
      <c r="B12" s="8" t="s">
        <v>161</v>
      </c>
      <c r="C12" s="71"/>
      <c r="D12" s="5"/>
      <c r="E12" s="533">
        <f t="shared" si="0"/>
        <v>0</v>
      </c>
      <c r="F12" s="5"/>
      <c r="G12" s="533">
        <f t="shared" si="1"/>
        <v>0</v>
      </c>
      <c r="H12" s="5"/>
      <c r="I12" s="533">
        <f t="shared" si="1"/>
        <v>0</v>
      </c>
      <c r="J12" s="5"/>
      <c r="K12" s="533">
        <f t="shared" si="2"/>
        <v>0</v>
      </c>
      <c r="L12" s="5"/>
      <c r="M12" s="5"/>
      <c r="N12" s="7"/>
      <c r="O12" s="284"/>
      <c r="P12" s="2"/>
      <c r="Q12" s="2"/>
      <c r="R12" s="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spans="1:48" ht="13.5" hidden="1" customHeight="1" x14ac:dyDescent="0.2">
      <c r="A13" s="8" t="s">
        <v>112</v>
      </c>
      <c r="B13" s="8" t="s">
        <v>116</v>
      </c>
      <c r="C13" s="225"/>
      <c r="D13" s="6"/>
      <c r="E13" s="533">
        <f t="shared" si="0"/>
        <v>0</v>
      </c>
      <c r="F13" s="6"/>
      <c r="G13" s="533">
        <f t="shared" si="1"/>
        <v>0</v>
      </c>
      <c r="H13" s="6"/>
      <c r="I13" s="533">
        <f t="shared" si="1"/>
        <v>0</v>
      </c>
      <c r="J13" s="6"/>
      <c r="K13" s="533">
        <f t="shared" si="2"/>
        <v>0</v>
      </c>
      <c r="L13" s="6"/>
      <c r="M13" s="6"/>
      <c r="N13" s="7"/>
      <c r="O13" s="284"/>
      <c r="P13" s="2"/>
      <c r="Q13" s="2"/>
      <c r="R13" s="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spans="1:48" ht="13.5" hidden="1" customHeight="1" x14ac:dyDescent="0.2">
      <c r="A14" s="8" t="s">
        <v>113</v>
      </c>
      <c r="B14" s="8" t="s">
        <v>117</v>
      </c>
      <c r="C14" s="226"/>
      <c r="D14" s="11"/>
      <c r="E14" s="533">
        <f t="shared" si="0"/>
        <v>0</v>
      </c>
      <c r="F14" s="11"/>
      <c r="G14" s="533">
        <f t="shared" si="1"/>
        <v>0</v>
      </c>
      <c r="H14" s="11"/>
      <c r="I14" s="533">
        <f t="shared" si="1"/>
        <v>0</v>
      </c>
      <c r="J14" s="11"/>
      <c r="K14" s="533">
        <f t="shared" si="2"/>
        <v>0</v>
      </c>
      <c r="L14" s="11"/>
      <c r="M14" s="11"/>
      <c r="N14" s="7"/>
      <c r="O14" s="284"/>
      <c r="P14" s="2"/>
      <c r="Q14" s="2"/>
      <c r="R14" s="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3.5" hidden="1" customHeight="1" x14ac:dyDescent="0.2">
      <c r="A15" s="8" t="s">
        <v>114</v>
      </c>
      <c r="B15" s="8" t="s">
        <v>118</v>
      </c>
      <c r="C15" s="70"/>
      <c r="D15" s="13"/>
      <c r="E15" s="533">
        <f t="shared" si="0"/>
        <v>0</v>
      </c>
      <c r="F15" s="13"/>
      <c r="G15" s="533">
        <f t="shared" si="1"/>
        <v>0</v>
      </c>
      <c r="H15" s="13"/>
      <c r="I15" s="533">
        <f t="shared" si="1"/>
        <v>0</v>
      </c>
      <c r="J15" s="13"/>
      <c r="K15" s="533">
        <f t="shared" si="2"/>
        <v>0</v>
      </c>
      <c r="L15" s="13"/>
      <c r="M15" s="13"/>
      <c r="N15" s="7"/>
      <c r="O15" s="284"/>
      <c r="P15" s="2"/>
      <c r="Q15" s="2"/>
      <c r="R15" s="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12.75" hidden="1" customHeight="1" x14ac:dyDescent="0.2">
      <c r="A16" s="8" t="s">
        <v>115</v>
      </c>
      <c r="B16" s="8" t="s">
        <v>120</v>
      </c>
      <c r="C16" s="70"/>
      <c r="D16" s="13"/>
      <c r="E16" s="533">
        <f t="shared" si="0"/>
        <v>0</v>
      </c>
      <c r="F16" s="13"/>
      <c r="G16" s="533">
        <f t="shared" si="1"/>
        <v>0</v>
      </c>
      <c r="H16" s="13"/>
      <c r="I16" s="533">
        <f t="shared" si="1"/>
        <v>0</v>
      </c>
      <c r="J16" s="13"/>
      <c r="K16" s="533">
        <f t="shared" si="2"/>
        <v>0</v>
      </c>
      <c r="L16" s="13"/>
      <c r="M16" s="13"/>
      <c r="N16" s="7"/>
      <c r="O16" s="284"/>
      <c r="P16" s="2"/>
      <c r="Q16" s="2"/>
      <c r="R16" s="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spans="1:48" ht="18" customHeight="1" x14ac:dyDescent="0.25">
      <c r="A17" s="14" t="s">
        <v>121</v>
      </c>
      <c r="B17" s="22" t="s">
        <v>211</v>
      </c>
      <c r="C17" s="717">
        <f>SUM('3.felh'!C13)</f>
        <v>394384</v>
      </c>
      <c r="D17" s="40">
        <f>SUM('3.felh'!D13)</f>
        <v>526642</v>
      </c>
      <c r="E17" s="533">
        <f t="shared" si="0"/>
        <v>22225</v>
      </c>
      <c r="F17" s="40">
        <f>SUM('3.felh'!F13)</f>
        <v>548867</v>
      </c>
      <c r="G17" s="533">
        <f t="shared" si="1"/>
        <v>-548867</v>
      </c>
      <c r="H17" s="40">
        <f>SUM('3.felh'!H13)</f>
        <v>0</v>
      </c>
      <c r="I17" s="533">
        <f t="shared" si="1"/>
        <v>0</v>
      </c>
      <c r="J17" s="40">
        <f>SUM('3.felh'!J13)</f>
        <v>0</v>
      </c>
      <c r="K17" s="533">
        <f t="shared" si="2"/>
        <v>0</v>
      </c>
      <c r="L17" s="40">
        <f>SUM('3.felh'!L13)</f>
        <v>0</v>
      </c>
      <c r="M17" s="40">
        <f>SUM('3.felh'!M13)</f>
        <v>0</v>
      </c>
      <c r="N17" s="7"/>
      <c r="O17" s="284"/>
      <c r="P17" s="2"/>
      <c r="Q17" s="2"/>
      <c r="R17" s="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spans="1:48" ht="12.75" hidden="1" customHeight="1" x14ac:dyDescent="0.2">
      <c r="A18" s="8" t="s">
        <v>122</v>
      </c>
      <c r="B18" s="8" t="s">
        <v>129</v>
      </c>
      <c r="C18" s="71"/>
      <c r="D18" s="5"/>
      <c r="E18" s="533">
        <f t="shared" si="0"/>
        <v>0</v>
      </c>
      <c r="F18" s="5"/>
      <c r="G18" s="533">
        <f t="shared" si="1"/>
        <v>0</v>
      </c>
      <c r="H18" s="5"/>
      <c r="I18" s="533">
        <f t="shared" si="1"/>
        <v>0</v>
      </c>
      <c r="J18" s="5"/>
      <c r="K18" s="533">
        <f t="shared" si="2"/>
        <v>0</v>
      </c>
      <c r="L18" s="5"/>
      <c r="M18" s="5"/>
      <c r="N18" s="7"/>
      <c r="O18" s="284"/>
      <c r="P18" s="2"/>
      <c r="Q18" s="2"/>
      <c r="R18" s="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spans="1:48" ht="12.75" hidden="1" customHeight="1" x14ac:dyDescent="0.2">
      <c r="A19" s="8" t="s">
        <v>162</v>
      </c>
      <c r="B19" s="8" t="s">
        <v>163</v>
      </c>
      <c r="C19" s="70"/>
      <c r="D19" s="13"/>
      <c r="E19" s="533">
        <f t="shared" si="0"/>
        <v>0</v>
      </c>
      <c r="F19" s="13"/>
      <c r="G19" s="533">
        <f t="shared" si="1"/>
        <v>0</v>
      </c>
      <c r="H19" s="13"/>
      <c r="I19" s="533">
        <f t="shared" si="1"/>
        <v>0</v>
      </c>
      <c r="J19" s="13"/>
      <c r="K19" s="533">
        <f t="shared" si="2"/>
        <v>0</v>
      </c>
      <c r="L19" s="13"/>
      <c r="M19" s="13"/>
      <c r="N19" s="7"/>
      <c r="O19" s="284"/>
      <c r="P19" s="2"/>
      <c r="Q19" s="2"/>
      <c r="R19" s="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spans="1:48" ht="12.75" hidden="1" customHeight="1" x14ac:dyDescent="0.2">
      <c r="A20" s="8" t="s">
        <v>123</v>
      </c>
      <c r="B20" s="8" t="s">
        <v>126</v>
      </c>
      <c r="C20" s="70"/>
      <c r="D20" s="13"/>
      <c r="E20" s="533">
        <f t="shared" si="0"/>
        <v>0</v>
      </c>
      <c r="F20" s="13"/>
      <c r="G20" s="533">
        <f t="shared" si="1"/>
        <v>0</v>
      </c>
      <c r="H20" s="13"/>
      <c r="I20" s="533">
        <f t="shared" si="1"/>
        <v>0</v>
      </c>
      <c r="J20" s="13"/>
      <c r="K20" s="533">
        <f t="shared" si="2"/>
        <v>0</v>
      </c>
      <c r="L20" s="13"/>
      <c r="M20" s="13"/>
      <c r="N20" s="7"/>
      <c r="O20" s="284"/>
      <c r="P20" s="2"/>
      <c r="Q20" s="2"/>
      <c r="R20" s="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spans="1:48" ht="12.75" hidden="1" customHeight="1" x14ac:dyDescent="0.2">
      <c r="A21" s="8" t="s">
        <v>124</v>
      </c>
      <c r="B21" s="8" t="s">
        <v>127</v>
      </c>
      <c r="C21" s="70"/>
      <c r="D21" s="13"/>
      <c r="E21" s="533">
        <f t="shared" si="0"/>
        <v>0</v>
      </c>
      <c r="F21" s="13"/>
      <c r="G21" s="533">
        <f t="shared" si="1"/>
        <v>0</v>
      </c>
      <c r="H21" s="13"/>
      <c r="I21" s="533">
        <f t="shared" si="1"/>
        <v>0</v>
      </c>
      <c r="J21" s="13"/>
      <c r="K21" s="533">
        <f t="shared" si="2"/>
        <v>0</v>
      </c>
      <c r="L21" s="13"/>
      <c r="M21" s="13"/>
      <c r="N21" s="7"/>
      <c r="O21" s="284"/>
      <c r="P21" s="2"/>
      <c r="Q21" s="2"/>
      <c r="R21" s="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spans="1:48" ht="12.75" hidden="1" customHeight="1" x14ac:dyDescent="0.2">
      <c r="A22" s="8" t="s">
        <v>125</v>
      </c>
      <c r="B22" s="8" t="s">
        <v>128</v>
      </c>
      <c r="C22" s="70"/>
      <c r="D22" s="13"/>
      <c r="E22" s="533">
        <f t="shared" si="0"/>
        <v>0</v>
      </c>
      <c r="F22" s="13"/>
      <c r="G22" s="533">
        <f t="shared" si="1"/>
        <v>0</v>
      </c>
      <c r="H22" s="13"/>
      <c r="I22" s="533">
        <f t="shared" si="1"/>
        <v>0</v>
      </c>
      <c r="J22" s="13"/>
      <c r="K22" s="533">
        <f t="shared" si="2"/>
        <v>0</v>
      </c>
      <c r="L22" s="13"/>
      <c r="M22" s="13"/>
      <c r="N22" s="7"/>
      <c r="O22" s="284"/>
      <c r="P22" s="2"/>
      <c r="Q22" s="2"/>
      <c r="R22" s="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spans="1:48" ht="18" customHeight="1" x14ac:dyDescent="0.25">
      <c r="A23" s="14" t="s">
        <v>130</v>
      </c>
      <c r="B23" s="22" t="s">
        <v>94</v>
      </c>
      <c r="C23" s="717">
        <f>SUM('2.működés'!C76)</f>
        <v>738279</v>
      </c>
      <c r="D23" s="40">
        <f>SUM('2.működés'!D76)</f>
        <v>875000</v>
      </c>
      <c r="E23" s="533">
        <f t="shared" si="0"/>
        <v>0</v>
      </c>
      <c r="F23" s="40">
        <f>SUM('2.működés'!F76)</f>
        <v>875000</v>
      </c>
      <c r="G23" s="533">
        <f t="shared" si="1"/>
        <v>-875000</v>
      </c>
      <c r="H23" s="40">
        <f>SUM('2.működés'!H76)</f>
        <v>0</v>
      </c>
      <c r="I23" s="533">
        <f t="shared" si="1"/>
        <v>0</v>
      </c>
      <c r="J23" s="40">
        <f>SUM('2.működés'!J76)</f>
        <v>0</v>
      </c>
      <c r="K23" s="533">
        <f t="shared" si="2"/>
        <v>0</v>
      </c>
      <c r="L23" s="40">
        <f>SUM('2.működés'!L76)</f>
        <v>0</v>
      </c>
      <c r="M23" s="40">
        <f>SUM('2.működés'!M76)</f>
        <v>0</v>
      </c>
      <c r="N23" s="7"/>
      <c r="O23" s="284"/>
      <c r="P23" s="2"/>
      <c r="Q23" s="2"/>
      <c r="R23" s="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spans="1:48" ht="12.75" hidden="1" customHeight="1" x14ac:dyDescent="0.2">
      <c r="A24" s="8" t="s">
        <v>131</v>
      </c>
      <c r="B24" s="8" t="s">
        <v>137</v>
      </c>
      <c r="C24" s="70"/>
      <c r="D24" s="13"/>
      <c r="E24" s="533">
        <f t="shared" si="0"/>
        <v>0</v>
      </c>
      <c r="F24" s="13"/>
      <c r="G24" s="533">
        <f t="shared" si="1"/>
        <v>0</v>
      </c>
      <c r="H24" s="13"/>
      <c r="I24" s="533">
        <f t="shared" si="1"/>
        <v>0</v>
      </c>
      <c r="J24" s="13"/>
      <c r="K24" s="533">
        <f t="shared" si="2"/>
        <v>0</v>
      </c>
      <c r="L24" s="13"/>
      <c r="M24" s="13"/>
      <c r="N24" s="7"/>
      <c r="O24" s="284"/>
      <c r="P24" s="2"/>
      <c r="Q24" s="2"/>
      <c r="R24" s="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spans="1:48" ht="12.75" hidden="1" customHeight="1" x14ac:dyDescent="0.2">
      <c r="A25" s="8" t="s">
        <v>132</v>
      </c>
      <c r="B25" s="8" t="s">
        <v>138</v>
      </c>
      <c r="C25" s="70"/>
      <c r="D25" s="13"/>
      <c r="E25" s="533">
        <f t="shared" si="0"/>
        <v>0</v>
      </c>
      <c r="F25" s="13"/>
      <c r="G25" s="533">
        <f t="shared" si="1"/>
        <v>0</v>
      </c>
      <c r="H25" s="13"/>
      <c r="I25" s="533">
        <f t="shared" si="1"/>
        <v>0</v>
      </c>
      <c r="J25" s="13"/>
      <c r="K25" s="533">
        <f t="shared" si="2"/>
        <v>0</v>
      </c>
      <c r="L25" s="13"/>
      <c r="M25" s="13"/>
      <c r="N25" s="7"/>
      <c r="O25" s="284"/>
      <c r="P25" s="2"/>
      <c r="Q25" s="2"/>
      <c r="R25" s="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spans="1:48" ht="12.75" hidden="1" customHeight="1" x14ac:dyDescent="0.2">
      <c r="A26" s="8" t="s">
        <v>133</v>
      </c>
      <c r="B26" s="19" t="s">
        <v>139</v>
      </c>
      <c r="C26" s="718"/>
      <c r="D26" s="47"/>
      <c r="E26" s="533">
        <f t="shared" si="0"/>
        <v>0</v>
      </c>
      <c r="F26" s="47"/>
      <c r="G26" s="533">
        <f t="shared" si="1"/>
        <v>0</v>
      </c>
      <c r="H26" s="47"/>
      <c r="I26" s="533">
        <f t="shared" si="1"/>
        <v>0</v>
      </c>
      <c r="J26" s="47"/>
      <c r="K26" s="533">
        <f t="shared" si="2"/>
        <v>0</v>
      </c>
      <c r="L26" s="47"/>
      <c r="M26" s="47"/>
      <c r="N26" s="7"/>
      <c r="O26" s="284"/>
      <c r="P26" s="2"/>
      <c r="Q26" s="2"/>
      <c r="R26" s="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spans="1:48" ht="12.75" hidden="1" customHeight="1" x14ac:dyDescent="0.2">
      <c r="A27" s="8" t="s">
        <v>134</v>
      </c>
      <c r="B27" s="8" t="s">
        <v>166</v>
      </c>
      <c r="C27" s="719"/>
      <c r="D27" s="37"/>
      <c r="E27" s="533">
        <f t="shared" si="0"/>
        <v>0</v>
      </c>
      <c r="F27" s="37"/>
      <c r="G27" s="533">
        <f t="shared" si="1"/>
        <v>0</v>
      </c>
      <c r="H27" s="37"/>
      <c r="I27" s="533">
        <f t="shared" si="1"/>
        <v>0</v>
      </c>
      <c r="J27" s="37"/>
      <c r="K27" s="533">
        <f t="shared" si="2"/>
        <v>0</v>
      </c>
      <c r="L27" s="37"/>
      <c r="M27" s="37"/>
      <c r="N27" s="7"/>
      <c r="O27" s="284"/>
      <c r="P27" s="2"/>
      <c r="Q27" s="2"/>
      <c r="R27" s="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spans="1:48" s="48" customFormat="1" ht="12.75" hidden="1" customHeight="1" x14ac:dyDescent="0.2">
      <c r="A28" s="8" t="s">
        <v>135</v>
      </c>
      <c r="B28" s="8" t="s">
        <v>167</v>
      </c>
      <c r="C28" s="70"/>
      <c r="D28" s="13"/>
      <c r="E28" s="533">
        <f t="shared" si="0"/>
        <v>0</v>
      </c>
      <c r="F28" s="13"/>
      <c r="G28" s="533">
        <f t="shared" si="1"/>
        <v>0</v>
      </c>
      <c r="H28" s="13"/>
      <c r="I28" s="533">
        <f t="shared" si="1"/>
        <v>0</v>
      </c>
      <c r="J28" s="13"/>
      <c r="K28" s="533">
        <f t="shared" si="2"/>
        <v>0</v>
      </c>
      <c r="L28" s="13"/>
      <c r="M28" s="13"/>
      <c r="N28" s="7"/>
      <c r="O28" s="284"/>
      <c r="P28" s="2"/>
      <c r="Q28" s="2"/>
      <c r="R28" s="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s="48" customFormat="1" ht="12.75" hidden="1" customHeight="1" x14ac:dyDescent="0.2">
      <c r="A29" s="8" t="s">
        <v>136</v>
      </c>
      <c r="B29" s="8" t="s">
        <v>140</v>
      </c>
      <c r="C29" s="70"/>
      <c r="D29" s="13"/>
      <c r="E29" s="533">
        <f t="shared" si="0"/>
        <v>0</v>
      </c>
      <c r="F29" s="13"/>
      <c r="G29" s="533">
        <f t="shared" si="1"/>
        <v>0</v>
      </c>
      <c r="H29" s="13"/>
      <c r="I29" s="533">
        <f t="shared" si="1"/>
        <v>0</v>
      </c>
      <c r="J29" s="13"/>
      <c r="K29" s="533">
        <f t="shared" si="2"/>
        <v>0</v>
      </c>
      <c r="L29" s="13"/>
      <c r="M29" s="13"/>
      <c r="N29" s="7"/>
      <c r="O29" s="284"/>
      <c r="P29" s="2"/>
      <c r="Q29" s="2"/>
      <c r="R29" s="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spans="1:48" s="48" customFormat="1" ht="18" customHeight="1" x14ac:dyDescent="0.25">
      <c r="A30" s="14" t="s">
        <v>141</v>
      </c>
      <c r="B30" s="22" t="s">
        <v>212</v>
      </c>
      <c r="C30" s="717">
        <f>SUM('2.működés'!C93)</f>
        <v>52464</v>
      </c>
      <c r="D30" s="40">
        <f>SUM('2.működés'!D93)</f>
        <v>217196</v>
      </c>
      <c r="E30" s="533">
        <f t="shared" si="0"/>
        <v>-141387</v>
      </c>
      <c r="F30" s="40">
        <f>SUM('2.működés'!F93)</f>
        <v>75809</v>
      </c>
      <c r="G30" s="533">
        <f t="shared" si="1"/>
        <v>-75809</v>
      </c>
      <c r="H30" s="40">
        <f>SUM('2.működés'!H93)</f>
        <v>0</v>
      </c>
      <c r="I30" s="533">
        <f t="shared" si="1"/>
        <v>0</v>
      </c>
      <c r="J30" s="40">
        <f>SUM('2.működés'!J93)</f>
        <v>0</v>
      </c>
      <c r="K30" s="533">
        <f t="shared" si="2"/>
        <v>0</v>
      </c>
      <c r="L30" s="40">
        <f>SUM('2.működés'!L93)</f>
        <v>0</v>
      </c>
      <c r="M30" s="40">
        <f>SUM('2.működés'!M93)</f>
        <v>0</v>
      </c>
      <c r="N30" s="7"/>
      <c r="O30" s="284"/>
      <c r="P30" s="2"/>
      <c r="Q30" s="2"/>
      <c r="R30" s="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13.5" hidden="1" customHeight="1" x14ac:dyDescent="0.2">
      <c r="A31" s="8" t="s">
        <v>144</v>
      </c>
      <c r="B31" s="8" t="s">
        <v>142</v>
      </c>
      <c r="C31" s="70"/>
      <c r="D31" s="13"/>
      <c r="E31" s="533">
        <f t="shared" si="0"/>
        <v>0</v>
      </c>
      <c r="F31" s="13"/>
      <c r="G31" s="533">
        <f t="shared" si="1"/>
        <v>0</v>
      </c>
      <c r="H31" s="13"/>
      <c r="I31" s="533">
        <f t="shared" si="1"/>
        <v>0</v>
      </c>
      <c r="J31" s="13"/>
      <c r="K31" s="533">
        <f t="shared" si="2"/>
        <v>0</v>
      </c>
      <c r="L31" s="13"/>
      <c r="M31" s="13"/>
      <c r="N31" s="7"/>
      <c r="O31" s="284"/>
      <c r="P31" s="2"/>
      <c r="Q31" s="2"/>
      <c r="R31" s="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spans="1:48" s="48" customFormat="1" ht="13.5" hidden="1" customHeight="1" x14ac:dyDescent="0.2">
      <c r="A32" s="8" t="s">
        <v>145</v>
      </c>
      <c r="B32" s="8" t="s">
        <v>143</v>
      </c>
      <c r="C32" s="70"/>
      <c r="D32" s="13"/>
      <c r="E32" s="533">
        <f t="shared" si="0"/>
        <v>0</v>
      </c>
      <c r="F32" s="13"/>
      <c r="G32" s="533">
        <f t="shared" si="1"/>
        <v>0</v>
      </c>
      <c r="H32" s="13"/>
      <c r="I32" s="533">
        <f t="shared" si="1"/>
        <v>0</v>
      </c>
      <c r="J32" s="13"/>
      <c r="K32" s="533">
        <f t="shared" si="2"/>
        <v>0</v>
      </c>
      <c r="L32" s="13"/>
      <c r="M32" s="13"/>
      <c r="N32" s="7"/>
      <c r="O32" s="284"/>
      <c r="P32" s="2"/>
      <c r="Q32" s="2"/>
      <c r="R32" s="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spans="1:48" s="48" customFormat="1" ht="13.5" hidden="1" customHeight="1" x14ac:dyDescent="0.2">
      <c r="A33" s="8" t="s">
        <v>146</v>
      </c>
      <c r="B33" s="8" t="s">
        <v>149</v>
      </c>
      <c r="C33" s="226"/>
      <c r="D33" s="11"/>
      <c r="E33" s="533">
        <f t="shared" si="0"/>
        <v>0</v>
      </c>
      <c r="F33" s="11"/>
      <c r="G33" s="533">
        <f t="shared" si="1"/>
        <v>0</v>
      </c>
      <c r="H33" s="11"/>
      <c r="I33" s="533">
        <f t="shared" si="1"/>
        <v>0</v>
      </c>
      <c r="J33" s="11"/>
      <c r="K33" s="533">
        <f t="shared" si="2"/>
        <v>0</v>
      </c>
      <c r="L33" s="11"/>
      <c r="M33" s="11"/>
      <c r="N33" s="7"/>
      <c r="O33" s="284"/>
      <c r="P33" s="2"/>
      <c r="Q33" s="2"/>
      <c r="R33" s="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spans="1:48" ht="13.5" hidden="1" customHeight="1" x14ac:dyDescent="0.2">
      <c r="A34" s="8" t="s">
        <v>147</v>
      </c>
      <c r="B34" s="19" t="s">
        <v>150</v>
      </c>
      <c r="C34" s="143"/>
      <c r="D34" s="8"/>
      <c r="E34" s="533">
        <f t="shared" si="0"/>
        <v>0</v>
      </c>
      <c r="F34" s="8"/>
      <c r="G34" s="533">
        <f t="shared" si="1"/>
        <v>0</v>
      </c>
      <c r="H34" s="8"/>
      <c r="I34" s="533">
        <f t="shared" si="1"/>
        <v>0</v>
      </c>
      <c r="J34" s="8"/>
      <c r="K34" s="533">
        <f t="shared" si="2"/>
        <v>0</v>
      </c>
      <c r="L34" s="8"/>
      <c r="M34" s="8"/>
      <c r="N34" s="7"/>
      <c r="O34" s="284"/>
      <c r="P34" s="2"/>
      <c r="Q34" s="2"/>
      <c r="R34" s="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spans="1:48" ht="12.75" hidden="1" customHeight="1" x14ac:dyDescent="0.2">
      <c r="A35" s="8" t="s">
        <v>148</v>
      </c>
      <c r="B35" s="19" t="s">
        <v>151</v>
      </c>
      <c r="C35" s="143"/>
      <c r="D35" s="8"/>
      <c r="E35" s="533">
        <f t="shared" si="0"/>
        <v>0</v>
      </c>
      <c r="F35" s="8"/>
      <c r="G35" s="533">
        <f t="shared" si="1"/>
        <v>0</v>
      </c>
      <c r="H35" s="8"/>
      <c r="I35" s="533">
        <f t="shared" si="1"/>
        <v>0</v>
      </c>
      <c r="J35" s="8"/>
      <c r="K35" s="533">
        <f t="shared" si="2"/>
        <v>0</v>
      </c>
      <c r="L35" s="8"/>
      <c r="M35" s="8"/>
      <c r="N35" s="7"/>
      <c r="O35" s="284"/>
      <c r="P35" s="2"/>
      <c r="Q35" s="2"/>
      <c r="R35" s="7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spans="1:48" ht="12.75" hidden="1" customHeight="1" x14ac:dyDescent="0.2">
      <c r="A36" s="8" t="s">
        <v>152</v>
      </c>
      <c r="B36" s="19" t="s">
        <v>153</v>
      </c>
      <c r="C36" s="143"/>
      <c r="D36" s="8"/>
      <c r="E36" s="533">
        <f t="shared" si="0"/>
        <v>0</v>
      </c>
      <c r="F36" s="8"/>
      <c r="G36" s="533">
        <f t="shared" si="1"/>
        <v>0</v>
      </c>
      <c r="H36" s="8"/>
      <c r="I36" s="533">
        <f t="shared" si="1"/>
        <v>0</v>
      </c>
      <c r="J36" s="8"/>
      <c r="K36" s="533">
        <f t="shared" si="2"/>
        <v>0</v>
      </c>
      <c r="L36" s="8"/>
      <c r="M36" s="8"/>
      <c r="N36" s="7"/>
      <c r="O36" s="284"/>
      <c r="P36" s="2"/>
      <c r="Q36" s="2"/>
      <c r="R36" s="7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spans="1:48" ht="12.75" hidden="1" customHeight="1" x14ac:dyDescent="0.2">
      <c r="A37" s="8" t="s">
        <v>154</v>
      </c>
      <c r="B37" s="19" t="s">
        <v>155</v>
      </c>
      <c r="C37" s="143"/>
      <c r="D37" s="8"/>
      <c r="E37" s="533">
        <f t="shared" si="0"/>
        <v>0</v>
      </c>
      <c r="F37" s="8"/>
      <c r="G37" s="533">
        <f t="shared" si="1"/>
        <v>0</v>
      </c>
      <c r="H37" s="8"/>
      <c r="I37" s="533">
        <f t="shared" si="1"/>
        <v>0</v>
      </c>
      <c r="J37" s="8"/>
      <c r="K37" s="533">
        <f t="shared" si="2"/>
        <v>0</v>
      </c>
      <c r="L37" s="8"/>
      <c r="M37" s="8"/>
      <c r="N37" s="7"/>
      <c r="O37" s="284"/>
      <c r="P37" s="2"/>
      <c r="Q37" s="2"/>
      <c r="R37" s="7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spans="1:48" ht="12.75" hidden="1" customHeight="1" x14ac:dyDescent="0.2">
      <c r="A38" s="8" t="s">
        <v>156</v>
      </c>
      <c r="B38" s="19" t="s">
        <v>157</v>
      </c>
      <c r="C38" s="143"/>
      <c r="D38" s="8"/>
      <c r="E38" s="533">
        <f t="shared" si="0"/>
        <v>0</v>
      </c>
      <c r="F38" s="8"/>
      <c r="G38" s="533">
        <f t="shared" si="1"/>
        <v>0</v>
      </c>
      <c r="H38" s="8"/>
      <c r="I38" s="533">
        <f t="shared" si="1"/>
        <v>0</v>
      </c>
      <c r="J38" s="8"/>
      <c r="K38" s="533">
        <f t="shared" si="2"/>
        <v>0</v>
      </c>
      <c r="L38" s="8"/>
      <c r="M38" s="8"/>
      <c r="N38" s="7"/>
      <c r="O38" s="284"/>
      <c r="P38" s="2"/>
      <c r="Q38" s="2"/>
      <c r="R38" s="7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spans="1:48" ht="12.75" hidden="1" customHeight="1" x14ac:dyDescent="0.2">
      <c r="A39" s="8" t="s">
        <v>158</v>
      </c>
      <c r="B39" s="19" t="s">
        <v>159</v>
      </c>
      <c r="C39" s="143"/>
      <c r="D39" s="8"/>
      <c r="E39" s="533">
        <f t="shared" si="0"/>
        <v>0</v>
      </c>
      <c r="F39" s="8"/>
      <c r="G39" s="533">
        <f t="shared" si="1"/>
        <v>0</v>
      </c>
      <c r="H39" s="8"/>
      <c r="I39" s="533">
        <f t="shared" si="1"/>
        <v>0</v>
      </c>
      <c r="J39" s="8"/>
      <c r="K39" s="533">
        <f t="shared" si="2"/>
        <v>0</v>
      </c>
      <c r="L39" s="8"/>
      <c r="M39" s="8"/>
      <c r="N39" s="7"/>
      <c r="O39" s="284"/>
      <c r="P39" s="2"/>
      <c r="Q39" s="2"/>
      <c r="R39" s="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spans="1:48" ht="12.75" hidden="1" customHeight="1" x14ac:dyDescent="0.2">
      <c r="A40" s="8" t="s">
        <v>164</v>
      </c>
      <c r="B40" s="19" t="s">
        <v>165</v>
      </c>
      <c r="C40" s="143"/>
      <c r="D40" s="8"/>
      <c r="E40" s="533">
        <f t="shared" si="0"/>
        <v>0</v>
      </c>
      <c r="F40" s="8"/>
      <c r="G40" s="533">
        <f t="shared" si="1"/>
        <v>0</v>
      </c>
      <c r="H40" s="8"/>
      <c r="I40" s="533">
        <f t="shared" si="1"/>
        <v>0</v>
      </c>
      <c r="J40" s="8"/>
      <c r="K40" s="533">
        <f t="shared" si="2"/>
        <v>0</v>
      </c>
      <c r="L40" s="8"/>
      <c r="M40" s="8"/>
      <c r="N40" s="7"/>
      <c r="O40" s="284"/>
      <c r="P40" s="2"/>
      <c r="Q40" s="2"/>
      <c r="R40" s="7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spans="1:48" ht="17.25" customHeight="1" x14ac:dyDescent="0.25">
      <c r="A41" s="14" t="s">
        <v>168</v>
      </c>
      <c r="B41" s="22" t="s">
        <v>213</v>
      </c>
      <c r="C41" s="717">
        <f>SUM('3.felh'!C28)</f>
        <v>400</v>
      </c>
      <c r="D41" s="40">
        <f>SUM('3.felh'!D28)</f>
        <v>30000</v>
      </c>
      <c r="E41" s="533">
        <f t="shared" si="0"/>
        <v>29481</v>
      </c>
      <c r="F41" s="40">
        <f>SUM('3.felh'!F28)</f>
        <v>59481</v>
      </c>
      <c r="G41" s="533">
        <f t="shared" si="1"/>
        <v>-59481</v>
      </c>
      <c r="H41" s="40">
        <f>SUM('3.felh'!H28)</f>
        <v>0</v>
      </c>
      <c r="I41" s="533">
        <f t="shared" si="1"/>
        <v>0</v>
      </c>
      <c r="J41" s="40">
        <f>SUM('3.felh'!J28)</f>
        <v>0</v>
      </c>
      <c r="K41" s="533">
        <f t="shared" si="2"/>
        <v>0</v>
      </c>
      <c r="L41" s="40">
        <f>SUM('3.felh'!L28)</f>
        <v>0</v>
      </c>
      <c r="M41" s="40">
        <f>SUM('3.felh'!M28)</f>
        <v>0</v>
      </c>
      <c r="N41" s="7"/>
      <c r="O41" s="284"/>
      <c r="P41" s="2"/>
      <c r="Q41" s="2"/>
      <c r="R41" s="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spans="1:48" ht="12.75" hidden="1" customHeight="1" x14ac:dyDescent="0.2">
      <c r="A42" s="8" t="s">
        <v>169</v>
      </c>
      <c r="B42" s="19" t="s">
        <v>174</v>
      </c>
      <c r="C42" s="143"/>
      <c r="D42" s="8"/>
      <c r="E42" s="533">
        <f t="shared" si="0"/>
        <v>0</v>
      </c>
      <c r="F42" s="8"/>
      <c r="G42" s="533">
        <f t="shared" si="1"/>
        <v>0</v>
      </c>
      <c r="H42" s="8"/>
      <c r="I42" s="533">
        <f t="shared" si="1"/>
        <v>0</v>
      </c>
      <c r="J42" s="8"/>
      <c r="K42" s="533">
        <f t="shared" si="2"/>
        <v>0</v>
      </c>
      <c r="L42" s="8"/>
      <c r="M42" s="8"/>
      <c r="N42" s="7"/>
      <c r="O42" s="284"/>
      <c r="P42" s="2"/>
      <c r="Q42" s="2"/>
      <c r="R42" s="7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spans="1:48" ht="12.75" hidden="1" customHeight="1" x14ac:dyDescent="0.2">
      <c r="A43" s="8" t="s">
        <v>170</v>
      </c>
      <c r="B43" s="19" t="s">
        <v>175</v>
      </c>
      <c r="C43" s="143"/>
      <c r="D43" s="8"/>
      <c r="E43" s="533">
        <f t="shared" si="0"/>
        <v>0</v>
      </c>
      <c r="F43" s="8"/>
      <c r="G43" s="533">
        <f t="shared" si="1"/>
        <v>0</v>
      </c>
      <c r="H43" s="8"/>
      <c r="I43" s="533">
        <f t="shared" si="1"/>
        <v>0</v>
      </c>
      <c r="J43" s="8"/>
      <c r="K43" s="533">
        <f t="shared" si="2"/>
        <v>0</v>
      </c>
      <c r="L43" s="8"/>
      <c r="M43" s="8"/>
      <c r="N43" s="7"/>
      <c r="O43" s="284"/>
      <c r="P43" s="2"/>
      <c r="Q43" s="2"/>
      <c r="R43" s="7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spans="1:48" ht="12.75" hidden="1" customHeight="1" x14ac:dyDescent="0.2">
      <c r="A44" s="8" t="s">
        <v>171</v>
      </c>
      <c r="B44" s="19" t="s">
        <v>176</v>
      </c>
      <c r="C44" s="143"/>
      <c r="D44" s="8"/>
      <c r="E44" s="533">
        <f t="shared" si="0"/>
        <v>0</v>
      </c>
      <c r="F44" s="8"/>
      <c r="G44" s="533">
        <f t="shared" si="1"/>
        <v>0</v>
      </c>
      <c r="H44" s="8"/>
      <c r="I44" s="533">
        <f t="shared" si="1"/>
        <v>0</v>
      </c>
      <c r="J44" s="8"/>
      <c r="K44" s="533">
        <f t="shared" si="2"/>
        <v>0</v>
      </c>
      <c r="L44" s="8"/>
      <c r="M44" s="8"/>
      <c r="N44" s="7"/>
      <c r="O44" s="284"/>
      <c r="P44" s="2"/>
      <c r="Q44" s="2"/>
      <c r="R44" s="7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spans="1:48" ht="12.75" hidden="1" customHeight="1" x14ac:dyDescent="0.2">
      <c r="A45" s="8" t="s">
        <v>172</v>
      </c>
      <c r="B45" s="19" t="s">
        <v>177</v>
      </c>
      <c r="C45" s="143"/>
      <c r="D45" s="8"/>
      <c r="E45" s="533">
        <f t="shared" si="0"/>
        <v>0</v>
      </c>
      <c r="F45" s="8"/>
      <c r="G45" s="533">
        <f t="shared" si="1"/>
        <v>0</v>
      </c>
      <c r="H45" s="8"/>
      <c r="I45" s="533">
        <f t="shared" si="1"/>
        <v>0</v>
      </c>
      <c r="J45" s="8"/>
      <c r="K45" s="533">
        <f t="shared" si="2"/>
        <v>0</v>
      </c>
      <c r="L45" s="8"/>
      <c r="M45" s="8"/>
      <c r="N45" s="7"/>
      <c r="O45" s="284"/>
      <c r="P45" s="2"/>
      <c r="Q45" s="2"/>
      <c r="R45" s="7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spans="1:48" ht="12.75" hidden="1" customHeight="1" x14ac:dyDescent="0.2">
      <c r="A46" s="8" t="s">
        <v>173</v>
      </c>
      <c r="B46" s="19" t="s">
        <v>178</v>
      </c>
      <c r="C46" s="143"/>
      <c r="D46" s="8"/>
      <c r="E46" s="533">
        <f t="shared" si="0"/>
        <v>0</v>
      </c>
      <c r="F46" s="8"/>
      <c r="G46" s="533">
        <f t="shared" si="1"/>
        <v>0</v>
      </c>
      <c r="H46" s="8"/>
      <c r="I46" s="533">
        <f t="shared" si="1"/>
        <v>0</v>
      </c>
      <c r="J46" s="8"/>
      <c r="K46" s="533">
        <f t="shared" si="2"/>
        <v>0</v>
      </c>
      <c r="L46" s="8"/>
      <c r="M46" s="8"/>
      <c r="N46" s="7"/>
      <c r="O46" s="284"/>
      <c r="P46" s="2"/>
      <c r="Q46" s="2"/>
      <c r="R46" s="7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spans="1:48" ht="18" customHeight="1" x14ac:dyDescent="0.25">
      <c r="A47" s="14" t="s">
        <v>179</v>
      </c>
      <c r="B47" s="22" t="s">
        <v>214</v>
      </c>
      <c r="C47" s="717">
        <f>SUM('2.működés'!C105)</f>
        <v>29805</v>
      </c>
      <c r="D47" s="40">
        <f>SUM('2.működés'!D105)</f>
        <v>30000</v>
      </c>
      <c r="E47" s="533">
        <f t="shared" si="0"/>
        <v>0</v>
      </c>
      <c r="F47" s="40">
        <f>SUM('2.működés'!F105)</f>
        <v>30000</v>
      </c>
      <c r="G47" s="533">
        <f t="shared" si="1"/>
        <v>-30000</v>
      </c>
      <c r="H47" s="40">
        <f>SUM('2.működés'!H105)</f>
        <v>0</v>
      </c>
      <c r="I47" s="533">
        <f t="shared" si="1"/>
        <v>0</v>
      </c>
      <c r="J47" s="40">
        <f>SUM('2.működés'!J105)</f>
        <v>0</v>
      </c>
      <c r="K47" s="533">
        <f t="shared" si="2"/>
        <v>0</v>
      </c>
      <c r="L47" s="40">
        <f>SUM('2.működés'!L105)</f>
        <v>0</v>
      </c>
      <c r="M47" s="40">
        <f>SUM('2.működés'!M105)</f>
        <v>0</v>
      </c>
      <c r="N47" s="7"/>
      <c r="O47" s="284"/>
      <c r="P47" s="2"/>
      <c r="Q47" s="2"/>
      <c r="R47" s="7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spans="1:48" ht="12.75" hidden="1" customHeight="1" x14ac:dyDescent="0.2">
      <c r="A48" s="8" t="s">
        <v>185</v>
      </c>
      <c r="B48" s="19" t="s">
        <v>182</v>
      </c>
      <c r="C48" s="143"/>
      <c r="D48" s="8"/>
      <c r="E48" s="533">
        <f t="shared" si="0"/>
        <v>0</v>
      </c>
      <c r="F48" s="8"/>
      <c r="G48" s="533">
        <f t="shared" si="1"/>
        <v>0</v>
      </c>
      <c r="H48" s="8"/>
      <c r="I48" s="533">
        <f t="shared" si="1"/>
        <v>0</v>
      </c>
      <c r="J48" s="8"/>
      <c r="K48" s="533">
        <f t="shared" si="2"/>
        <v>0</v>
      </c>
      <c r="L48" s="8"/>
      <c r="M48" s="8"/>
      <c r="N48" s="7"/>
      <c r="O48" s="284"/>
      <c r="P48" s="2"/>
      <c r="Q48" s="2"/>
      <c r="R48" s="7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spans="1:48" ht="12.75" hidden="1" customHeight="1" x14ac:dyDescent="0.2">
      <c r="A49" s="8" t="s">
        <v>186</v>
      </c>
      <c r="B49" s="19" t="s">
        <v>183</v>
      </c>
      <c r="C49" s="143"/>
      <c r="D49" s="8"/>
      <c r="E49" s="533">
        <f t="shared" si="0"/>
        <v>0</v>
      </c>
      <c r="F49" s="8"/>
      <c r="G49" s="533">
        <f t="shared" si="1"/>
        <v>0</v>
      </c>
      <c r="H49" s="8"/>
      <c r="I49" s="533">
        <f t="shared" si="1"/>
        <v>0</v>
      </c>
      <c r="J49" s="8"/>
      <c r="K49" s="533">
        <f t="shared" si="2"/>
        <v>0</v>
      </c>
      <c r="L49" s="8"/>
      <c r="M49" s="8"/>
      <c r="N49" s="7"/>
      <c r="O49" s="284"/>
      <c r="P49" s="2"/>
      <c r="Q49" s="2"/>
      <c r="R49" s="7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spans="1:48" ht="12.75" hidden="1" customHeight="1" x14ac:dyDescent="0.2">
      <c r="A50" s="8" t="s">
        <v>187</v>
      </c>
      <c r="B50" s="19" t="s">
        <v>184</v>
      </c>
      <c r="C50" s="143"/>
      <c r="D50" s="8"/>
      <c r="E50" s="533">
        <f t="shared" si="0"/>
        <v>0</v>
      </c>
      <c r="F50" s="8"/>
      <c r="G50" s="533">
        <f t="shared" si="1"/>
        <v>0</v>
      </c>
      <c r="H50" s="8"/>
      <c r="I50" s="533">
        <f t="shared" si="1"/>
        <v>0</v>
      </c>
      <c r="J50" s="8"/>
      <c r="K50" s="533">
        <f t="shared" si="2"/>
        <v>0</v>
      </c>
      <c r="L50" s="8"/>
      <c r="M50" s="8"/>
      <c r="N50" s="7"/>
      <c r="O50" s="284"/>
      <c r="P50" s="2"/>
      <c r="Q50" s="2"/>
      <c r="R50" s="7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spans="1:48" ht="18" customHeight="1" x14ac:dyDescent="0.25">
      <c r="A51" s="14" t="s">
        <v>180</v>
      </c>
      <c r="B51" s="22" t="s">
        <v>215</v>
      </c>
      <c r="C51" s="717">
        <f>SUM('3.felh'!C34)</f>
        <v>11101</v>
      </c>
      <c r="D51" s="40">
        <f>SUM('3.felh'!D34)</f>
        <v>10295</v>
      </c>
      <c r="E51" s="533">
        <f t="shared" si="0"/>
        <v>0</v>
      </c>
      <c r="F51" s="40">
        <f>SUM('3.felh'!F34)</f>
        <v>10295</v>
      </c>
      <c r="G51" s="533">
        <f t="shared" si="1"/>
        <v>-10295</v>
      </c>
      <c r="H51" s="40">
        <f>SUM('3.felh'!H34)</f>
        <v>0</v>
      </c>
      <c r="I51" s="533">
        <f t="shared" si="1"/>
        <v>0</v>
      </c>
      <c r="J51" s="40">
        <f>SUM('3.felh'!J34)</f>
        <v>0</v>
      </c>
      <c r="K51" s="533">
        <f t="shared" si="2"/>
        <v>0</v>
      </c>
      <c r="L51" s="40">
        <f>SUM('3.felh'!L34)</f>
        <v>0</v>
      </c>
      <c r="M51" s="40">
        <f>SUM('3.felh'!M34)</f>
        <v>0</v>
      </c>
      <c r="N51" s="7"/>
      <c r="O51" s="284"/>
      <c r="P51" s="2"/>
      <c r="Q51" s="2"/>
      <c r="R51" s="7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spans="1:48" ht="13.5" hidden="1" customHeight="1" x14ac:dyDescent="0.25">
      <c r="A52" s="8" t="s">
        <v>188</v>
      </c>
      <c r="B52" s="19" t="s">
        <v>191</v>
      </c>
      <c r="C52" s="717"/>
      <c r="D52" s="40"/>
      <c r="E52" s="533">
        <f t="shared" si="0"/>
        <v>0</v>
      </c>
      <c r="F52" s="40"/>
      <c r="G52" s="533">
        <f t="shared" si="1"/>
        <v>0</v>
      </c>
      <c r="H52" s="40"/>
      <c r="I52" s="533">
        <f t="shared" si="1"/>
        <v>0</v>
      </c>
      <c r="J52" s="40"/>
      <c r="K52" s="533">
        <f t="shared" si="2"/>
        <v>0</v>
      </c>
      <c r="L52" s="40"/>
      <c r="M52" s="40"/>
      <c r="N52" s="7"/>
      <c r="O52" s="284"/>
      <c r="P52" s="2"/>
      <c r="Q52" s="2"/>
      <c r="R52" s="7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 ht="13.5" hidden="1" customHeight="1" x14ac:dyDescent="0.25">
      <c r="A53" s="8" t="s">
        <v>189</v>
      </c>
      <c r="B53" s="19" t="s">
        <v>192</v>
      </c>
      <c r="C53" s="717"/>
      <c r="D53" s="40"/>
      <c r="E53" s="533">
        <f t="shared" si="0"/>
        <v>0</v>
      </c>
      <c r="F53" s="40"/>
      <c r="G53" s="533">
        <f t="shared" si="1"/>
        <v>0</v>
      </c>
      <c r="H53" s="40"/>
      <c r="I53" s="533">
        <f t="shared" si="1"/>
        <v>0</v>
      </c>
      <c r="J53" s="40"/>
      <c r="K53" s="533">
        <f t="shared" si="2"/>
        <v>0</v>
      </c>
      <c r="L53" s="40"/>
      <c r="M53" s="40"/>
      <c r="N53" s="7"/>
      <c r="O53" s="284"/>
      <c r="P53" s="2"/>
      <c r="Q53" s="2"/>
      <c r="R53" s="7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spans="1:48" ht="13.5" hidden="1" customHeight="1" x14ac:dyDescent="0.25">
      <c r="A54" s="8" t="s">
        <v>190</v>
      </c>
      <c r="B54" s="19" t="s">
        <v>193</v>
      </c>
      <c r="C54" s="717"/>
      <c r="D54" s="40"/>
      <c r="E54" s="533">
        <f t="shared" si="0"/>
        <v>0</v>
      </c>
      <c r="F54" s="40"/>
      <c r="G54" s="533">
        <f t="shared" si="1"/>
        <v>0</v>
      </c>
      <c r="H54" s="40"/>
      <c r="I54" s="533">
        <f t="shared" si="1"/>
        <v>0</v>
      </c>
      <c r="J54" s="40"/>
      <c r="K54" s="533">
        <f t="shared" si="2"/>
        <v>0</v>
      </c>
      <c r="L54" s="40"/>
      <c r="M54" s="40"/>
      <c r="N54" s="7"/>
      <c r="O54" s="284"/>
      <c r="P54" s="2"/>
      <c r="Q54" s="2"/>
      <c r="R54" s="7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spans="1:48" ht="22.5" customHeight="1" x14ac:dyDescent="0.2">
      <c r="A55" s="517" t="s">
        <v>434</v>
      </c>
      <c r="B55" s="162" t="s">
        <v>311</v>
      </c>
      <c r="C55" s="720">
        <f>SUM(C56+C62)+C63</f>
        <v>388229</v>
      </c>
      <c r="D55" s="183">
        <f>SUM(D56+D62)+D63</f>
        <v>495613</v>
      </c>
      <c r="E55" s="533">
        <f t="shared" si="0"/>
        <v>7455</v>
      </c>
      <c r="F55" s="183">
        <f>SUM(F56+F62)</f>
        <v>503068</v>
      </c>
      <c r="G55" s="533">
        <f t="shared" si="1"/>
        <v>-503068</v>
      </c>
      <c r="H55" s="183">
        <f>SUM(H56+H62)</f>
        <v>0</v>
      </c>
      <c r="I55" s="533">
        <f t="shared" si="1"/>
        <v>0</v>
      </c>
      <c r="J55" s="183">
        <f>SUM(J56+J62)</f>
        <v>0</v>
      </c>
      <c r="K55" s="533">
        <f t="shared" si="2"/>
        <v>0</v>
      </c>
      <c r="L55" s="183">
        <f>SUM(L56+L62)</f>
        <v>0</v>
      </c>
      <c r="M55" s="183">
        <f>SUM(M56+M62)</f>
        <v>0</v>
      </c>
      <c r="N55" s="7"/>
      <c r="O55" s="284"/>
      <c r="P55" s="2"/>
      <c r="Q55" s="2"/>
      <c r="R55" s="7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spans="1:48" ht="15" customHeight="1" x14ac:dyDescent="0.25">
      <c r="A56" s="24"/>
      <c r="B56" s="22" t="s">
        <v>388</v>
      </c>
      <c r="C56" s="717">
        <f>SUM(C57)+C60+C61</f>
        <v>388229</v>
      </c>
      <c r="D56" s="40">
        <f>SUM(D57)+D60+D61</f>
        <v>495613</v>
      </c>
      <c r="E56" s="533">
        <f t="shared" si="0"/>
        <v>7455</v>
      </c>
      <c r="F56" s="40">
        <f>SUM(F57)+F60+F61</f>
        <v>503068</v>
      </c>
      <c r="G56" s="533">
        <f t="shared" si="1"/>
        <v>-503068</v>
      </c>
      <c r="H56" s="40">
        <f>SUM(H57)+H60</f>
        <v>0</v>
      </c>
      <c r="I56" s="533">
        <f t="shared" si="1"/>
        <v>0</v>
      </c>
      <c r="J56" s="40">
        <f>SUM(J57)+J60</f>
        <v>0</v>
      </c>
      <c r="K56" s="533">
        <f t="shared" si="2"/>
        <v>0</v>
      </c>
      <c r="L56" s="40">
        <f>SUM(L57)+L60</f>
        <v>0</v>
      </c>
      <c r="M56" s="40">
        <f>SUM(M57)+M60</f>
        <v>0</v>
      </c>
      <c r="N56" s="7"/>
      <c r="O56" s="284"/>
      <c r="P56" s="2"/>
      <c r="Q56" s="2"/>
      <c r="R56" s="7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s="286" customFormat="1" ht="15" customHeight="1" x14ac:dyDescent="0.2">
      <c r="A57" s="535"/>
      <c r="B57" s="29" t="s">
        <v>389</v>
      </c>
      <c r="C57" s="721">
        <f>SUM(C58:C59)</f>
        <v>360653</v>
      </c>
      <c r="D57" s="158">
        <f>SUM(D58:D59)</f>
        <v>495613</v>
      </c>
      <c r="E57" s="533">
        <f t="shared" si="0"/>
        <v>0</v>
      </c>
      <c r="F57" s="158">
        <f>SUM(F58:F59)</f>
        <v>495613</v>
      </c>
      <c r="G57" s="533">
        <f t="shared" si="1"/>
        <v>-495613</v>
      </c>
      <c r="H57" s="157">
        <f>SUM(H58:H59)</f>
        <v>0</v>
      </c>
      <c r="I57" s="533">
        <f t="shared" si="1"/>
        <v>0</v>
      </c>
      <c r="J57" s="158">
        <f>SUM(J58:J59)</f>
        <v>0</v>
      </c>
      <c r="K57" s="533">
        <f t="shared" si="2"/>
        <v>0</v>
      </c>
      <c r="L57" s="158">
        <f>SUM(L58:L59)</f>
        <v>0</v>
      </c>
      <c r="M57" s="158">
        <f>SUM(M58:M59)</f>
        <v>0</v>
      </c>
      <c r="N57" s="7"/>
      <c r="O57" s="284"/>
      <c r="P57" s="366"/>
      <c r="Q57" s="66"/>
      <c r="R57" s="3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</row>
    <row r="58" spans="1:48" x14ac:dyDescent="0.2">
      <c r="A58" s="8"/>
      <c r="B58" s="29" t="s">
        <v>378</v>
      </c>
      <c r="C58" s="70">
        <f>SUM('2.működés'!C114)</f>
        <v>321764</v>
      </c>
      <c r="D58" s="13">
        <f>SUM('2.működés'!D114)</f>
        <v>197190</v>
      </c>
      <c r="E58" s="533">
        <f t="shared" si="0"/>
        <v>0</v>
      </c>
      <c r="F58" s="13">
        <f>SUM('2.működés'!F114)</f>
        <v>197190</v>
      </c>
      <c r="G58" s="533">
        <f t="shared" si="1"/>
        <v>-197190</v>
      </c>
      <c r="H58" s="13">
        <f>SUM('2.működés'!H114)</f>
        <v>0</v>
      </c>
      <c r="I58" s="533">
        <f t="shared" si="1"/>
        <v>0</v>
      </c>
      <c r="J58" s="13">
        <f>SUM('2.működés'!J114)</f>
        <v>0</v>
      </c>
      <c r="K58" s="533">
        <f t="shared" si="2"/>
        <v>0</v>
      </c>
      <c r="L58" s="13">
        <f>SUM('2.működés'!L114)</f>
        <v>0</v>
      </c>
      <c r="M58" s="13">
        <f>SUM('2.működés'!M114)</f>
        <v>0</v>
      </c>
      <c r="N58" s="7"/>
      <c r="O58" s="284"/>
      <c r="P58" s="2"/>
      <c r="Q58" s="2"/>
      <c r="R58" s="7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spans="1:48" x14ac:dyDescent="0.2">
      <c r="A59" s="8"/>
      <c r="B59" s="29" t="s">
        <v>379</v>
      </c>
      <c r="C59" s="70">
        <f>'3.felh'!C40</f>
        <v>38889</v>
      </c>
      <c r="D59" s="13">
        <f>'3.felh'!D40</f>
        <v>298423</v>
      </c>
      <c r="E59" s="533">
        <f t="shared" si="0"/>
        <v>0</v>
      </c>
      <c r="F59" s="13">
        <f>'3.felh'!F40</f>
        <v>298423</v>
      </c>
      <c r="G59" s="533">
        <f t="shared" si="1"/>
        <v>-298423</v>
      </c>
      <c r="H59" s="13">
        <f>'3.felh'!H40</f>
        <v>0</v>
      </c>
      <c r="I59" s="533">
        <f t="shared" si="1"/>
        <v>0</v>
      </c>
      <c r="J59" s="13">
        <f>'3.felh'!J40</f>
        <v>0</v>
      </c>
      <c r="K59" s="533">
        <f t="shared" si="2"/>
        <v>0</v>
      </c>
      <c r="L59" s="13">
        <f>'3.felh'!L40</f>
        <v>0</v>
      </c>
      <c r="M59" s="13">
        <f>'3.felh'!M40</f>
        <v>0</v>
      </c>
      <c r="N59" s="7"/>
      <c r="O59" s="284"/>
      <c r="P59" s="2"/>
      <c r="Q59" s="2"/>
      <c r="R59" s="7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spans="1:48" ht="13.5" customHeight="1" x14ac:dyDescent="0.2">
      <c r="A60" s="8"/>
      <c r="B60" s="29" t="s">
        <v>427</v>
      </c>
      <c r="C60" s="70">
        <f>'2.működés'!C119</f>
        <v>27576</v>
      </c>
      <c r="D60" s="13">
        <f>'2.működés'!D119</f>
        <v>0</v>
      </c>
      <c r="E60" s="533">
        <f t="shared" si="0"/>
        <v>0</v>
      </c>
      <c r="F60" s="13">
        <f>'2.működés'!F119</f>
        <v>0</v>
      </c>
      <c r="G60" s="533">
        <f t="shared" si="1"/>
        <v>0</v>
      </c>
      <c r="H60" s="13">
        <f>'2.működés'!H119</f>
        <v>0</v>
      </c>
      <c r="I60" s="533">
        <f t="shared" si="1"/>
        <v>0</v>
      </c>
      <c r="J60" s="13">
        <f>'2.működés'!J119</f>
        <v>0</v>
      </c>
      <c r="K60" s="533">
        <f t="shared" si="2"/>
        <v>0</v>
      </c>
      <c r="L60" s="13">
        <f>'2.működés'!L119</f>
        <v>0</v>
      </c>
      <c r="M60" s="13">
        <f>'2.működés'!M119</f>
        <v>0</v>
      </c>
      <c r="N60" s="7"/>
      <c r="O60" s="284"/>
      <c r="P60" s="2"/>
      <c r="Q60" s="2"/>
      <c r="R60" s="7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spans="1:48" ht="13.5" customHeight="1" x14ac:dyDescent="0.2">
      <c r="A61" s="8"/>
      <c r="B61" s="567" t="s">
        <v>1256</v>
      </c>
      <c r="C61" s="70">
        <f>'2.működés'!C120</f>
        <v>0</v>
      </c>
      <c r="D61" s="13">
        <f>'2.működés'!D120</f>
        <v>0</v>
      </c>
      <c r="E61" s="533">
        <f t="shared" si="0"/>
        <v>7455</v>
      </c>
      <c r="F61" s="13">
        <f>'2.működés'!F120</f>
        <v>7455</v>
      </c>
      <c r="G61" s="533"/>
      <c r="H61" s="13"/>
      <c r="I61" s="533"/>
      <c r="J61" s="13"/>
      <c r="K61" s="533"/>
      <c r="L61" s="13"/>
      <c r="M61" s="13"/>
      <c r="N61" s="7"/>
      <c r="O61" s="284"/>
      <c r="P61" s="2"/>
      <c r="Q61" s="2"/>
      <c r="R61" s="7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spans="1:48" ht="15.75" customHeight="1" x14ac:dyDescent="0.25">
      <c r="A62" s="8"/>
      <c r="B62" s="22" t="s">
        <v>1128</v>
      </c>
      <c r="C62" s="717">
        <f>SUM(C63:C64)</f>
        <v>0</v>
      </c>
      <c r="D62" s="40">
        <f>SUM(D63:D64)</f>
        <v>0</v>
      </c>
      <c r="E62" s="533">
        <f t="shared" si="0"/>
        <v>0</v>
      </c>
      <c r="F62" s="40">
        <f>SUM(F63:F64)</f>
        <v>0</v>
      </c>
      <c r="G62" s="533">
        <f t="shared" si="1"/>
        <v>0</v>
      </c>
      <c r="H62" s="40">
        <f>SUM(H63:H64)</f>
        <v>0</v>
      </c>
      <c r="I62" s="533">
        <f t="shared" si="1"/>
        <v>0</v>
      </c>
      <c r="J62" s="40">
        <f>SUM(J63:J64)</f>
        <v>0</v>
      </c>
      <c r="K62" s="533">
        <f t="shared" si="2"/>
        <v>0</v>
      </c>
      <c r="L62" s="40">
        <f>SUM(L63:L64)</f>
        <v>0</v>
      </c>
      <c r="M62" s="40">
        <f>SUM(M63:M64)</f>
        <v>0</v>
      </c>
      <c r="N62" s="7"/>
      <c r="O62" s="284"/>
      <c r="P62" s="2"/>
      <c r="Q62" s="2"/>
      <c r="R62" s="7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spans="1:48" ht="13.5" customHeight="1" thickBot="1" x14ac:dyDescent="0.3">
      <c r="A63" s="8"/>
      <c r="B63" s="22" t="s">
        <v>1129</v>
      </c>
      <c r="C63" s="717">
        <v>0</v>
      </c>
      <c r="D63" s="40">
        <f>'2.működés'!D122</f>
        <v>0</v>
      </c>
      <c r="E63" s="533">
        <f t="shared" si="0"/>
        <v>0</v>
      </c>
      <c r="F63" s="13">
        <v>0</v>
      </c>
      <c r="G63" s="13"/>
      <c r="H63" s="13">
        <v>0</v>
      </c>
      <c r="I63" s="13"/>
      <c r="J63" s="13">
        <v>0</v>
      </c>
      <c r="K63" s="13"/>
      <c r="L63" s="13">
        <v>0</v>
      </c>
      <c r="M63" s="13">
        <v>0</v>
      </c>
      <c r="N63" s="7"/>
      <c r="O63" s="284"/>
      <c r="P63" s="2"/>
      <c r="Q63" s="2"/>
      <c r="R63" s="7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spans="1:48" ht="13.5" hidden="1" customHeight="1" thickBot="1" x14ac:dyDescent="0.25">
      <c r="A64" s="12"/>
      <c r="B64" s="12"/>
      <c r="C64" s="722"/>
      <c r="D64" s="30"/>
      <c r="E64" s="30"/>
      <c r="F64" s="30">
        <f>'3.felh'!F43</f>
        <v>0</v>
      </c>
      <c r="G64" s="30"/>
      <c r="H64" s="30">
        <f>'3.felh'!H43</f>
        <v>0</v>
      </c>
      <c r="I64" s="30"/>
      <c r="J64" s="30">
        <f>'3.felh'!J43</f>
        <v>0</v>
      </c>
      <c r="K64" s="30"/>
      <c r="L64" s="30">
        <f>'3.felh'!L43</f>
        <v>0</v>
      </c>
      <c r="M64" s="30">
        <f>'3.felh'!M43</f>
        <v>0</v>
      </c>
      <c r="N64" s="7"/>
      <c r="O64" s="284"/>
      <c r="P64" s="2"/>
      <c r="Q64" s="2"/>
      <c r="R64" s="7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spans="1:48" ht="23.25" customHeight="1" thickBot="1" x14ac:dyDescent="0.4">
      <c r="A65" s="205"/>
      <c r="B65" s="206" t="s">
        <v>334</v>
      </c>
      <c r="C65" s="723">
        <f>SUM(C9+C55)</f>
        <v>2383848</v>
      </c>
      <c r="D65" s="340">
        <f>SUM(D9+D55)</f>
        <v>3079818</v>
      </c>
      <c r="E65" s="534">
        <f>F65-D65</f>
        <v>-73139</v>
      </c>
      <c r="F65" s="340">
        <f>SUM(F9+F55)</f>
        <v>3006679</v>
      </c>
      <c r="G65" s="534">
        <f>H65-F65</f>
        <v>-3006679</v>
      </c>
      <c r="H65" s="340">
        <f>SUM(H9+H55)</f>
        <v>0</v>
      </c>
      <c r="I65" s="534">
        <f>J65-H65</f>
        <v>0</v>
      </c>
      <c r="J65" s="169">
        <f>SUM(J9+J55)</f>
        <v>0</v>
      </c>
      <c r="K65" s="534">
        <f>L65-J65</f>
        <v>0</v>
      </c>
      <c r="L65" s="169">
        <f>SUM(L9+L55)</f>
        <v>0</v>
      </c>
      <c r="M65" s="46">
        <f>SUM(M9+M55)</f>
        <v>0</v>
      </c>
      <c r="N65" s="7"/>
      <c r="O65" s="284"/>
      <c r="P65" s="2"/>
      <c r="Q65" s="7"/>
      <c r="R65" s="7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 ht="20.25" customHeight="1" x14ac:dyDescent="0.25">
      <c r="A66" s="140" t="s">
        <v>313</v>
      </c>
      <c r="B66" s="214" t="s">
        <v>303</v>
      </c>
      <c r="C66" s="724">
        <f>SUM(C67+C76)</f>
        <v>1772361</v>
      </c>
      <c r="D66" s="164">
        <f>SUM(D67+D76)</f>
        <v>2958032</v>
      </c>
      <c r="E66" s="533">
        <f>F66-D66</f>
        <v>-80594</v>
      </c>
      <c r="F66" s="164">
        <f>SUM(F67+F76)</f>
        <v>2877438</v>
      </c>
      <c r="G66" s="533">
        <f>H66-F66</f>
        <v>-2877438</v>
      </c>
      <c r="H66" s="164">
        <f>SUM(H67+H76)</f>
        <v>0</v>
      </c>
      <c r="I66" s="533">
        <f>J66-H66</f>
        <v>0</v>
      </c>
      <c r="J66" s="164">
        <f>SUM(J67+J76)</f>
        <v>0</v>
      </c>
      <c r="K66" s="533">
        <f>L66-J66</f>
        <v>0</v>
      </c>
      <c r="L66" s="164">
        <f>SUM(L67+L76)</f>
        <v>0</v>
      </c>
      <c r="M66" s="164">
        <f>SUM(M67+M76)</f>
        <v>0</v>
      </c>
      <c r="N66" s="7"/>
      <c r="O66" s="284"/>
      <c r="P66" s="2"/>
      <c r="Q66" s="2"/>
      <c r="R66" s="7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 ht="18" customHeight="1" x14ac:dyDescent="0.25">
      <c r="A67" s="14" t="s">
        <v>194</v>
      </c>
      <c r="B67" s="22" t="s">
        <v>779</v>
      </c>
      <c r="C67" s="225">
        <f>C68</f>
        <v>1411219</v>
      </c>
      <c r="D67" s="141">
        <f>D68</f>
        <v>1883794</v>
      </c>
      <c r="E67" s="533">
        <f t="shared" ref="E67:E90" si="3">F67-D67</f>
        <v>-50264</v>
      </c>
      <c r="F67" s="141">
        <f>F68</f>
        <v>1833530</v>
      </c>
      <c r="G67" s="533">
        <f t="shared" ref="G67:K90" si="4">H67-F67</f>
        <v>-1833530</v>
      </c>
      <c r="H67" s="141">
        <f>H68</f>
        <v>0</v>
      </c>
      <c r="I67" s="533">
        <f t="shared" si="4"/>
        <v>0</v>
      </c>
      <c r="J67" s="141">
        <f>J68</f>
        <v>0</v>
      </c>
      <c r="K67" s="533">
        <f t="shared" si="4"/>
        <v>0</v>
      </c>
      <c r="L67" s="141">
        <f>L68</f>
        <v>0</v>
      </c>
      <c r="M67" s="141">
        <f>M68</f>
        <v>0</v>
      </c>
      <c r="N67" s="7"/>
      <c r="O67" s="284"/>
      <c r="P67" s="2"/>
      <c r="Q67" s="2"/>
      <c r="R67" s="7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 x14ac:dyDescent="0.2">
      <c r="A68" s="8"/>
      <c r="B68" s="14" t="s">
        <v>756</v>
      </c>
      <c r="C68" s="725">
        <f>SUM(C69:C73)</f>
        <v>1411219</v>
      </c>
      <c r="D68" s="79">
        <f>SUM(D69:D73)</f>
        <v>1883794</v>
      </c>
      <c r="E68" s="533">
        <f t="shared" si="3"/>
        <v>-50264</v>
      </c>
      <c r="F68" s="79">
        <f>SUM(F69:F73)</f>
        <v>1833530</v>
      </c>
      <c r="G68" s="533">
        <f t="shared" si="4"/>
        <v>-1833530</v>
      </c>
      <c r="H68" s="79">
        <f>SUM(H69:H73)</f>
        <v>0</v>
      </c>
      <c r="I68" s="533">
        <f t="shared" si="4"/>
        <v>0</v>
      </c>
      <c r="J68" s="79">
        <f>SUM(J69:J73)</f>
        <v>0</v>
      </c>
      <c r="K68" s="533">
        <f t="shared" si="4"/>
        <v>0</v>
      </c>
      <c r="L68" s="79">
        <f>SUM(L69:L73)</f>
        <v>0</v>
      </c>
      <c r="M68" s="79">
        <f>SUM(M69:M73)</f>
        <v>0</v>
      </c>
      <c r="N68" s="7"/>
      <c r="O68" s="284"/>
      <c r="P68" s="2"/>
      <c r="Q68" s="2"/>
      <c r="R68" s="7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spans="1:48" x14ac:dyDescent="0.2">
      <c r="A69" s="8"/>
      <c r="B69" s="8" t="s">
        <v>757</v>
      </c>
      <c r="C69" s="726">
        <f>'2.működés'!C125</f>
        <v>308647</v>
      </c>
      <c r="D69" s="124">
        <f>'2.működés'!D125</f>
        <v>373342</v>
      </c>
      <c r="E69" s="533">
        <f t="shared" si="3"/>
        <v>-1198</v>
      </c>
      <c r="F69" s="124">
        <f>'2.működés'!F125</f>
        <v>372144</v>
      </c>
      <c r="G69" s="533">
        <f t="shared" si="4"/>
        <v>-372144</v>
      </c>
      <c r="H69" s="124">
        <f>'2.működés'!H125</f>
        <v>0</v>
      </c>
      <c r="I69" s="533">
        <f t="shared" si="4"/>
        <v>0</v>
      </c>
      <c r="J69" s="124">
        <f>'2.működés'!J125</f>
        <v>0</v>
      </c>
      <c r="K69" s="533">
        <f t="shared" si="4"/>
        <v>0</v>
      </c>
      <c r="L69" s="124">
        <f>'2.működés'!L125</f>
        <v>0</v>
      </c>
      <c r="M69" s="124">
        <f>'2.működés'!M125</f>
        <v>0</v>
      </c>
      <c r="N69" s="7"/>
      <c r="O69" s="284"/>
      <c r="P69" s="2"/>
      <c r="Q69" s="2"/>
      <c r="R69" s="7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spans="1:48" x14ac:dyDescent="0.2">
      <c r="A70" s="8"/>
      <c r="B70" s="8" t="s">
        <v>758</v>
      </c>
      <c r="C70" s="726">
        <f>'2.működés'!C128</f>
        <v>38354</v>
      </c>
      <c r="D70" s="124">
        <f>'2.működés'!D128</f>
        <v>49611</v>
      </c>
      <c r="E70" s="533">
        <f t="shared" si="3"/>
        <v>70</v>
      </c>
      <c r="F70" s="124">
        <f>'2.működés'!F128</f>
        <v>49681</v>
      </c>
      <c r="G70" s="533">
        <f t="shared" si="4"/>
        <v>-49681</v>
      </c>
      <c r="H70" s="124">
        <f>'2.működés'!H128</f>
        <v>0</v>
      </c>
      <c r="I70" s="533">
        <f t="shared" si="4"/>
        <v>0</v>
      </c>
      <c r="J70" s="124">
        <f>'2.működés'!J128</f>
        <v>0</v>
      </c>
      <c r="K70" s="533">
        <f t="shared" si="4"/>
        <v>0</v>
      </c>
      <c r="L70" s="124">
        <f>'2.működés'!L128</f>
        <v>0</v>
      </c>
      <c r="M70" s="124">
        <f>'2.működés'!M128</f>
        <v>0</v>
      </c>
      <c r="N70" s="7"/>
      <c r="O70" s="284"/>
      <c r="P70" s="2"/>
      <c r="Q70" s="2"/>
      <c r="R70" s="7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spans="1:48" x14ac:dyDescent="0.2">
      <c r="A71" s="8"/>
      <c r="B71" s="8" t="s">
        <v>759</v>
      </c>
      <c r="C71" s="726">
        <f>'2.működés'!C131</f>
        <v>350568</v>
      </c>
      <c r="D71" s="124">
        <f>'2.működés'!D131</f>
        <v>622852</v>
      </c>
      <c r="E71" s="533">
        <f t="shared" si="3"/>
        <v>-147268</v>
      </c>
      <c r="F71" s="124">
        <f>'2.működés'!F131</f>
        <v>475584</v>
      </c>
      <c r="G71" s="533">
        <f t="shared" si="4"/>
        <v>-475584</v>
      </c>
      <c r="H71" s="124">
        <f>'2.működés'!H131</f>
        <v>0</v>
      </c>
      <c r="I71" s="533">
        <f t="shared" si="4"/>
        <v>0</v>
      </c>
      <c r="J71" s="124">
        <f>'2.működés'!J131</f>
        <v>0</v>
      </c>
      <c r="K71" s="533">
        <f t="shared" si="4"/>
        <v>0</v>
      </c>
      <c r="L71" s="124">
        <f>'2.működés'!L131</f>
        <v>0</v>
      </c>
      <c r="M71" s="124">
        <f>'2.működés'!M131</f>
        <v>0</v>
      </c>
      <c r="N71" s="7"/>
      <c r="O71" s="284"/>
      <c r="P71" s="2"/>
      <c r="Q71" s="2"/>
      <c r="R71" s="7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spans="1:48" x14ac:dyDescent="0.2">
      <c r="A72" s="8"/>
      <c r="B72" s="8" t="s">
        <v>760</v>
      </c>
      <c r="C72" s="726">
        <f>'2.működés'!C134</f>
        <v>6186</v>
      </c>
      <c r="D72" s="124">
        <f>'2.működés'!D134</f>
        <v>20000</v>
      </c>
      <c r="E72" s="533">
        <f t="shared" si="3"/>
        <v>0</v>
      </c>
      <c r="F72" s="124">
        <f>'2.működés'!F134</f>
        <v>20000</v>
      </c>
      <c r="G72" s="533">
        <f t="shared" si="4"/>
        <v>-20000</v>
      </c>
      <c r="H72" s="124">
        <f>'2.működés'!H134</f>
        <v>0</v>
      </c>
      <c r="I72" s="533">
        <f t="shared" si="4"/>
        <v>0</v>
      </c>
      <c r="J72" s="124">
        <f>'2.működés'!J134</f>
        <v>0</v>
      </c>
      <c r="K72" s="533">
        <f t="shared" si="4"/>
        <v>0</v>
      </c>
      <c r="L72" s="124">
        <f>'2.működés'!L134</f>
        <v>0</v>
      </c>
      <c r="M72" s="124">
        <f>'2.működés'!M134</f>
        <v>0</v>
      </c>
      <c r="N72" s="7"/>
      <c r="O72" s="284"/>
      <c r="P72" s="2"/>
      <c r="Q72" s="2"/>
      <c r="R72" s="7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spans="1:48" x14ac:dyDescent="0.2">
      <c r="A73" s="8"/>
      <c r="B73" s="8" t="s">
        <v>761</v>
      </c>
      <c r="C73" s="726">
        <f>'2.működés'!C135</f>
        <v>707464</v>
      </c>
      <c r="D73" s="124">
        <f>'2.működés'!D135</f>
        <v>817989</v>
      </c>
      <c r="E73" s="533">
        <f t="shared" si="3"/>
        <v>98132</v>
      </c>
      <c r="F73" s="124">
        <f>'2.működés'!F135</f>
        <v>916121</v>
      </c>
      <c r="G73" s="533">
        <f t="shared" si="4"/>
        <v>-916121</v>
      </c>
      <c r="H73" s="124">
        <f>'2.működés'!H135</f>
        <v>0</v>
      </c>
      <c r="I73" s="533">
        <f t="shared" si="4"/>
        <v>0</v>
      </c>
      <c r="J73" s="124">
        <f>'2.működés'!J135</f>
        <v>0</v>
      </c>
      <c r="K73" s="533">
        <f t="shared" si="4"/>
        <v>0</v>
      </c>
      <c r="L73" s="124">
        <f>'2.működés'!L135</f>
        <v>0</v>
      </c>
      <c r="M73" s="124">
        <f>'2.működés'!M135</f>
        <v>0</v>
      </c>
      <c r="N73" s="7"/>
      <c r="O73" s="284"/>
      <c r="P73" s="2"/>
      <c r="Q73" s="2"/>
      <c r="R73" s="7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spans="1:48" ht="13.5" hidden="1" customHeight="1" thickBot="1" x14ac:dyDescent="0.25">
      <c r="A74" s="8"/>
      <c r="B74" s="8" t="s">
        <v>404</v>
      </c>
      <c r="C74" s="726">
        <v>0</v>
      </c>
      <c r="D74" s="124">
        <v>0</v>
      </c>
      <c r="E74" s="533">
        <f t="shared" si="3"/>
        <v>0</v>
      </c>
      <c r="F74" s="124">
        <v>0</v>
      </c>
      <c r="G74" s="533">
        <f t="shared" si="4"/>
        <v>0</v>
      </c>
      <c r="H74" s="124">
        <v>0</v>
      </c>
      <c r="I74" s="533">
        <f t="shared" si="4"/>
        <v>0</v>
      </c>
      <c r="J74" s="124">
        <v>0</v>
      </c>
      <c r="K74" s="533">
        <f t="shared" si="4"/>
        <v>0</v>
      </c>
      <c r="L74" s="124">
        <v>0</v>
      </c>
      <c r="M74" s="124">
        <v>0</v>
      </c>
      <c r="N74" s="7"/>
      <c r="O74" s="284"/>
      <c r="P74" s="2"/>
      <c r="Q74" s="2"/>
      <c r="R74" s="7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spans="1:48" ht="12.75" hidden="1" customHeight="1" thickBot="1" x14ac:dyDescent="0.25">
      <c r="A75" s="8"/>
      <c r="B75" s="8" t="s">
        <v>387</v>
      </c>
      <c r="C75" s="727"/>
      <c r="D75" s="247"/>
      <c r="E75" s="533">
        <f t="shared" si="3"/>
        <v>0</v>
      </c>
      <c r="F75" s="247"/>
      <c r="G75" s="533">
        <f t="shared" si="4"/>
        <v>0</v>
      </c>
      <c r="H75" s="247"/>
      <c r="I75" s="533">
        <f t="shared" si="4"/>
        <v>0</v>
      </c>
      <c r="J75" s="247"/>
      <c r="K75" s="533">
        <f t="shared" si="4"/>
        <v>0</v>
      </c>
      <c r="L75" s="247"/>
      <c r="M75" s="247"/>
      <c r="N75" s="7"/>
      <c r="O75" s="284"/>
      <c r="P75" s="2"/>
      <c r="Q75" s="2"/>
      <c r="R75" s="7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spans="1:48" ht="18" customHeight="1" x14ac:dyDescent="0.25">
      <c r="A76" s="14" t="s">
        <v>195</v>
      </c>
      <c r="B76" s="22" t="s">
        <v>780</v>
      </c>
      <c r="C76" s="71">
        <f>SUM(C77:C79)</f>
        <v>361142</v>
      </c>
      <c r="D76" s="34">
        <f>SUM(D77:D79)</f>
        <v>1074238</v>
      </c>
      <c r="E76" s="533">
        <f t="shared" si="3"/>
        <v>-30330</v>
      </c>
      <c r="F76" s="34">
        <f>SUM(F77:F79)</f>
        <v>1043908</v>
      </c>
      <c r="G76" s="533">
        <f t="shared" si="4"/>
        <v>-1043908</v>
      </c>
      <c r="H76" s="34">
        <f>SUM(H77:H79)</f>
        <v>0</v>
      </c>
      <c r="I76" s="533">
        <f t="shared" si="4"/>
        <v>0</v>
      </c>
      <c r="J76" s="34">
        <f>SUM(J77:J79)</f>
        <v>0</v>
      </c>
      <c r="K76" s="533">
        <f t="shared" si="4"/>
        <v>0</v>
      </c>
      <c r="L76" s="34">
        <f>SUM(L77:L79)</f>
        <v>0</v>
      </c>
      <c r="M76" s="34">
        <f>SUM(M77:M79)</f>
        <v>0</v>
      </c>
      <c r="N76" s="7"/>
      <c r="O76" s="284"/>
      <c r="P76" s="2"/>
      <c r="Q76" s="2"/>
      <c r="R76" s="7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 s="48" customFormat="1" ht="13.5" customHeight="1" x14ac:dyDescent="0.2">
      <c r="A77" s="8"/>
      <c r="B77" s="8" t="s">
        <v>297</v>
      </c>
      <c r="C77" s="70">
        <f>SUM('3.felh'!C47)</f>
        <v>188483</v>
      </c>
      <c r="D77" s="13">
        <f>SUM('3.felh'!D47)</f>
        <v>744562</v>
      </c>
      <c r="E77" s="533">
        <f t="shared" si="3"/>
        <v>778</v>
      </c>
      <c r="F77" s="13">
        <f>SUM('3.felh'!F47)</f>
        <v>745340</v>
      </c>
      <c r="G77" s="533">
        <f t="shared" si="4"/>
        <v>-745340</v>
      </c>
      <c r="H77" s="13">
        <f>SUM('3.felh'!H47)</f>
        <v>0</v>
      </c>
      <c r="I77" s="533">
        <f t="shared" si="4"/>
        <v>0</v>
      </c>
      <c r="J77" s="13">
        <f>SUM('3.felh'!J47)</f>
        <v>0</v>
      </c>
      <c r="K77" s="533">
        <f t="shared" si="4"/>
        <v>0</v>
      </c>
      <c r="L77" s="13">
        <f>SUM('3.felh'!L47)</f>
        <v>0</v>
      </c>
      <c r="M77" s="13">
        <f>SUM('3.felh'!M47)</f>
        <v>0</v>
      </c>
      <c r="N77" s="7"/>
      <c r="O77" s="284"/>
      <c r="P77" s="2"/>
      <c r="Q77" s="2"/>
      <c r="R77" s="7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spans="1:48" s="48" customFormat="1" ht="13.5" customHeight="1" x14ac:dyDescent="0.2">
      <c r="A78" s="8"/>
      <c r="B78" s="8" t="s">
        <v>298</v>
      </c>
      <c r="C78" s="70">
        <f>SUM('3.felh'!C74)</f>
        <v>172659</v>
      </c>
      <c r="D78" s="13">
        <f>SUM('3.felh'!D74)</f>
        <v>329676</v>
      </c>
      <c r="E78" s="533">
        <f t="shared" si="3"/>
        <v>-53333</v>
      </c>
      <c r="F78" s="13">
        <f>SUM('3.felh'!F74)</f>
        <v>276343</v>
      </c>
      <c r="G78" s="533">
        <f t="shared" si="4"/>
        <v>-276343</v>
      </c>
      <c r="H78" s="13">
        <f>SUM('3.felh'!H74)</f>
        <v>0</v>
      </c>
      <c r="I78" s="533">
        <f t="shared" si="4"/>
        <v>0</v>
      </c>
      <c r="J78" s="13">
        <f>SUM('3.felh'!J74)</f>
        <v>0</v>
      </c>
      <c r="K78" s="533">
        <f t="shared" si="4"/>
        <v>0</v>
      </c>
      <c r="L78" s="13">
        <f>SUM('3.felh'!L74)</f>
        <v>0</v>
      </c>
      <c r="M78" s="13">
        <f>SUM('3.felh'!M74)</f>
        <v>0</v>
      </c>
      <c r="N78" s="7"/>
      <c r="O78" s="284"/>
      <c r="P78" s="2"/>
      <c r="Q78" s="2"/>
      <c r="R78" s="7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spans="1:48" s="48" customFormat="1" ht="13.5" customHeight="1" x14ac:dyDescent="0.2">
      <c r="A79" s="8"/>
      <c r="B79" s="8" t="s">
        <v>299</v>
      </c>
      <c r="C79" s="70">
        <f>SUM(C80:C82)</f>
        <v>0</v>
      </c>
      <c r="D79" s="13">
        <f>SUM(D80:D82)</f>
        <v>0</v>
      </c>
      <c r="E79" s="533">
        <f t="shared" si="3"/>
        <v>22225</v>
      </c>
      <c r="F79" s="13">
        <f>SUM(F80:F82)</f>
        <v>22225</v>
      </c>
      <c r="G79" s="533">
        <f t="shared" si="4"/>
        <v>-22225</v>
      </c>
      <c r="H79" s="13">
        <f>SUM(H80:H82)</f>
        <v>0</v>
      </c>
      <c r="I79" s="533">
        <f t="shared" si="4"/>
        <v>0</v>
      </c>
      <c r="J79" s="13">
        <f>SUM(J80:J82)</f>
        <v>0</v>
      </c>
      <c r="K79" s="533">
        <f t="shared" si="4"/>
        <v>0</v>
      </c>
      <c r="L79" s="13">
        <f>SUM(L80:L82)</f>
        <v>0</v>
      </c>
      <c r="M79" s="13">
        <f>SUM(M80:M82)</f>
        <v>0</v>
      </c>
      <c r="N79" s="7"/>
      <c r="O79" s="284"/>
      <c r="P79" s="2"/>
      <c r="Q79" s="2"/>
      <c r="R79" s="7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spans="1:48" s="48" customFormat="1" ht="13.5" hidden="1" customHeight="1" x14ac:dyDescent="0.2">
      <c r="A80" s="8"/>
      <c r="B80" s="143" t="s">
        <v>589</v>
      </c>
      <c r="C80" s="70">
        <f>SUM('3.felh'!C97)+'3.felh'!C98+'3.felh'!C99</f>
        <v>0</v>
      </c>
      <c r="D80" s="70">
        <f>SUM('3.felh'!D97)+'3.felh'!D98+'3.felh'!D99</f>
        <v>0</v>
      </c>
      <c r="E80" s="533">
        <f t="shared" si="3"/>
        <v>22225</v>
      </c>
      <c r="F80" s="70">
        <f>SUM('3.felh'!F97)+'3.felh'!F98+'3.felh'!F99</f>
        <v>22225</v>
      </c>
      <c r="G80" s="533">
        <f t="shared" si="4"/>
        <v>-22225</v>
      </c>
      <c r="H80" s="70">
        <f>SUM('3.felh'!H97)+'3.felh'!H98+'3.felh'!H99</f>
        <v>0</v>
      </c>
      <c r="I80" s="533">
        <f t="shared" si="4"/>
        <v>0</v>
      </c>
      <c r="J80" s="70">
        <f>SUM('3.felh'!J97)+'3.felh'!J98+'3.felh'!J99</f>
        <v>0</v>
      </c>
      <c r="K80" s="533">
        <f t="shared" si="4"/>
        <v>0</v>
      </c>
      <c r="L80" s="70">
        <f>SUM('3.felh'!L97)+'3.felh'!L98+'3.felh'!L99</f>
        <v>0</v>
      </c>
      <c r="M80" s="70">
        <f>SUM('3.felh'!M97)+'3.felh'!M98+'3.felh'!M99</f>
        <v>0</v>
      </c>
      <c r="N80" s="7"/>
      <c r="O80" s="284"/>
      <c r="P80" s="2"/>
      <c r="Q80" s="2"/>
      <c r="R80" s="7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1" spans="1:48" s="48" customFormat="1" ht="13.5" hidden="1" customHeight="1" thickBot="1" x14ac:dyDescent="0.25">
      <c r="A81" s="8"/>
      <c r="B81" s="143" t="s">
        <v>599</v>
      </c>
      <c r="C81" s="70">
        <v>0</v>
      </c>
      <c r="D81" s="70">
        <v>0</v>
      </c>
      <c r="E81" s="533">
        <f t="shared" si="3"/>
        <v>0</v>
      </c>
      <c r="F81" s="70">
        <v>0</v>
      </c>
      <c r="G81" s="533">
        <f t="shared" si="4"/>
        <v>0</v>
      </c>
      <c r="H81" s="70">
        <v>0</v>
      </c>
      <c r="I81" s="533">
        <f t="shared" si="4"/>
        <v>0</v>
      </c>
      <c r="J81" s="70">
        <v>0</v>
      </c>
      <c r="K81" s="533">
        <f t="shared" si="4"/>
        <v>0</v>
      </c>
      <c r="L81" s="70">
        <v>0</v>
      </c>
      <c r="M81" s="70">
        <v>0</v>
      </c>
      <c r="N81" s="7"/>
      <c r="O81" s="284"/>
      <c r="P81" s="2"/>
      <c r="Q81" s="2"/>
      <c r="R81" s="7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</row>
    <row r="82" spans="1:48" s="48" customFormat="1" ht="13.5" hidden="1" customHeight="1" thickBot="1" x14ac:dyDescent="0.25">
      <c r="A82" s="8"/>
      <c r="B82" s="512" t="s">
        <v>784</v>
      </c>
      <c r="C82" s="513">
        <f>SUM('3.felh'!C101)</f>
        <v>0</v>
      </c>
      <c r="D82" s="513">
        <f>SUM('3.felh'!D101)</f>
        <v>0</v>
      </c>
      <c r="E82" s="533">
        <f t="shared" si="3"/>
        <v>0</v>
      </c>
      <c r="F82" s="513">
        <f>SUM('3.felh'!F101)</f>
        <v>0</v>
      </c>
      <c r="G82" s="533">
        <f t="shared" si="4"/>
        <v>0</v>
      </c>
      <c r="H82" s="513">
        <f>SUM('3.felh'!H101)</f>
        <v>0</v>
      </c>
      <c r="I82" s="533">
        <f t="shared" si="4"/>
        <v>0</v>
      </c>
      <c r="J82" s="513">
        <f>SUM('3.felh'!J101)</f>
        <v>0</v>
      </c>
      <c r="K82" s="533">
        <f t="shared" si="4"/>
        <v>0</v>
      </c>
      <c r="L82" s="513">
        <f>SUM('3.felh'!L101)</f>
        <v>0</v>
      </c>
      <c r="M82" s="513">
        <f>SUM('3.felh'!M101)</f>
        <v>0</v>
      </c>
      <c r="N82" s="7"/>
      <c r="O82" s="284"/>
      <c r="P82" s="2"/>
      <c r="Q82" s="2"/>
      <c r="R82" s="7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48" s="660" customFormat="1" ht="22.5" customHeight="1" x14ac:dyDescent="0.2">
      <c r="A83" s="526" t="s">
        <v>196</v>
      </c>
      <c r="B83" s="162" t="s">
        <v>312</v>
      </c>
      <c r="C83" s="757">
        <f>SUM(C84+C89+C90)</f>
        <v>115874</v>
      </c>
      <c r="D83" s="758">
        <f>SUM(D84+D89+D90)</f>
        <v>121786</v>
      </c>
      <c r="E83" s="533">
        <f t="shared" si="3"/>
        <v>7455</v>
      </c>
      <c r="F83" s="758">
        <f>SUM(F84+F89+F90)</f>
        <v>129241</v>
      </c>
      <c r="G83" s="533">
        <f t="shared" si="4"/>
        <v>-129241</v>
      </c>
      <c r="H83" s="758">
        <f>SUM(H84+H89+H90)</f>
        <v>0</v>
      </c>
      <c r="I83" s="533">
        <f t="shared" si="4"/>
        <v>0</v>
      </c>
      <c r="J83" s="758">
        <f>SUM(J84+J89+J90)</f>
        <v>0</v>
      </c>
      <c r="K83" s="533">
        <f t="shared" si="4"/>
        <v>0</v>
      </c>
      <c r="L83" s="758">
        <f>SUM(L84+L89+L90)</f>
        <v>0</v>
      </c>
      <c r="M83" s="758">
        <f>SUM(M84+M89+M90)</f>
        <v>0</v>
      </c>
      <c r="N83" s="366"/>
      <c r="O83" s="284"/>
      <c r="P83" s="66"/>
      <c r="Q83" s="66"/>
      <c r="R83" s="3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</row>
    <row r="84" spans="1:48" s="48" customFormat="1" ht="15" customHeight="1" x14ac:dyDescent="0.25">
      <c r="A84" s="14"/>
      <c r="B84" s="179" t="s">
        <v>339</v>
      </c>
      <c r="C84" s="717">
        <f>SUM(C85:C88)</f>
        <v>115874</v>
      </c>
      <c r="D84" s="151">
        <f>SUM(D85:D88)</f>
        <v>121786</v>
      </c>
      <c r="E84" s="533">
        <f t="shared" si="3"/>
        <v>7455</v>
      </c>
      <c r="F84" s="151">
        <f>SUM(F85:F88)</f>
        <v>129241</v>
      </c>
      <c r="G84" s="533">
        <f t="shared" si="4"/>
        <v>-129241</v>
      </c>
      <c r="H84" s="151">
        <f>SUM(H85:H88)</f>
        <v>0</v>
      </c>
      <c r="I84" s="533">
        <f t="shared" si="4"/>
        <v>0</v>
      </c>
      <c r="J84" s="151">
        <f>SUM(J85:J88)</f>
        <v>0</v>
      </c>
      <c r="K84" s="533">
        <f t="shared" si="4"/>
        <v>0</v>
      </c>
      <c r="L84" s="151">
        <f>SUM(L85:L88)</f>
        <v>0</v>
      </c>
      <c r="M84" s="151">
        <f>SUM(M85:M88)</f>
        <v>0</v>
      </c>
      <c r="N84" s="7"/>
      <c r="O84" s="284"/>
      <c r="P84" s="2"/>
      <c r="Q84" s="2"/>
      <c r="R84" s="7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</row>
    <row r="85" spans="1:48" s="48" customFormat="1" hidden="1" x14ac:dyDescent="0.2">
      <c r="A85" s="8" t="s">
        <v>752</v>
      </c>
      <c r="B85" s="8" t="s">
        <v>753</v>
      </c>
      <c r="C85" s="70">
        <v>0</v>
      </c>
      <c r="D85" s="13">
        <v>0</v>
      </c>
      <c r="E85" s="533">
        <f t="shared" si="3"/>
        <v>0</v>
      </c>
      <c r="F85" s="13">
        <v>0</v>
      </c>
      <c r="G85" s="533">
        <f t="shared" si="4"/>
        <v>0</v>
      </c>
      <c r="H85" s="13">
        <v>0</v>
      </c>
      <c r="I85" s="533">
        <f t="shared" si="4"/>
        <v>0</v>
      </c>
      <c r="J85" s="13">
        <v>0</v>
      </c>
      <c r="K85" s="533">
        <f t="shared" si="4"/>
        <v>0</v>
      </c>
      <c r="L85" s="13">
        <v>0</v>
      </c>
      <c r="M85" s="13">
        <v>0</v>
      </c>
      <c r="N85" s="7"/>
      <c r="O85" s="284"/>
      <c r="P85" s="2"/>
      <c r="Q85" s="2"/>
      <c r="R85" s="7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</row>
    <row r="86" spans="1:48" s="48" customFormat="1" ht="12.75" customHeight="1" x14ac:dyDescent="0.2">
      <c r="A86" s="8" t="s">
        <v>346</v>
      </c>
      <c r="B86" s="8" t="s">
        <v>366</v>
      </c>
      <c r="C86" s="70">
        <f>SUM('2.működés'!C144)</f>
        <v>21664</v>
      </c>
      <c r="D86" s="13">
        <f>SUM('2.működés'!D144)</f>
        <v>27576</v>
      </c>
      <c r="E86" s="533">
        <f t="shared" si="3"/>
        <v>0</v>
      </c>
      <c r="F86" s="13">
        <f>SUM('2.működés'!F144)</f>
        <v>27576</v>
      </c>
      <c r="G86" s="533">
        <f t="shared" si="4"/>
        <v>-27576</v>
      </c>
      <c r="H86" s="13">
        <f>SUM('2.működés'!H144)</f>
        <v>0</v>
      </c>
      <c r="I86" s="533">
        <f t="shared" si="4"/>
        <v>0</v>
      </c>
      <c r="J86" s="13">
        <f>SUM('2.működés'!J144)</f>
        <v>0</v>
      </c>
      <c r="K86" s="533">
        <f t="shared" si="4"/>
        <v>0</v>
      </c>
      <c r="L86" s="13">
        <f>SUM('2.működés'!L144)</f>
        <v>0</v>
      </c>
      <c r="M86" s="13">
        <f>SUM('2.működés'!M144)</f>
        <v>0</v>
      </c>
      <c r="N86" s="7"/>
      <c r="O86" s="284"/>
      <c r="P86" s="2"/>
      <c r="Q86" s="2"/>
      <c r="R86" s="7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</row>
    <row r="87" spans="1:48" s="48" customFormat="1" ht="15.75" x14ac:dyDescent="0.25">
      <c r="A87" s="8" t="s">
        <v>1252</v>
      </c>
      <c r="B87" s="213" t="s">
        <v>645</v>
      </c>
      <c r="C87" s="70">
        <f>SUM('3.felh'!C106)</f>
        <v>94210</v>
      </c>
      <c r="D87" s="13">
        <f>SUM('3.felh'!D106)</f>
        <v>94210</v>
      </c>
      <c r="E87" s="533">
        <f t="shared" ref="E87" si="5">F87-D87</f>
        <v>0</v>
      </c>
      <c r="F87" s="13">
        <f>SUM('3.felh'!F106)</f>
        <v>94210</v>
      </c>
      <c r="G87" s="533">
        <f t="shared" si="4"/>
        <v>-94210</v>
      </c>
      <c r="H87" s="41"/>
      <c r="I87" s="533">
        <f t="shared" si="4"/>
        <v>0</v>
      </c>
      <c r="J87" s="41"/>
      <c r="K87" s="533">
        <f t="shared" si="4"/>
        <v>0</v>
      </c>
      <c r="L87" s="41"/>
      <c r="M87" s="41"/>
      <c r="N87" s="7"/>
      <c r="O87" s="284"/>
      <c r="P87" s="2"/>
      <c r="Q87" s="2"/>
      <c r="R87" s="7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spans="1:48" s="48" customFormat="1" ht="12.75" customHeight="1" x14ac:dyDescent="0.2">
      <c r="A88" s="8" t="s">
        <v>1254</v>
      </c>
      <c r="B88" s="213" t="s">
        <v>1253</v>
      </c>
      <c r="C88" s="70">
        <f>'2.működés'!C143</f>
        <v>0</v>
      </c>
      <c r="D88" s="13">
        <f>'2.működés'!D143</f>
        <v>0</v>
      </c>
      <c r="E88" s="533">
        <f t="shared" si="3"/>
        <v>7455</v>
      </c>
      <c r="F88" s="13">
        <f>'2.működés'!F143</f>
        <v>7455</v>
      </c>
      <c r="G88" s="533">
        <f t="shared" si="4"/>
        <v>-7455</v>
      </c>
      <c r="H88" s="13">
        <f>SUM('3.felh'!H106)</f>
        <v>0</v>
      </c>
      <c r="I88" s="533">
        <f t="shared" si="4"/>
        <v>0</v>
      </c>
      <c r="J88" s="13">
        <f>SUM('3.felh'!J106)</f>
        <v>0</v>
      </c>
      <c r="K88" s="533">
        <f t="shared" si="4"/>
        <v>0</v>
      </c>
      <c r="L88" s="13">
        <f>SUM('3.felh'!L106)</f>
        <v>0</v>
      </c>
      <c r="M88" s="13">
        <f>SUM('3.felh'!M106)</f>
        <v>0</v>
      </c>
      <c r="N88" s="7"/>
      <c r="O88" s="284"/>
      <c r="P88" s="2"/>
      <c r="Q88" s="2"/>
      <c r="R88" s="7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spans="1:48" s="48" customFormat="1" ht="15" customHeight="1" x14ac:dyDescent="0.25">
      <c r="A89" s="14"/>
      <c r="B89" s="179" t="s">
        <v>341</v>
      </c>
      <c r="C89" s="717">
        <v>0</v>
      </c>
      <c r="D89" s="41">
        <v>0</v>
      </c>
      <c r="E89" s="533">
        <f t="shared" si="3"/>
        <v>0</v>
      </c>
      <c r="F89" s="41">
        <v>0</v>
      </c>
      <c r="G89" s="533">
        <f t="shared" si="4"/>
        <v>0</v>
      </c>
      <c r="H89" s="41">
        <v>0</v>
      </c>
      <c r="I89" s="533">
        <f t="shared" si="4"/>
        <v>0</v>
      </c>
      <c r="J89" s="41">
        <v>0</v>
      </c>
      <c r="K89" s="533">
        <f t="shared" si="4"/>
        <v>0</v>
      </c>
      <c r="L89" s="41">
        <v>0</v>
      </c>
      <c r="M89" s="41">
        <v>0</v>
      </c>
      <c r="N89" s="7"/>
      <c r="O89" s="284"/>
      <c r="P89" s="2"/>
      <c r="Q89" s="2"/>
      <c r="R89" s="7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</row>
    <row r="90" spans="1:48" s="660" customFormat="1" ht="15" customHeight="1" thickBot="1" x14ac:dyDescent="0.25">
      <c r="A90" s="658"/>
      <c r="B90" s="176" t="s">
        <v>342</v>
      </c>
      <c r="C90" s="728">
        <v>0</v>
      </c>
      <c r="D90" s="659">
        <v>0</v>
      </c>
      <c r="E90" s="533">
        <f t="shared" si="3"/>
        <v>0</v>
      </c>
      <c r="F90" s="659">
        <v>0</v>
      </c>
      <c r="G90" s="533">
        <f t="shared" si="4"/>
        <v>0</v>
      </c>
      <c r="H90" s="659">
        <v>0</v>
      </c>
      <c r="I90" s="533">
        <f t="shared" si="4"/>
        <v>0</v>
      </c>
      <c r="J90" s="659">
        <v>0</v>
      </c>
      <c r="K90" s="533">
        <f t="shared" si="4"/>
        <v>0</v>
      </c>
      <c r="L90" s="659">
        <v>0</v>
      </c>
      <c r="M90" s="659">
        <v>0</v>
      </c>
      <c r="N90" s="7"/>
      <c r="O90" s="284"/>
      <c r="P90" s="66"/>
      <c r="Q90" s="66"/>
      <c r="R90" s="3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6"/>
      <c r="AU90" s="66"/>
      <c r="AV90" s="66"/>
    </row>
    <row r="91" spans="1:48" ht="21.75" customHeight="1" thickBot="1" x14ac:dyDescent="0.4">
      <c r="A91" s="245"/>
      <c r="B91" s="206" t="s">
        <v>51</v>
      </c>
      <c r="C91" s="723">
        <f>SUM(C66+C83)</f>
        <v>1888235</v>
      </c>
      <c r="D91" s="340">
        <f>SUM(D66+D83)</f>
        <v>3079818</v>
      </c>
      <c r="E91" s="534">
        <f>F91-D91</f>
        <v>-73139</v>
      </c>
      <c r="F91" s="340">
        <f>SUM(F66+F83)</f>
        <v>3006679</v>
      </c>
      <c r="G91" s="534">
        <f>H91-F91</f>
        <v>-3006679</v>
      </c>
      <c r="H91" s="340">
        <f>SUM(H66+H83)</f>
        <v>0</v>
      </c>
      <c r="I91" s="534">
        <f>J91-H91</f>
        <v>0</v>
      </c>
      <c r="J91" s="169">
        <f>SUM(J66+J83)</f>
        <v>0</v>
      </c>
      <c r="K91" s="534">
        <f>L91-J91</f>
        <v>0</v>
      </c>
      <c r="L91" s="169">
        <f>SUM(L66+L83)</f>
        <v>0</v>
      </c>
      <c r="M91" s="46">
        <f>SUM(M66+M83)</f>
        <v>0</v>
      </c>
      <c r="N91" s="7"/>
      <c r="O91" s="284"/>
      <c r="P91" s="7"/>
      <c r="Q91" s="2"/>
      <c r="R91" s="7"/>
      <c r="S91" s="7"/>
      <c r="T91" s="7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</row>
    <row r="92" spans="1:48" ht="14.25" customHeight="1" x14ac:dyDescent="0.2">
      <c r="D92" s="7"/>
      <c r="E92" s="7"/>
      <c r="F92" s="7"/>
      <c r="G92" s="7"/>
      <c r="H92" s="7"/>
      <c r="I92" s="7"/>
      <c r="J92" s="7"/>
      <c r="K92" s="7"/>
      <c r="L92" s="7"/>
      <c r="M92" s="7">
        <f>SUM(M65-M91)</f>
        <v>0</v>
      </c>
      <c r="N92" s="2"/>
      <c r="O92" s="28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</row>
    <row r="93" spans="1:48" ht="15.75" hidden="1" customHeight="1" x14ac:dyDescent="0.2">
      <c r="B93" s="2"/>
      <c r="C93" s="7"/>
      <c r="D93" s="7"/>
      <c r="E93" s="7"/>
      <c r="F93" s="7">
        <f>F65-F91</f>
        <v>0</v>
      </c>
      <c r="G93" s="7"/>
      <c r="H93" s="7"/>
      <c r="I93" s="7"/>
      <c r="J93" s="7"/>
      <c r="K93" s="7"/>
      <c r="L93" s="7"/>
      <c r="M93" s="7"/>
      <c r="N93" s="2"/>
      <c r="O93" s="28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</row>
    <row r="94" spans="1:48" ht="15.75" customHeight="1" x14ac:dyDescent="0.2"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28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</row>
    <row r="95" spans="1:48" x14ac:dyDescent="0.2">
      <c r="B95" s="218"/>
      <c r="C95" s="218"/>
      <c r="D95" s="7"/>
      <c r="E95" s="7"/>
      <c r="F95" s="2"/>
      <c r="G95" s="2"/>
      <c r="H95" s="86"/>
      <c r="I95" s="86"/>
      <c r="J95" s="2"/>
      <c r="K95" s="2"/>
      <c r="L95" s="2"/>
      <c r="M95" s="2"/>
      <c r="N95" s="2"/>
      <c r="O95" s="28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</row>
    <row r="96" spans="1:48" ht="15" customHeight="1" x14ac:dyDescent="0.2">
      <c r="D96" s="7"/>
      <c r="E96" s="7"/>
      <c r="G96" s="2"/>
      <c r="H96" s="86"/>
      <c r="I96" s="86"/>
      <c r="J96" s="2"/>
      <c r="K96" s="2"/>
      <c r="L96" s="2"/>
      <c r="M96" s="2"/>
      <c r="N96" s="2"/>
      <c r="O96" s="28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</row>
    <row r="97" spans="2:48" x14ac:dyDescent="0.2">
      <c r="F97" s="7"/>
      <c r="G97" s="7"/>
      <c r="H97" s="7"/>
      <c r="I97" s="7"/>
      <c r="J97" s="7"/>
      <c r="K97" s="7">
        <f t="shared" ref="K97:L97" si="6">K65-K91</f>
        <v>0</v>
      </c>
      <c r="L97" s="7">
        <f t="shared" si="6"/>
        <v>0</v>
      </c>
      <c r="M97" s="7">
        <f>M65-M91</f>
        <v>0</v>
      </c>
      <c r="N97" s="2"/>
      <c r="O97" s="28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</row>
    <row r="98" spans="2:48" ht="15.75" customHeight="1" x14ac:dyDescent="0.2">
      <c r="B98" s="2"/>
      <c r="C98" s="2"/>
      <c r="D98" s="2"/>
      <c r="E98" s="2"/>
      <c r="F98" s="7"/>
      <c r="G98" s="7"/>
      <c r="H98" s="86"/>
      <c r="I98" s="86"/>
      <c r="J98" s="2"/>
      <c r="K98" s="2"/>
      <c r="L98" s="2"/>
      <c r="M98" s="2"/>
      <c r="N98" s="2"/>
      <c r="O98" s="284"/>
      <c r="P98" s="2"/>
      <c r="Q98" s="2"/>
      <c r="R98" s="2"/>
      <c r="S98" s="7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</row>
    <row r="99" spans="2:48" ht="15.75" customHeight="1" x14ac:dyDescent="0.2">
      <c r="B99" s="2"/>
      <c r="C99" s="2"/>
      <c r="D99" s="2"/>
      <c r="E99" s="2"/>
      <c r="F99" s="2"/>
      <c r="G99" s="2"/>
      <c r="H99" s="86"/>
      <c r="I99" s="86"/>
      <c r="J99" s="2"/>
      <c r="K99" s="2"/>
      <c r="L99" s="2"/>
      <c r="M99" s="2"/>
      <c r="N99" s="2"/>
      <c r="O99" s="28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</row>
    <row r="100" spans="2:48" ht="15.75" customHeight="1" x14ac:dyDescent="0.2">
      <c r="B100" s="2"/>
      <c r="C100" s="2"/>
      <c r="D100" s="2"/>
      <c r="E100" s="2"/>
      <c r="F100" s="2"/>
      <c r="G100" s="2"/>
      <c r="H100" s="86"/>
      <c r="I100" s="86"/>
      <c r="J100" s="2"/>
      <c r="K100" s="2"/>
      <c r="L100" s="2"/>
      <c r="M100" s="2"/>
      <c r="N100" s="2"/>
      <c r="O100" s="28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2:48" ht="15.75" customHeight="1" x14ac:dyDescent="0.2">
      <c r="B101" s="2"/>
      <c r="C101" s="2"/>
      <c r="D101" s="2"/>
      <c r="E101" s="2"/>
      <c r="F101" s="2"/>
      <c r="G101" s="2"/>
      <c r="H101" s="86"/>
      <c r="I101" s="86"/>
      <c r="J101" s="2"/>
      <c r="K101" s="2"/>
      <c r="L101" s="2"/>
      <c r="M101" s="2"/>
      <c r="N101" s="2"/>
      <c r="O101" s="28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</row>
    <row r="102" spans="2:48" ht="15.75" customHeight="1" x14ac:dyDescent="0.2">
      <c r="B102" s="2"/>
      <c r="C102" s="2"/>
      <c r="D102" s="2"/>
      <c r="E102" s="2"/>
      <c r="F102" s="2"/>
      <c r="G102" s="2"/>
      <c r="H102" s="86"/>
      <c r="I102" s="86"/>
      <c r="J102" s="2"/>
      <c r="K102" s="2"/>
      <c r="L102" s="2"/>
      <c r="M102" s="2"/>
      <c r="N102" s="2"/>
      <c r="O102" s="28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</row>
    <row r="103" spans="2:48" ht="15.75" customHeight="1" x14ac:dyDescent="0.2">
      <c r="B103" s="2"/>
      <c r="C103" s="2"/>
      <c r="D103" s="2"/>
      <c r="E103" s="2"/>
      <c r="F103" s="2"/>
      <c r="G103" s="2"/>
      <c r="H103" s="86"/>
      <c r="I103" s="86"/>
      <c r="J103" s="2"/>
      <c r="K103" s="2"/>
      <c r="L103" s="2"/>
      <c r="M103" s="2"/>
      <c r="N103" s="2"/>
      <c r="O103" s="28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</row>
    <row r="104" spans="2:48" ht="15.75" customHeight="1" x14ac:dyDescent="0.2">
      <c r="B104" s="2"/>
      <c r="C104" s="2"/>
      <c r="D104" s="2"/>
      <c r="E104" s="2"/>
      <c r="F104" s="2"/>
      <c r="G104" s="2"/>
      <c r="H104" s="86"/>
      <c r="I104" s="86"/>
      <c r="J104" s="2"/>
      <c r="K104" s="2"/>
      <c r="L104" s="2"/>
      <c r="M104" s="2"/>
      <c r="N104" s="2"/>
      <c r="O104" s="28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</row>
    <row r="105" spans="2:48" ht="15.75" customHeight="1" x14ac:dyDescent="0.2">
      <c r="B105" s="2"/>
      <c r="C105" s="2"/>
      <c r="D105" s="2"/>
      <c r="E105" s="2"/>
      <c r="F105" s="2"/>
      <c r="G105" s="2"/>
      <c r="H105" s="86"/>
      <c r="I105" s="86"/>
      <c r="J105" s="2"/>
      <c r="K105" s="2"/>
      <c r="L105" s="2"/>
      <c r="M105" s="2"/>
      <c r="N105" s="2"/>
      <c r="O105" s="28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</row>
    <row r="106" spans="2:48" ht="15.75" customHeight="1" x14ac:dyDescent="0.2">
      <c r="B106" s="2"/>
      <c r="C106" s="2"/>
      <c r="D106" s="2"/>
      <c r="E106" s="2"/>
      <c r="F106" s="2"/>
      <c r="G106" s="2"/>
      <c r="H106" s="86"/>
      <c r="I106" s="86"/>
      <c r="J106" s="2"/>
      <c r="K106" s="2"/>
      <c r="L106" s="2"/>
      <c r="M106" s="2"/>
      <c r="N106" s="2"/>
      <c r="O106" s="28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</row>
    <row r="107" spans="2:48" ht="15.75" customHeight="1" x14ac:dyDescent="0.2">
      <c r="B107" s="2"/>
      <c r="C107" s="2"/>
      <c r="D107" s="2"/>
      <c r="E107" s="2"/>
      <c r="F107" s="2"/>
      <c r="G107" s="2"/>
      <c r="H107" s="86"/>
      <c r="I107" s="86"/>
      <c r="J107" s="2"/>
      <c r="K107" s="2"/>
      <c r="L107" s="2"/>
      <c r="M107" s="2"/>
      <c r="N107" s="2"/>
      <c r="O107" s="28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</row>
    <row r="108" spans="2:48" ht="15.75" customHeight="1" x14ac:dyDescent="0.2">
      <c r="B108" s="2"/>
      <c r="C108" s="2"/>
      <c r="D108" s="2"/>
      <c r="E108" s="2"/>
      <c r="F108" s="2"/>
      <c r="G108" s="2"/>
      <c r="H108" s="86"/>
      <c r="I108" s="86"/>
      <c r="J108" s="2"/>
      <c r="K108" s="2"/>
      <c r="L108" s="2"/>
      <c r="M108" s="2"/>
      <c r="N108" s="2"/>
      <c r="O108" s="28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spans="2:48" ht="15.75" customHeight="1" x14ac:dyDescent="0.2">
      <c r="B109" s="2"/>
      <c r="C109" s="2"/>
      <c r="D109" s="2"/>
      <c r="E109" s="2"/>
      <c r="F109" s="2"/>
      <c r="G109" s="2"/>
      <c r="H109" s="86"/>
      <c r="I109" s="86"/>
      <c r="J109" s="2"/>
      <c r="K109" s="2"/>
      <c r="L109" s="2"/>
      <c r="M109" s="2"/>
      <c r="N109" s="2"/>
      <c r="O109" s="28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</row>
    <row r="110" spans="2:48" ht="15.75" customHeight="1" x14ac:dyDescent="0.2">
      <c r="B110" s="2"/>
      <c r="C110" s="2"/>
      <c r="D110" s="2"/>
      <c r="E110" s="2"/>
      <c r="F110" s="2"/>
      <c r="G110" s="2"/>
      <c r="H110" s="86"/>
      <c r="I110" s="86"/>
      <c r="J110" s="2"/>
      <c r="K110" s="2"/>
      <c r="L110" s="2"/>
      <c r="M110" s="2"/>
      <c r="N110" s="2"/>
      <c r="O110" s="28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spans="2:48" ht="15.75" customHeight="1" x14ac:dyDescent="0.2">
      <c r="B111" s="2"/>
      <c r="C111" s="2"/>
      <c r="D111" s="2"/>
      <c r="E111" s="2"/>
      <c r="F111" s="2"/>
      <c r="G111" s="2"/>
      <c r="H111" s="86"/>
      <c r="I111" s="86"/>
      <c r="J111" s="2"/>
      <c r="K111" s="2"/>
      <c r="L111" s="2"/>
      <c r="M111" s="2"/>
      <c r="N111" s="2"/>
      <c r="O111" s="28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spans="2:48" ht="15.75" customHeight="1" x14ac:dyDescent="0.2">
      <c r="B112" s="2"/>
      <c r="C112" s="2"/>
      <c r="D112" s="2"/>
      <c r="E112" s="2"/>
      <c r="F112" s="2"/>
      <c r="G112" s="2"/>
      <c r="H112" s="86"/>
      <c r="I112" s="86"/>
      <c r="J112" s="2"/>
      <c r="K112" s="2"/>
      <c r="L112" s="2"/>
      <c r="M112" s="2"/>
      <c r="N112" s="2"/>
      <c r="O112" s="28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</row>
    <row r="113" spans="2:48" ht="15.75" customHeight="1" x14ac:dyDescent="0.2">
      <c r="B113" s="2"/>
      <c r="C113" s="2"/>
      <c r="D113" s="2"/>
      <c r="E113" s="2"/>
      <c r="F113" s="2"/>
      <c r="G113" s="2"/>
      <c r="H113" s="86"/>
      <c r="I113" s="86"/>
      <c r="J113" s="2"/>
      <c r="K113" s="2"/>
      <c r="L113" s="2"/>
      <c r="M113" s="2"/>
      <c r="N113" s="2"/>
      <c r="O113" s="28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spans="2:48" ht="15.75" customHeight="1" x14ac:dyDescent="0.2">
      <c r="B114" s="2"/>
      <c r="C114" s="2"/>
      <c r="D114" s="2"/>
      <c r="E114" s="2"/>
      <c r="F114" s="2"/>
      <c r="G114" s="2"/>
      <c r="H114" s="86"/>
      <c r="I114" s="86"/>
      <c r="J114" s="2"/>
      <c r="K114" s="2"/>
      <c r="L114" s="2"/>
      <c r="M114" s="2"/>
      <c r="N114" s="2"/>
      <c r="O114" s="28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spans="2:48" ht="15.75" customHeight="1" x14ac:dyDescent="0.2">
      <c r="B115" s="2"/>
      <c r="C115" s="2"/>
      <c r="D115" s="2"/>
      <c r="E115" s="2"/>
      <c r="F115" s="2"/>
      <c r="G115" s="2"/>
      <c r="H115" s="86"/>
      <c r="I115" s="86"/>
      <c r="J115" s="2"/>
      <c r="K115" s="2"/>
      <c r="L115" s="2"/>
      <c r="M115" s="2"/>
      <c r="N115" s="2"/>
      <c r="O115" s="28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spans="2:48" ht="15.75" customHeight="1" x14ac:dyDescent="0.2">
      <c r="B116" s="2"/>
      <c r="C116" s="2"/>
      <c r="D116" s="2"/>
      <c r="E116" s="2"/>
      <c r="F116" s="2"/>
      <c r="G116" s="2"/>
      <c r="H116" s="86"/>
      <c r="I116" s="86"/>
      <c r="J116" s="2"/>
      <c r="K116" s="2"/>
      <c r="L116" s="2"/>
      <c r="M116" s="2"/>
      <c r="N116" s="2"/>
      <c r="O116" s="28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spans="2:48" ht="15.75" customHeight="1" x14ac:dyDescent="0.2">
      <c r="B117" s="2"/>
      <c r="C117" s="2"/>
      <c r="D117" s="2"/>
      <c r="E117" s="2"/>
      <c r="F117" s="2"/>
      <c r="G117" s="2"/>
      <c r="H117" s="86"/>
      <c r="I117" s="86"/>
      <c r="J117" s="2"/>
      <c r="K117" s="2"/>
      <c r="L117" s="2"/>
      <c r="M117" s="2"/>
      <c r="N117" s="2"/>
      <c r="O117" s="28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spans="2:48" ht="15.75" customHeight="1" x14ac:dyDescent="0.2">
      <c r="B118" s="2"/>
      <c r="C118" s="2"/>
      <c r="D118" s="2"/>
      <c r="E118" s="2"/>
      <c r="F118" s="2"/>
      <c r="G118" s="2"/>
      <c r="H118" s="86"/>
      <c r="I118" s="86"/>
      <c r="J118" s="2"/>
      <c r="K118" s="2"/>
      <c r="L118" s="2"/>
      <c r="M118" s="2"/>
      <c r="N118" s="2"/>
      <c r="O118" s="28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spans="2:48" ht="15.75" customHeight="1" x14ac:dyDescent="0.2">
      <c r="B119" s="2"/>
      <c r="C119" s="2"/>
      <c r="D119" s="2"/>
      <c r="E119" s="2"/>
      <c r="F119" s="2"/>
      <c r="G119" s="2"/>
      <c r="H119" s="86"/>
      <c r="I119" s="86"/>
      <c r="J119" s="2"/>
      <c r="K119" s="2"/>
      <c r="L119" s="2"/>
      <c r="M119" s="2"/>
      <c r="N119" s="2"/>
      <c r="O119" s="28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spans="2:48" ht="15.75" customHeight="1" x14ac:dyDescent="0.2">
      <c r="B120" s="2"/>
      <c r="C120" s="2"/>
      <c r="D120" s="2"/>
      <c r="E120" s="2"/>
      <c r="F120" s="2"/>
      <c r="G120" s="2"/>
      <c r="H120" s="86"/>
      <c r="I120" s="86"/>
      <c r="J120" s="2"/>
      <c r="K120" s="2"/>
      <c r="L120" s="2"/>
      <c r="M120" s="2"/>
      <c r="N120" s="2"/>
      <c r="O120" s="28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spans="2:48" ht="15.75" customHeight="1" x14ac:dyDescent="0.2">
      <c r="B121" s="2"/>
      <c r="C121" s="2"/>
      <c r="D121" s="2"/>
      <c r="E121" s="2"/>
      <c r="F121" s="2"/>
      <c r="G121" s="2"/>
      <c r="H121" s="86"/>
      <c r="I121" s="86"/>
      <c r="J121" s="2"/>
      <c r="K121" s="2"/>
      <c r="L121" s="2"/>
      <c r="M121" s="2"/>
      <c r="N121" s="2"/>
      <c r="O121" s="28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spans="2:48" ht="15.75" customHeight="1" x14ac:dyDescent="0.2">
      <c r="B122" s="2"/>
      <c r="C122" s="2"/>
      <c r="D122" s="2"/>
      <c r="E122" s="2"/>
      <c r="F122" s="2"/>
      <c r="G122" s="2"/>
      <c r="H122" s="86"/>
      <c r="I122" s="86"/>
      <c r="J122" s="2"/>
      <c r="K122" s="2"/>
      <c r="L122" s="2"/>
      <c r="M122" s="2"/>
      <c r="N122" s="2"/>
      <c r="O122" s="28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spans="2:48" ht="15.75" customHeight="1" x14ac:dyDescent="0.2">
      <c r="B123" s="2"/>
      <c r="C123" s="2"/>
      <c r="D123" s="2"/>
      <c r="E123" s="2"/>
      <c r="F123" s="2"/>
      <c r="G123" s="2"/>
      <c r="H123" s="86"/>
      <c r="I123" s="86"/>
      <c r="J123" s="2"/>
      <c r="K123" s="2"/>
      <c r="L123" s="2"/>
      <c r="M123" s="2"/>
      <c r="N123" s="2"/>
      <c r="O123" s="28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spans="2:48" ht="15.75" customHeight="1" x14ac:dyDescent="0.2">
      <c r="B124" s="2"/>
      <c r="C124" s="2"/>
      <c r="D124" s="2"/>
      <c r="E124" s="2"/>
      <c r="F124" s="2"/>
      <c r="G124" s="2"/>
      <c r="H124" s="86"/>
      <c r="I124" s="86"/>
      <c r="J124" s="2"/>
      <c r="K124" s="2"/>
      <c r="L124" s="2"/>
      <c r="M124" s="2"/>
      <c r="N124" s="2"/>
      <c r="O124" s="28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2:48" ht="15.75" customHeight="1" x14ac:dyDescent="0.2">
      <c r="B125" s="2"/>
      <c r="C125" s="2"/>
      <c r="D125" s="2"/>
      <c r="E125" s="2"/>
      <c r="F125" s="2"/>
      <c r="G125" s="2"/>
      <c r="H125" s="86"/>
      <c r="I125" s="86"/>
      <c r="J125" s="2"/>
      <c r="K125" s="2"/>
      <c r="L125" s="2"/>
      <c r="M125" s="2"/>
      <c r="N125" s="2"/>
      <c r="O125" s="28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spans="2:48" ht="15.75" customHeight="1" x14ac:dyDescent="0.2">
      <c r="B126" s="2"/>
      <c r="C126" s="2"/>
      <c r="D126" s="2"/>
      <c r="E126" s="2"/>
      <c r="F126" s="2"/>
      <c r="G126" s="2"/>
      <c r="H126" s="86"/>
      <c r="I126" s="86"/>
      <c r="J126" s="2"/>
      <c r="K126" s="2"/>
      <c r="L126" s="2"/>
      <c r="M126" s="2"/>
      <c r="N126" s="2"/>
      <c r="O126" s="28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spans="2:48" ht="15.75" customHeight="1" x14ac:dyDescent="0.2">
      <c r="B127" s="2"/>
      <c r="C127" s="2"/>
      <c r="D127" s="2"/>
      <c r="E127" s="2"/>
      <c r="F127" s="2"/>
      <c r="G127" s="2"/>
      <c r="H127" s="86"/>
      <c r="I127" s="86"/>
      <c r="J127" s="2"/>
      <c r="K127" s="2"/>
      <c r="L127" s="2"/>
      <c r="M127" s="2"/>
      <c r="N127" s="2"/>
      <c r="O127" s="28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spans="2:48" ht="15.75" customHeight="1" x14ac:dyDescent="0.2">
      <c r="B128" s="2"/>
      <c r="C128" s="2"/>
      <c r="D128" s="2"/>
      <c r="E128" s="2"/>
      <c r="F128" s="2"/>
      <c r="G128" s="2"/>
      <c r="H128" s="86"/>
      <c r="I128" s="86"/>
      <c r="J128" s="2"/>
      <c r="K128" s="2"/>
      <c r="L128" s="2"/>
      <c r="M128" s="2"/>
      <c r="N128" s="2"/>
      <c r="O128" s="28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spans="2:48" ht="15.75" customHeight="1" x14ac:dyDescent="0.2">
      <c r="B129" s="2"/>
      <c r="C129" s="2"/>
      <c r="D129" s="2"/>
      <c r="E129" s="2"/>
      <c r="F129" s="2"/>
      <c r="G129" s="2"/>
      <c r="H129" s="86"/>
      <c r="I129" s="86"/>
      <c r="J129" s="2"/>
      <c r="K129" s="2"/>
      <c r="L129" s="2"/>
      <c r="M129" s="2"/>
      <c r="N129" s="2"/>
      <c r="O129" s="28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spans="2:48" ht="15.75" customHeight="1" x14ac:dyDescent="0.2">
      <c r="B130" s="2"/>
      <c r="C130" s="2"/>
      <c r="D130" s="2"/>
      <c r="E130" s="2"/>
      <c r="F130" s="2"/>
      <c r="G130" s="2"/>
      <c r="H130" s="86"/>
      <c r="I130" s="86"/>
      <c r="J130" s="2"/>
      <c r="K130" s="2"/>
      <c r="L130" s="2"/>
      <c r="M130" s="2"/>
      <c r="N130" s="2"/>
      <c r="O130" s="28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31" spans="2:48" ht="15.75" customHeight="1" x14ac:dyDescent="0.2">
      <c r="B131" s="2"/>
      <c r="C131" s="2"/>
      <c r="D131" s="2"/>
      <c r="E131" s="2"/>
      <c r="F131" s="2"/>
      <c r="G131" s="2"/>
      <c r="H131" s="86"/>
      <c r="I131" s="86"/>
      <c r="J131" s="2"/>
      <c r="K131" s="2"/>
      <c r="L131" s="2"/>
      <c r="M131" s="2"/>
      <c r="N131" s="2"/>
      <c r="O131" s="28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</row>
    <row r="132" spans="2:48" ht="15.75" customHeight="1" x14ac:dyDescent="0.2">
      <c r="B132" s="2"/>
      <c r="C132" s="2"/>
      <c r="D132" s="2"/>
      <c r="E132" s="2"/>
      <c r="F132" s="2"/>
      <c r="G132" s="2"/>
      <c r="H132" s="86"/>
      <c r="I132" s="86"/>
      <c r="J132" s="2"/>
      <c r="K132" s="2"/>
      <c r="L132" s="2"/>
      <c r="M132" s="2"/>
      <c r="N132" s="2"/>
      <c r="O132" s="28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</row>
    <row r="133" spans="2:48" ht="15.75" customHeight="1" x14ac:dyDescent="0.2">
      <c r="B133" s="2"/>
      <c r="C133" s="2"/>
      <c r="D133" s="2"/>
      <c r="E133" s="2"/>
      <c r="F133" s="2"/>
      <c r="G133" s="2"/>
      <c r="H133" s="86"/>
      <c r="I133" s="86"/>
      <c r="J133" s="2"/>
      <c r="K133" s="2"/>
      <c r="L133" s="2"/>
      <c r="M133" s="2"/>
      <c r="N133" s="2"/>
      <c r="O133" s="28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</row>
    <row r="134" spans="2:48" ht="15.75" customHeight="1" x14ac:dyDescent="0.2">
      <c r="B134" s="2"/>
      <c r="C134" s="2"/>
      <c r="D134" s="2"/>
      <c r="E134" s="2"/>
      <c r="F134" s="2"/>
      <c r="G134" s="2"/>
      <c r="H134" s="86"/>
      <c r="I134" s="86"/>
      <c r="J134" s="2"/>
      <c r="K134" s="2"/>
      <c r="L134" s="2"/>
      <c r="M134" s="2"/>
      <c r="N134" s="2"/>
      <c r="O134" s="28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2:48" ht="15.75" customHeight="1" x14ac:dyDescent="0.2">
      <c r="B135" s="2"/>
      <c r="C135" s="2"/>
      <c r="D135" s="2"/>
      <c r="E135" s="2"/>
      <c r="F135" s="2"/>
      <c r="G135" s="2"/>
      <c r="H135" s="86"/>
      <c r="I135" s="86"/>
      <c r="J135" s="2"/>
      <c r="K135" s="2"/>
      <c r="L135" s="2"/>
      <c r="M135" s="2"/>
      <c r="N135" s="2"/>
      <c r="O135" s="28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</row>
    <row r="136" spans="2:48" ht="15.75" customHeight="1" x14ac:dyDescent="0.2">
      <c r="B136" s="2"/>
      <c r="C136" s="2"/>
      <c r="D136" s="2"/>
      <c r="E136" s="2"/>
      <c r="F136" s="2"/>
      <c r="G136" s="2"/>
      <c r="H136" s="86"/>
      <c r="I136" s="86"/>
      <c r="J136" s="2"/>
      <c r="K136" s="2"/>
      <c r="L136" s="2"/>
      <c r="M136" s="2"/>
      <c r="N136" s="2"/>
      <c r="O136" s="28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</row>
    <row r="137" spans="2:48" ht="15.75" customHeight="1" x14ac:dyDescent="0.2">
      <c r="B137" s="2"/>
      <c r="C137" s="2"/>
      <c r="D137" s="2"/>
      <c r="E137" s="2"/>
      <c r="F137" s="2"/>
      <c r="G137" s="2"/>
      <c r="H137" s="86"/>
      <c r="I137" s="86"/>
      <c r="J137" s="2"/>
      <c r="K137" s="2"/>
      <c r="L137" s="2"/>
      <c r="M137" s="2"/>
      <c r="N137" s="2"/>
      <c r="O137" s="28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</row>
    <row r="138" spans="2:48" ht="15.75" customHeight="1" x14ac:dyDescent="0.2">
      <c r="B138" s="2"/>
      <c r="C138" s="2"/>
      <c r="D138" s="2"/>
      <c r="E138" s="2"/>
      <c r="F138" s="2"/>
      <c r="G138" s="2"/>
      <c r="H138" s="86"/>
      <c r="I138" s="86"/>
      <c r="J138" s="2"/>
      <c r="K138" s="2"/>
      <c r="L138" s="2"/>
      <c r="M138" s="2"/>
      <c r="N138" s="2"/>
      <c r="O138" s="28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</row>
    <row r="139" spans="2:48" ht="15.75" customHeight="1" x14ac:dyDescent="0.2">
      <c r="B139" s="2"/>
      <c r="C139" s="2"/>
      <c r="D139" s="2"/>
      <c r="E139" s="2"/>
      <c r="F139" s="2"/>
      <c r="G139" s="2"/>
      <c r="H139" s="86"/>
      <c r="I139" s="86"/>
      <c r="J139" s="2"/>
      <c r="K139" s="2"/>
      <c r="L139" s="2"/>
      <c r="M139" s="2"/>
      <c r="N139" s="2"/>
      <c r="O139" s="28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</row>
    <row r="140" spans="2:48" ht="15.75" customHeight="1" x14ac:dyDescent="0.2">
      <c r="B140" s="2"/>
      <c r="C140" s="2"/>
      <c r="D140" s="2"/>
      <c r="E140" s="2"/>
      <c r="F140" s="2"/>
      <c r="G140" s="2"/>
      <c r="H140" s="86"/>
      <c r="I140" s="86"/>
      <c r="J140" s="2"/>
      <c r="K140" s="2"/>
      <c r="L140" s="2"/>
      <c r="M140" s="2"/>
      <c r="N140" s="2"/>
      <c r="O140" s="28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</row>
    <row r="141" spans="2:48" ht="15.75" customHeight="1" x14ac:dyDescent="0.2">
      <c r="B141" s="2"/>
      <c r="C141" s="2"/>
      <c r="D141" s="2"/>
      <c r="E141" s="2"/>
      <c r="F141" s="2"/>
      <c r="G141" s="2"/>
      <c r="H141" s="86"/>
      <c r="I141" s="86"/>
      <c r="J141" s="2"/>
      <c r="K141" s="2"/>
      <c r="L141" s="2"/>
      <c r="M141" s="2"/>
      <c r="N141" s="2"/>
      <c r="O141" s="28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</row>
    <row r="142" spans="2:48" ht="15.75" customHeight="1" x14ac:dyDescent="0.2">
      <c r="B142" s="2"/>
      <c r="C142" s="2"/>
      <c r="D142" s="2"/>
      <c r="E142" s="2"/>
      <c r="F142" s="2"/>
      <c r="G142" s="2"/>
      <c r="H142" s="86"/>
      <c r="I142" s="86"/>
      <c r="J142" s="2"/>
      <c r="K142" s="2"/>
      <c r="L142" s="2"/>
      <c r="M142" s="2"/>
      <c r="N142" s="2"/>
      <c r="O142" s="28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</row>
    <row r="143" spans="2:48" ht="15.75" customHeight="1" x14ac:dyDescent="0.2">
      <c r="B143" s="2"/>
      <c r="C143" s="2"/>
      <c r="D143" s="2"/>
      <c r="E143" s="2"/>
      <c r="F143" s="2"/>
      <c r="G143" s="2"/>
      <c r="H143" s="86"/>
      <c r="I143" s="86"/>
      <c r="J143" s="2"/>
      <c r="K143" s="2"/>
      <c r="L143" s="2"/>
      <c r="M143" s="2"/>
      <c r="N143" s="2"/>
      <c r="O143" s="28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</row>
    <row r="144" spans="2:48" ht="15.75" customHeight="1" x14ac:dyDescent="0.2">
      <c r="B144" s="2"/>
      <c r="C144" s="2"/>
      <c r="D144" s="2"/>
      <c r="E144" s="2"/>
      <c r="F144" s="2"/>
      <c r="G144" s="2"/>
      <c r="H144" s="86"/>
      <c r="I144" s="86"/>
      <c r="J144" s="2"/>
      <c r="K144" s="2"/>
      <c r="L144" s="2"/>
      <c r="M144" s="2"/>
      <c r="N144" s="2"/>
      <c r="O144" s="28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</row>
    <row r="145" spans="2:48" ht="15.75" customHeight="1" x14ac:dyDescent="0.2">
      <c r="B145" s="2"/>
      <c r="C145" s="2"/>
      <c r="D145" s="2"/>
      <c r="E145" s="2"/>
      <c r="F145" s="2"/>
      <c r="G145" s="2"/>
      <c r="H145" s="86"/>
      <c r="I145" s="86"/>
      <c r="J145" s="2"/>
      <c r="K145" s="2"/>
      <c r="L145" s="2"/>
      <c r="M145" s="2"/>
      <c r="N145" s="2"/>
      <c r="O145" s="28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</row>
    <row r="146" spans="2:48" ht="15.75" customHeight="1" x14ac:dyDescent="0.2">
      <c r="B146" s="2"/>
      <c r="C146" s="2"/>
      <c r="D146" s="2"/>
      <c r="E146" s="2"/>
      <c r="F146" s="2"/>
      <c r="G146" s="2"/>
      <c r="H146" s="86"/>
      <c r="I146" s="86"/>
      <c r="J146" s="2"/>
      <c r="K146" s="2"/>
      <c r="L146" s="2"/>
      <c r="M146" s="2"/>
      <c r="N146" s="2"/>
      <c r="O146" s="28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</row>
    <row r="147" spans="2:48" ht="15.75" customHeight="1" x14ac:dyDescent="0.2">
      <c r="B147" s="2"/>
      <c r="C147" s="2"/>
      <c r="D147" s="2"/>
      <c r="E147" s="2"/>
      <c r="F147" s="2"/>
      <c r="G147" s="2"/>
      <c r="H147" s="86"/>
      <c r="I147" s="86"/>
      <c r="J147" s="2"/>
      <c r="K147" s="2"/>
      <c r="L147" s="2"/>
      <c r="M147" s="2"/>
      <c r="N147" s="2"/>
      <c r="O147" s="28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</row>
    <row r="148" spans="2:48" ht="15.75" customHeight="1" x14ac:dyDescent="0.2">
      <c r="B148" s="2"/>
      <c r="C148" s="2"/>
      <c r="D148" s="2"/>
      <c r="E148" s="2"/>
      <c r="F148" s="2"/>
      <c r="G148" s="2"/>
      <c r="H148" s="86"/>
      <c r="I148" s="86"/>
      <c r="J148" s="2"/>
      <c r="K148" s="2"/>
      <c r="L148" s="2"/>
      <c r="M148" s="2"/>
      <c r="N148" s="2"/>
      <c r="O148" s="28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2:48" ht="15.75" customHeight="1" x14ac:dyDescent="0.2">
      <c r="B149" s="2"/>
      <c r="C149" s="2"/>
      <c r="D149" s="2"/>
      <c r="E149" s="2"/>
      <c r="F149" s="2"/>
      <c r="G149" s="2"/>
      <c r="H149" s="86"/>
      <c r="I149" s="86"/>
      <c r="J149" s="2"/>
      <c r="K149" s="2"/>
      <c r="L149" s="2"/>
      <c r="M149" s="2"/>
      <c r="N149" s="2"/>
      <c r="O149" s="28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</row>
    <row r="150" spans="2:48" ht="15.75" customHeight="1" x14ac:dyDescent="0.2">
      <c r="B150" s="2"/>
      <c r="C150" s="2"/>
      <c r="D150" s="2"/>
      <c r="E150" s="2"/>
      <c r="F150" s="2"/>
      <c r="G150" s="2"/>
      <c r="H150" s="86"/>
      <c r="I150" s="86"/>
      <c r="J150" s="2"/>
      <c r="K150" s="2"/>
      <c r="L150" s="2"/>
      <c r="M150" s="2"/>
      <c r="N150" s="2"/>
      <c r="O150" s="28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</row>
    <row r="151" spans="2:48" ht="15.75" customHeight="1" x14ac:dyDescent="0.2">
      <c r="B151" s="2"/>
      <c r="C151" s="2"/>
      <c r="D151" s="2"/>
      <c r="E151" s="2"/>
      <c r="F151" s="2"/>
      <c r="G151" s="2"/>
      <c r="H151" s="86"/>
      <c r="I151" s="86"/>
      <c r="J151" s="2"/>
      <c r="K151" s="2"/>
      <c r="L151" s="2"/>
      <c r="M151" s="2"/>
      <c r="N151" s="2"/>
      <c r="O151" s="28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</row>
    <row r="152" spans="2:48" ht="15.75" customHeight="1" x14ac:dyDescent="0.2">
      <c r="B152" s="2"/>
      <c r="C152" s="2"/>
      <c r="D152" s="2"/>
      <c r="E152" s="2"/>
      <c r="F152" s="2"/>
      <c r="G152" s="2"/>
      <c r="H152" s="86"/>
      <c r="I152" s="86"/>
      <c r="J152" s="2"/>
      <c r="K152" s="2"/>
      <c r="L152" s="2"/>
      <c r="M152" s="2"/>
      <c r="N152" s="2"/>
      <c r="O152" s="28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</row>
    <row r="153" spans="2:48" ht="15.75" customHeight="1" x14ac:dyDescent="0.2">
      <c r="B153" s="2"/>
      <c r="C153" s="2"/>
      <c r="D153" s="2"/>
      <c r="E153" s="2"/>
      <c r="F153" s="2"/>
      <c r="G153" s="2"/>
      <c r="H153" s="86"/>
      <c r="I153" s="86"/>
      <c r="J153" s="2"/>
      <c r="K153" s="2"/>
      <c r="L153" s="2"/>
      <c r="M153" s="2"/>
      <c r="N153" s="2"/>
      <c r="O153" s="28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</row>
    <row r="154" spans="2:48" ht="15.75" customHeight="1" x14ac:dyDescent="0.2">
      <c r="B154" s="2"/>
      <c r="C154" s="2"/>
      <c r="D154" s="2"/>
      <c r="E154" s="2"/>
      <c r="F154" s="2"/>
      <c r="G154" s="2"/>
      <c r="H154" s="86"/>
      <c r="I154" s="86"/>
      <c r="J154" s="2"/>
      <c r="K154" s="2"/>
      <c r="L154" s="2"/>
      <c r="M154" s="2"/>
      <c r="N154" s="2"/>
      <c r="O154" s="28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</row>
    <row r="155" spans="2:48" ht="15.75" customHeight="1" x14ac:dyDescent="0.2">
      <c r="B155" s="2"/>
      <c r="C155" s="2"/>
      <c r="D155" s="2"/>
      <c r="E155" s="2"/>
      <c r="F155" s="2"/>
      <c r="G155" s="2"/>
      <c r="H155" s="86"/>
      <c r="I155" s="86"/>
      <c r="J155" s="2"/>
      <c r="K155" s="2"/>
      <c r="L155" s="2"/>
      <c r="M155" s="2"/>
      <c r="N155" s="2"/>
      <c r="O155" s="28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</row>
    <row r="156" spans="2:48" ht="15.75" customHeight="1" x14ac:dyDescent="0.2">
      <c r="B156" s="2"/>
      <c r="C156" s="2"/>
      <c r="D156" s="2"/>
      <c r="E156" s="2"/>
      <c r="F156" s="2"/>
      <c r="G156" s="2"/>
      <c r="H156" s="86"/>
      <c r="I156" s="86"/>
      <c r="J156" s="2"/>
      <c r="K156" s="2"/>
      <c r="L156" s="2"/>
      <c r="M156" s="2"/>
      <c r="N156" s="2"/>
      <c r="O156" s="28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</row>
    <row r="157" spans="2:48" ht="15.75" customHeight="1" x14ac:dyDescent="0.2">
      <c r="B157" s="2"/>
      <c r="C157" s="2"/>
      <c r="D157" s="2"/>
      <c r="E157" s="2"/>
      <c r="F157" s="2"/>
      <c r="G157" s="2"/>
      <c r="H157" s="86"/>
      <c r="I157" s="86"/>
      <c r="J157" s="2"/>
      <c r="K157" s="2"/>
      <c r="L157" s="2"/>
      <c r="M157" s="2"/>
      <c r="N157" s="2"/>
      <c r="O157" s="28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</row>
    <row r="158" spans="2:48" ht="15.75" customHeight="1" x14ac:dyDescent="0.2">
      <c r="B158" s="2"/>
      <c r="C158" s="2"/>
      <c r="D158" s="2"/>
      <c r="E158" s="2"/>
      <c r="F158" s="2"/>
      <c r="G158" s="2"/>
      <c r="H158" s="86"/>
      <c r="I158" s="86"/>
      <c r="J158" s="2"/>
      <c r="K158" s="2"/>
      <c r="L158" s="2"/>
      <c r="M158" s="2"/>
      <c r="N158" s="2"/>
      <c r="O158" s="28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</row>
    <row r="159" spans="2:48" ht="15.75" customHeight="1" x14ac:dyDescent="0.2">
      <c r="B159" s="2"/>
      <c r="C159" s="2"/>
      <c r="D159" s="2"/>
      <c r="E159" s="2"/>
      <c r="F159" s="2"/>
      <c r="G159" s="2"/>
      <c r="H159" s="86"/>
      <c r="I159" s="86"/>
      <c r="J159" s="2"/>
      <c r="K159" s="2"/>
      <c r="L159" s="2"/>
      <c r="M159" s="2"/>
      <c r="N159" s="2"/>
      <c r="O159" s="28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</row>
    <row r="160" spans="2:48" ht="15.75" customHeight="1" x14ac:dyDescent="0.2">
      <c r="B160" s="2"/>
      <c r="C160" s="2"/>
      <c r="D160" s="2"/>
      <c r="E160" s="2"/>
      <c r="F160" s="2"/>
      <c r="G160" s="2"/>
      <c r="H160" s="86"/>
      <c r="I160" s="86"/>
      <c r="J160" s="2"/>
      <c r="K160" s="2"/>
      <c r="L160" s="2"/>
      <c r="M160" s="2"/>
      <c r="N160" s="2"/>
      <c r="O160" s="28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2:48" ht="15.75" customHeight="1" x14ac:dyDescent="0.2">
      <c r="B161" s="2"/>
      <c r="C161" s="2"/>
      <c r="D161" s="2"/>
      <c r="E161" s="2"/>
      <c r="F161" s="2"/>
      <c r="G161" s="2"/>
      <c r="H161" s="86"/>
      <c r="I161" s="86"/>
      <c r="J161" s="2"/>
      <c r="K161" s="2"/>
      <c r="L161" s="2"/>
      <c r="M161" s="2"/>
      <c r="N161" s="2"/>
      <c r="O161" s="28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</row>
    <row r="162" spans="2:48" ht="15.75" customHeight="1" x14ac:dyDescent="0.2">
      <c r="B162" s="2"/>
      <c r="C162" s="2"/>
      <c r="D162" s="2"/>
      <c r="E162" s="2"/>
      <c r="F162" s="2"/>
      <c r="G162" s="2"/>
      <c r="H162" s="86"/>
      <c r="I162" s="86"/>
      <c r="J162" s="2"/>
      <c r="K162" s="2"/>
      <c r="L162" s="2"/>
      <c r="M162" s="2"/>
      <c r="N162" s="2"/>
      <c r="O162" s="28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</row>
    <row r="163" spans="2:48" ht="15.75" customHeight="1" x14ac:dyDescent="0.2">
      <c r="B163" s="2"/>
      <c r="C163" s="2"/>
      <c r="D163" s="2"/>
      <c r="E163" s="2"/>
      <c r="F163" s="2"/>
      <c r="G163" s="2"/>
      <c r="H163" s="86"/>
      <c r="I163" s="86"/>
      <c r="J163" s="2"/>
      <c r="K163" s="2"/>
      <c r="L163" s="2"/>
      <c r="M163" s="2"/>
      <c r="N163" s="2"/>
      <c r="O163" s="28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</row>
    <row r="164" spans="2:48" ht="15.75" customHeight="1" x14ac:dyDescent="0.2">
      <c r="B164" s="2"/>
      <c r="C164" s="2"/>
      <c r="D164" s="2"/>
      <c r="E164" s="2"/>
      <c r="F164" s="2"/>
      <c r="G164" s="2"/>
      <c r="H164" s="86"/>
      <c r="I164" s="86"/>
      <c r="J164" s="2"/>
      <c r="K164" s="2"/>
      <c r="L164" s="2"/>
      <c r="M164" s="2"/>
      <c r="N164" s="2"/>
      <c r="O164" s="28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</row>
    <row r="165" spans="2:48" ht="15.75" customHeight="1" x14ac:dyDescent="0.2">
      <c r="B165" s="2"/>
      <c r="C165" s="2"/>
      <c r="D165" s="2"/>
      <c r="E165" s="2"/>
      <c r="F165" s="2"/>
      <c r="G165" s="2"/>
      <c r="H165" s="86"/>
      <c r="I165" s="86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</row>
    <row r="166" spans="2:48" ht="15.75" customHeight="1" x14ac:dyDescent="0.2">
      <c r="B166" s="2"/>
      <c r="C166" s="2"/>
      <c r="D166" s="2"/>
      <c r="E166" s="2"/>
      <c r="F166" s="2"/>
      <c r="G166" s="2"/>
      <c r="H166" s="86"/>
      <c r="I166" s="86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</row>
    <row r="167" spans="2:48" ht="15.75" customHeight="1" x14ac:dyDescent="0.2">
      <c r="B167" s="2"/>
      <c r="C167" s="2"/>
      <c r="D167" s="2"/>
      <c r="E167" s="2"/>
      <c r="F167" s="2"/>
      <c r="G167" s="2"/>
      <c r="H167" s="86"/>
      <c r="I167" s="86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</row>
    <row r="168" spans="2:48" ht="15.75" customHeight="1" x14ac:dyDescent="0.2">
      <c r="B168" s="2"/>
      <c r="C168" s="2"/>
      <c r="D168" s="2"/>
      <c r="E168" s="2"/>
      <c r="F168" s="2"/>
      <c r="G168" s="2"/>
      <c r="H168" s="86"/>
      <c r="I168" s="86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</row>
    <row r="169" spans="2:48" ht="15.75" customHeight="1" x14ac:dyDescent="0.2">
      <c r="B169" s="2"/>
      <c r="C169" s="2"/>
      <c r="D169" s="2"/>
      <c r="E169" s="2"/>
      <c r="F169" s="2"/>
      <c r="G169" s="2"/>
      <c r="H169" s="86"/>
      <c r="I169" s="86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</row>
    <row r="170" spans="2:48" ht="15.75" customHeight="1" x14ac:dyDescent="0.2">
      <c r="B170" s="2"/>
      <c r="C170" s="2"/>
      <c r="D170" s="2"/>
      <c r="E170" s="2"/>
      <c r="F170" s="2"/>
      <c r="G170" s="2"/>
      <c r="H170" s="86"/>
      <c r="I170" s="86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</row>
    <row r="171" spans="2:48" ht="15.75" customHeight="1" x14ac:dyDescent="0.2">
      <c r="B171" s="2"/>
      <c r="C171" s="2"/>
      <c r="D171" s="2"/>
      <c r="E171" s="2"/>
      <c r="F171" s="2"/>
      <c r="G171" s="2"/>
      <c r="H171" s="86"/>
      <c r="I171" s="86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</row>
    <row r="172" spans="2:48" ht="15.75" customHeight="1" x14ac:dyDescent="0.2">
      <c r="B172" s="2"/>
      <c r="C172" s="2"/>
      <c r="D172" s="2"/>
      <c r="E172" s="2"/>
      <c r="F172" s="2"/>
      <c r="G172" s="2"/>
      <c r="H172" s="86"/>
      <c r="I172" s="86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2:48" ht="15.75" customHeight="1" x14ac:dyDescent="0.2">
      <c r="B173" s="2"/>
      <c r="C173" s="2"/>
      <c r="D173" s="2"/>
      <c r="E173" s="2"/>
      <c r="F173" s="2"/>
      <c r="G173" s="2"/>
      <c r="H173" s="86"/>
      <c r="I173" s="86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</row>
    <row r="174" spans="2:48" ht="15.75" customHeight="1" x14ac:dyDescent="0.2">
      <c r="B174" s="2"/>
      <c r="C174" s="2"/>
      <c r="D174" s="2"/>
      <c r="E174" s="2"/>
      <c r="F174" s="2"/>
      <c r="G174" s="2"/>
      <c r="H174" s="86"/>
      <c r="I174" s="86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</row>
    <row r="175" spans="2:48" ht="15.75" customHeight="1" x14ac:dyDescent="0.2">
      <c r="B175" s="2"/>
      <c r="C175" s="2"/>
      <c r="D175" s="2"/>
      <c r="E175" s="2"/>
      <c r="F175" s="2"/>
      <c r="G175" s="2"/>
      <c r="H175" s="86"/>
      <c r="I175" s="86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</row>
    <row r="176" spans="2:48" ht="15.75" customHeight="1" x14ac:dyDescent="0.2">
      <c r="B176" s="2"/>
      <c r="C176" s="2"/>
      <c r="D176" s="2"/>
      <c r="E176" s="2"/>
      <c r="F176" s="2"/>
      <c r="G176" s="2"/>
      <c r="H176" s="86"/>
      <c r="I176" s="86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</row>
    <row r="177" spans="2:48" ht="15.75" customHeight="1" x14ac:dyDescent="0.2">
      <c r="B177" s="2"/>
      <c r="C177" s="2"/>
      <c r="D177" s="27"/>
      <c r="E177" s="27"/>
      <c r="F177" s="27"/>
      <c r="G177" s="27"/>
      <c r="H177" s="243"/>
      <c r="I177" s="243"/>
      <c r="J177" s="27"/>
      <c r="K177" s="27"/>
      <c r="L177" s="27"/>
      <c r="M177" s="27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</row>
    <row r="178" spans="2:48" ht="15.75" customHeight="1" x14ac:dyDescent="0.2">
      <c r="B178" s="2"/>
      <c r="C178" s="2"/>
      <c r="D178" s="27"/>
      <c r="E178" s="27"/>
      <c r="F178" s="27"/>
      <c r="G178" s="27"/>
      <c r="H178" s="243"/>
      <c r="I178" s="243"/>
      <c r="J178" s="27"/>
      <c r="K178" s="27"/>
      <c r="L178" s="27"/>
      <c r="M178" s="27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</row>
    <row r="179" spans="2:48" ht="15.75" customHeight="1" x14ac:dyDescent="0.2">
      <c r="B179" s="2"/>
      <c r="C179" s="2"/>
      <c r="D179" s="27"/>
      <c r="E179" s="27"/>
      <c r="F179" s="27"/>
      <c r="G179" s="27"/>
      <c r="H179" s="243"/>
      <c r="I179" s="243"/>
      <c r="J179" s="27"/>
      <c r="K179" s="27"/>
      <c r="L179" s="27"/>
      <c r="M179" s="27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</row>
    <row r="180" spans="2:48" ht="15.75" customHeight="1" x14ac:dyDescent="0.2">
      <c r="B180" s="2"/>
      <c r="C180" s="2"/>
      <c r="D180" s="27"/>
      <c r="E180" s="27"/>
      <c r="F180" s="27"/>
      <c r="G180" s="27"/>
      <c r="H180" s="243"/>
      <c r="I180" s="243"/>
      <c r="J180" s="27"/>
      <c r="K180" s="27"/>
      <c r="L180" s="27"/>
      <c r="M180" s="27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</row>
    <row r="181" spans="2:48" ht="15.75" customHeight="1" x14ac:dyDescent="0.2">
      <c r="B181" s="2"/>
      <c r="C181" s="2"/>
      <c r="D181" s="27"/>
      <c r="E181" s="27"/>
      <c r="F181" s="27"/>
      <c r="G181" s="27"/>
      <c r="H181" s="243"/>
      <c r="I181" s="243"/>
      <c r="J181" s="27"/>
      <c r="K181" s="27"/>
      <c r="L181" s="27"/>
      <c r="M181" s="27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</row>
    <row r="182" spans="2:48" ht="15.75" customHeight="1" x14ac:dyDescent="0.2">
      <c r="B182" s="2"/>
      <c r="C182" s="2"/>
      <c r="D182" s="27"/>
      <c r="E182" s="27"/>
      <c r="F182" s="27"/>
      <c r="G182" s="27"/>
      <c r="H182" s="243"/>
      <c r="I182" s="243"/>
      <c r="J182" s="27"/>
      <c r="K182" s="27"/>
      <c r="L182" s="27"/>
      <c r="M182" s="27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</row>
    <row r="183" spans="2:48" ht="15.75" customHeight="1" x14ac:dyDescent="0.2">
      <c r="B183" s="2"/>
      <c r="C183" s="2"/>
      <c r="D183" s="27"/>
      <c r="E183" s="27"/>
      <c r="F183" s="27"/>
      <c r="G183" s="27"/>
      <c r="H183" s="243"/>
      <c r="I183" s="243"/>
      <c r="J183" s="27"/>
      <c r="K183" s="27"/>
      <c r="L183" s="27"/>
      <c r="M183" s="27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</row>
    <row r="184" spans="2:48" ht="15.75" customHeight="1" x14ac:dyDescent="0.2">
      <c r="B184" s="2"/>
      <c r="C184" s="2"/>
      <c r="D184" s="27"/>
      <c r="E184" s="27"/>
      <c r="F184" s="27"/>
      <c r="G184" s="27"/>
      <c r="H184" s="243"/>
      <c r="I184" s="243"/>
      <c r="J184" s="27"/>
      <c r="K184" s="27"/>
      <c r="L184" s="27"/>
      <c r="M184" s="27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</row>
    <row r="185" spans="2:48" ht="15.75" customHeight="1" x14ac:dyDescent="0.2">
      <c r="B185" s="2"/>
      <c r="C185" s="2"/>
      <c r="D185" s="27"/>
      <c r="E185" s="27"/>
      <c r="F185" s="27"/>
      <c r="G185" s="27"/>
      <c r="H185" s="243"/>
      <c r="I185" s="243"/>
      <c r="J185" s="27"/>
      <c r="K185" s="27"/>
      <c r="L185" s="27"/>
      <c r="M185" s="27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</row>
    <row r="186" spans="2:48" ht="15.75" customHeight="1" x14ac:dyDescent="0.2">
      <c r="B186" s="2"/>
      <c r="C186" s="2"/>
      <c r="D186" s="27"/>
      <c r="E186" s="27"/>
      <c r="F186" s="27"/>
      <c r="G186" s="27"/>
      <c r="H186" s="243"/>
      <c r="I186" s="243"/>
      <c r="J186" s="27"/>
      <c r="K186" s="27"/>
      <c r="L186" s="27"/>
      <c r="M186" s="27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</row>
    <row r="187" spans="2:48" ht="15.75" customHeight="1" x14ac:dyDescent="0.2">
      <c r="B187" s="2"/>
      <c r="C187" s="2"/>
      <c r="D187" s="27"/>
      <c r="E187" s="27"/>
      <c r="F187" s="27"/>
      <c r="G187" s="27"/>
      <c r="H187" s="243"/>
      <c r="I187" s="243"/>
      <c r="J187" s="27"/>
      <c r="K187" s="27"/>
      <c r="L187" s="27"/>
      <c r="M187" s="27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</row>
    <row r="188" spans="2:48" ht="15.75" customHeight="1" x14ac:dyDescent="0.2">
      <c r="B188" s="2"/>
      <c r="C188" s="2"/>
      <c r="D188" s="27"/>
      <c r="E188" s="27"/>
      <c r="F188" s="27"/>
      <c r="G188" s="27"/>
      <c r="H188" s="243"/>
      <c r="I188" s="243"/>
      <c r="J188" s="27"/>
      <c r="K188" s="27"/>
      <c r="L188" s="27"/>
      <c r="M188" s="27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</row>
    <row r="189" spans="2:48" ht="15.75" customHeight="1" x14ac:dyDescent="0.2">
      <c r="B189" s="2"/>
      <c r="C189" s="2"/>
      <c r="D189" s="27"/>
      <c r="E189" s="27"/>
      <c r="F189" s="27"/>
      <c r="G189" s="27"/>
      <c r="H189" s="243"/>
      <c r="I189" s="243"/>
      <c r="J189" s="27"/>
      <c r="K189" s="27"/>
      <c r="L189" s="27"/>
      <c r="M189" s="27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</row>
    <row r="190" spans="2:48" ht="15.75" customHeight="1" x14ac:dyDescent="0.2">
      <c r="B190" s="2"/>
      <c r="C190" s="2"/>
      <c r="D190" s="27"/>
      <c r="E190" s="27"/>
      <c r="F190" s="27"/>
      <c r="G190" s="27"/>
      <c r="H190" s="243"/>
      <c r="I190" s="243"/>
      <c r="J190" s="27"/>
      <c r="K190" s="27"/>
      <c r="L190" s="27"/>
      <c r="M190" s="27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</row>
    <row r="191" spans="2:48" ht="15.75" customHeight="1" x14ac:dyDescent="0.2">
      <c r="B191" s="2"/>
      <c r="C191" s="2"/>
      <c r="D191" s="27"/>
      <c r="E191" s="27"/>
      <c r="F191" s="27"/>
      <c r="G191" s="27"/>
      <c r="H191" s="243"/>
      <c r="I191" s="243"/>
      <c r="J191" s="27"/>
      <c r="K191" s="27"/>
      <c r="L191" s="27"/>
      <c r="M191" s="27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</row>
    <row r="192" spans="2:48" ht="15.75" customHeight="1" x14ac:dyDescent="0.2">
      <c r="B192" s="2"/>
      <c r="C192" s="2"/>
      <c r="D192" s="27"/>
      <c r="E192" s="27"/>
      <c r="F192" s="27"/>
      <c r="G192" s="27"/>
      <c r="H192" s="243"/>
      <c r="I192" s="243"/>
      <c r="J192" s="27"/>
      <c r="K192" s="27"/>
      <c r="L192" s="27"/>
      <c r="M192" s="27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</row>
    <row r="193" spans="2:48" ht="15.75" customHeight="1" x14ac:dyDescent="0.2">
      <c r="B193" s="2"/>
      <c r="C193" s="2"/>
      <c r="D193" s="27"/>
      <c r="E193" s="27"/>
      <c r="F193" s="27"/>
      <c r="G193" s="27"/>
      <c r="H193" s="243"/>
      <c r="I193" s="243"/>
      <c r="J193" s="27"/>
      <c r="K193" s="27"/>
      <c r="L193" s="27"/>
      <c r="M193" s="27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</row>
    <row r="194" spans="2:48" ht="15.75" customHeight="1" x14ac:dyDescent="0.2">
      <c r="B194" s="2"/>
      <c r="C194" s="2"/>
      <c r="D194" s="27"/>
      <c r="E194" s="27"/>
      <c r="F194" s="27"/>
      <c r="G194" s="27"/>
      <c r="H194" s="243"/>
      <c r="I194" s="243"/>
      <c r="J194" s="27"/>
      <c r="K194" s="27"/>
      <c r="L194" s="27"/>
      <c r="M194" s="27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</row>
    <row r="195" spans="2:48" ht="15.75" customHeight="1" x14ac:dyDescent="0.2">
      <c r="B195" s="2"/>
      <c r="C195" s="2"/>
      <c r="D195" s="27"/>
      <c r="E195" s="27"/>
      <c r="F195" s="27"/>
      <c r="G195" s="27"/>
      <c r="H195" s="243"/>
      <c r="I195" s="243"/>
      <c r="J195" s="27"/>
      <c r="K195" s="27"/>
      <c r="L195" s="27"/>
      <c r="M195" s="27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</row>
    <row r="196" spans="2:48" ht="15.75" customHeight="1" x14ac:dyDescent="0.2">
      <c r="B196" s="2"/>
      <c r="C196" s="2"/>
      <c r="D196" s="27"/>
      <c r="E196" s="27"/>
      <c r="F196" s="27"/>
      <c r="G196" s="27"/>
      <c r="H196" s="243"/>
      <c r="I196" s="243"/>
      <c r="J196" s="27"/>
      <c r="K196" s="27"/>
      <c r="L196" s="27"/>
      <c r="M196" s="27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2:48" ht="15.75" customHeight="1" x14ac:dyDescent="0.2">
      <c r="B197" s="2"/>
      <c r="C197" s="2"/>
      <c r="D197" s="27"/>
      <c r="E197" s="27"/>
      <c r="F197" s="27"/>
      <c r="G197" s="27"/>
      <c r="H197" s="243"/>
      <c r="I197" s="243"/>
      <c r="J197" s="27"/>
      <c r="K197" s="27"/>
      <c r="L197" s="27"/>
      <c r="M197" s="27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</row>
    <row r="198" spans="2:48" ht="15.75" customHeight="1" x14ac:dyDescent="0.2">
      <c r="B198" s="2"/>
      <c r="C198" s="2"/>
      <c r="D198" s="27"/>
      <c r="E198" s="27"/>
      <c r="F198" s="27"/>
      <c r="G198" s="27"/>
      <c r="H198" s="243"/>
      <c r="I198" s="243"/>
      <c r="J198" s="27"/>
      <c r="K198" s="27"/>
      <c r="L198" s="27"/>
      <c r="M198" s="27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</row>
    <row r="199" spans="2:48" ht="15.75" customHeight="1" x14ac:dyDescent="0.2">
      <c r="B199" s="2"/>
      <c r="C199" s="2"/>
      <c r="D199" s="27"/>
      <c r="E199" s="27"/>
      <c r="F199" s="27"/>
      <c r="G199" s="27"/>
      <c r="H199" s="243"/>
      <c r="I199" s="243"/>
      <c r="J199" s="27"/>
      <c r="K199" s="27"/>
      <c r="L199" s="27"/>
      <c r="M199" s="27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</row>
    <row r="200" spans="2:48" ht="15.75" customHeight="1" x14ac:dyDescent="0.2">
      <c r="B200" s="2"/>
      <c r="C200" s="2"/>
      <c r="D200" s="27"/>
      <c r="E200" s="27"/>
      <c r="F200" s="27"/>
      <c r="G200" s="27"/>
      <c r="H200" s="243"/>
      <c r="I200" s="243"/>
      <c r="J200" s="27"/>
      <c r="K200" s="27"/>
      <c r="L200" s="27"/>
      <c r="M200" s="27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</row>
    <row r="201" spans="2:48" ht="15.75" customHeight="1" x14ac:dyDescent="0.2">
      <c r="B201" s="2"/>
      <c r="C201" s="2"/>
      <c r="D201" s="27"/>
      <c r="E201" s="27"/>
      <c r="F201" s="27"/>
      <c r="G201" s="27"/>
      <c r="H201" s="243"/>
      <c r="I201" s="243"/>
      <c r="J201" s="27"/>
      <c r="K201" s="27"/>
      <c r="L201" s="27"/>
      <c r="M201" s="27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</row>
    <row r="202" spans="2:48" ht="15.75" customHeight="1" x14ac:dyDescent="0.2">
      <c r="B202" s="2"/>
      <c r="C202" s="2"/>
      <c r="D202" s="27"/>
      <c r="E202" s="27"/>
      <c r="F202" s="27"/>
      <c r="G202" s="27"/>
      <c r="H202" s="243"/>
      <c r="I202" s="243"/>
      <c r="J202" s="27"/>
      <c r="K202" s="27"/>
      <c r="L202" s="27"/>
      <c r="M202" s="27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</row>
    <row r="203" spans="2:48" ht="15.75" customHeight="1" x14ac:dyDescent="0.2">
      <c r="B203" s="2"/>
      <c r="C203" s="2"/>
      <c r="D203" s="27"/>
      <c r="E203" s="27"/>
      <c r="F203" s="27"/>
      <c r="G203" s="27"/>
      <c r="H203" s="243"/>
      <c r="I203" s="243"/>
      <c r="J203" s="27"/>
      <c r="K203" s="27"/>
      <c r="L203" s="27"/>
      <c r="M203" s="27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</row>
    <row r="204" spans="2:48" ht="15.75" customHeight="1" x14ac:dyDescent="0.2">
      <c r="B204" s="2"/>
      <c r="C204" s="2"/>
      <c r="D204" s="27"/>
      <c r="E204" s="27"/>
      <c r="F204" s="27"/>
      <c r="G204" s="27"/>
      <c r="H204" s="243"/>
      <c r="I204" s="243"/>
      <c r="J204" s="27"/>
      <c r="K204" s="27"/>
      <c r="L204" s="27"/>
      <c r="M204" s="27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</row>
    <row r="205" spans="2:48" ht="15.75" customHeight="1" x14ac:dyDescent="0.2">
      <c r="B205" s="2"/>
      <c r="C205" s="2"/>
      <c r="D205" s="27"/>
      <c r="E205" s="27"/>
      <c r="F205" s="27"/>
      <c r="G205" s="27"/>
      <c r="H205" s="243"/>
      <c r="I205" s="243"/>
      <c r="J205" s="27"/>
      <c r="K205" s="27"/>
      <c r="L205" s="27"/>
      <c r="M205" s="27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</row>
    <row r="206" spans="2:48" ht="15.75" customHeight="1" x14ac:dyDescent="0.2">
      <c r="B206" s="2"/>
      <c r="C206" s="2"/>
      <c r="D206" s="27"/>
      <c r="E206" s="27"/>
      <c r="F206" s="27"/>
      <c r="G206" s="27"/>
      <c r="H206" s="243"/>
      <c r="I206" s="243"/>
      <c r="J206" s="27"/>
      <c r="K206" s="27"/>
      <c r="L206" s="27"/>
      <c r="M206" s="27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</row>
    <row r="207" spans="2:48" ht="15.75" customHeight="1" x14ac:dyDescent="0.2">
      <c r="B207" s="2"/>
      <c r="C207" s="2"/>
      <c r="D207" s="27"/>
      <c r="E207" s="27"/>
      <c r="F207" s="27"/>
      <c r="G207" s="27"/>
      <c r="H207" s="243"/>
      <c r="I207" s="243"/>
      <c r="J207" s="27"/>
      <c r="K207" s="27"/>
      <c r="L207" s="27"/>
      <c r="M207" s="27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</row>
    <row r="208" spans="2:48" ht="15.75" customHeight="1" x14ac:dyDescent="0.2">
      <c r="B208" s="2"/>
      <c r="C208" s="2"/>
      <c r="D208" s="27"/>
      <c r="E208" s="27"/>
      <c r="F208" s="27"/>
      <c r="G208" s="27"/>
      <c r="H208" s="243"/>
      <c r="I208" s="243"/>
      <c r="J208" s="27"/>
      <c r="K208" s="27"/>
      <c r="L208" s="27"/>
      <c r="M208" s="27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</row>
    <row r="209" spans="2:48" ht="15.75" customHeight="1" x14ac:dyDescent="0.2">
      <c r="B209" s="2"/>
      <c r="C209" s="2"/>
      <c r="D209" s="27"/>
      <c r="E209" s="27"/>
      <c r="F209" s="27"/>
      <c r="G209" s="27"/>
      <c r="H209" s="243"/>
      <c r="I209" s="243"/>
      <c r="J209" s="27"/>
      <c r="K209" s="27"/>
      <c r="L209" s="27"/>
      <c r="M209" s="27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</row>
    <row r="210" spans="2:48" ht="15.75" customHeight="1" x14ac:dyDescent="0.2">
      <c r="B210" s="2"/>
      <c r="C210" s="2"/>
      <c r="D210" s="27"/>
      <c r="E210" s="27"/>
      <c r="F210" s="27"/>
      <c r="G210" s="27"/>
      <c r="H210" s="243"/>
      <c r="I210" s="243"/>
      <c r="J210" s="27"/>
      <c r="K210" s="27"/>
      <c r="L210" s="27"/>
      <c r="M210" s="27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</row>
    <row r="211" spans="2:48" ht="15.75" customHeight="1" x14ac:dyDescent="0.2">
      <c r="B211" s="2"/>
      <c r="C211" s="2"/>
      <c r="D211" s="27"/>
      <c r="E211" s="27"/>
      <c r="F211" s="27"/>
      <c r="G211" s="27"/>
      <c r="H211" s="243"/>
      <c r="I211" s="243"/>
      <c r="J211" s="27"/>
      <c r="K211" s="27"/>
      <c r="L211" s="27"/>
      <c r="M211" s="27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</row>
    <row r="212" spans="2:48" ht="15.75" customHeight="1" x14ac:dyDescent="0.2">
      <c r="B212" s="2"/>
      <c r="C212" s="2"/>
      <c r="D212" s="27"/>
      <c r="E212" s="27"/>
      <c r="F212" s="27"/>
      <c r="G212" s="27"/>
      <c r="H212" s="243"/>
      <c r="I212" s="243"/>
      <c r="J212" s="27"/>
      <c r="K212" s="27"/>
      <c r="L212" s="27"/>
      <c r="M212" s="27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</row>
    <row r="213" spans="2:48" ht="15.75" customHeight="1" x14ac:dyDescent="0.2">
      <c r="B213" s="2"/>
      <c r="C213" s="2"/>
      <c r="D213" s="27"/>
      <c r="E213" s="27"/>
      <c r="F213" s="27"/>
      <c r="G213" s="27"/>
      <c r="H213" s="243"/>
      <c r="I213" s="243"/>
      <c r="J213" s="27"/>
      <c r="K213" s="27"/>
      <c r="L213" s="27"/>
      <c r="M213" s="27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</row>
    <row r="214" spans="2:48" ht="15.75" customHeight="1" x14ac:dyDescent="0.2">
      <c r="B214" s="2"/>
      <c r="C214" s="2"/>
      <c r="D214" s="27"/>
      <c r="E214" s="27"/>
      <c r="F214" s="27"/>
      <c r="G214" s="27"/>
      <c r="H214" s="243"/>
      <c r="I214" s="243"/>
      <c r="J214" s="27"/>
      <c r="K214" s="27"/>
      <c r="L214" s="27"/>
      <c r="M214" s="27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</row>
    <row r="215" spans="2:48" ht="15.75" customHeight="1" x14ac:dyDescent="0.2">
      <c r="B215" s="2"/>
      <c r="C215" s="2"/>
      <c r="D215" s="27"/>
      <c r="E215" s="27"/>
      <c r="F215" s="27"/>
      <c r="G215" s="27"/>
      <c r="H215" s="243"/>
      <c r="I215" s="243"/>
      <c r="J215" s="27"/>
      <c r="K215" s="27"/>
      <c r="L215" s="27"/>
      <c r="M215" s="27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</row>
    <row r="216" spans="2:48" ht="15.75" customHeight="1" x14ac:dyDescent="0.2">
      <c r="B216" s="2"/>
      <c r="C216" s="2"/>
      <c r="D216" s="27"/>
      <c r="E216" s="27"/>
      <c r="F216" s="27"/>
      <c r="G216" s="27"/>
      <c r="H216" s="243"/>
      <c r="I216" s="243"/>
      <c r="J216" s="27"/>
      <c r="K216" s="27"/>
      <c r="L216" s="27"/>
      <c r="M216" s="27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</row>
    <row r="217" spans="2:48" ht="15.75" customHeight="1" x14ac:dyDescent="0.2">
      <c r="B217" s="2"/>
      <c r="C217" s="2"/>
      <c r="D217" s="27"/>
      <c r="E217" s="27"/>
      <c r="F217" s="27"/>
      <c r="G217" s="27"/>
      <c r="H217" s="243"/>
      <c r="I217" s="243"/>
      <c r="J217" s="27"/>
      <c r="K217" s="27"/>
      <c r="L217" s="27"/>
      <c r="M217" s="27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</row>
    <row r="218" spans="2:48" ht="15.75" customHeight="1" x14ac:dyDescent="0.2">
      <c r="B218" s="2"/>
      <c r="C218" s="2"/>
      <c r="D218" s="27"/>
      <c r="E218" s="27"/>
      <c r="F218" s="27"/>
      <c r="G218" s="27"/>
      <c r="H218" s="243"/>
      <c r="I218" s="243"/>
      <c r="J218" s="27"/>
      <c r="K218" s="27"/>
      <c r="L218" s="27"/>
      <c r="M218" s="27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</row>
    <row r="219" spans="2:48" ht="15.75" customHeight="1" x14ac:dyDescent="0.2">
      <c r="B219" s="2"/>
      <c r="C219" s="2"/>
      <c r="D219" s="27"/>
      <c r="E219" s="27"/>
      <c r="F219" s="27"/>
      <c r="G219" s="27"/>
      <c r="H219" s="243"/>
      <c r="I219" s="243"/>
      <c r="J219" s="27"/>
      <c r="K219" s="27"/>
      <c r="L219" s="27"/>
      <c r="M219" s="27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</row>
    <row r="220" spans="2:48" ht="15.75" customHeight="1" x14ac:dyDescent="0.2">
      <c r="B220" s="2"/>
      <c r="C220" s="2"/>
      <c r="D220" s="27"/>
      <c r="E220" s="27"/>
      <c r="F220" s="27"/>
      <c r="G220" s="27"/>
      <c r="H220" s="243"/>
      <c r="I220" s="243"/>
      <c r="J220" s="27"/>
      <c r="K220" s="27"/>
      <c r="L220" s="27"/>
      <c r="M220" s="27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2:48" ht="15.75" customHeight="1" x14ac:dyDescent="0.2">
      <c r="B221" s="2"/>
      <c r="C221" s="2"/>
      <c r="D221" s="27"/>
      <c r="E221" s="27"/>
      <c r="F221" s="27"/>
      <c r="G221" s="27"/>
      <c r="H221" s="243"/>
      <c r="I221" s="243"/>
      <c r="J221" s="27"/>
      <c r="K221" s="27"/>
      <c r="L221" s="27"/>
      <c r="M221" s="27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</row>
    <row r="222" spans="2:48" ht="15.75" customHeight="1" x14ac:dyDescent="0.2">
      <c r="B222" s="2"/>
      <c r="C222" s="2"/>
      <c r="D222" s="27"/>
      <c r="E222" s="27"/>
      <c r="F222" s="27"/>
      <c r="G222" s="27"/>
      <c r="H222" s="243"/>
      <c r="I222" s="243"/>
      <c r="J222" s="27"/>
      <c r="K222" s="27"/>
      <c r="L222" s="27"/>
      <c r="M222" s="27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</row>
    <row r="223" spans="2:48" ht="15.75" customHeight="1" x14ac:dyDescent="0.2">
      <c r="B223" s="2"/>
      <c r="C223" s="2"/>
      <c r="D223" s="27"/>
      <c r="E223" s="27"/>
      <c r="F223" s="27"/>
      <c r="G223" s="27"/>
      <c r="H223" s="243"/>
      <c r="I223" s="243"/>
      <c r="J223" s="27"/>
      <c r="K223" s="27"/>
      <c r="L223" s="27"/>
      <c r="M223" s="27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</row>
    <row r="224" spans="2:48" ht="15.75" customHeight="1" x14ac:dyDescent="0.2">
      <c r="B224" s="2"/>
      <c r="C224" s="2"/>
      <c r="D224" s="27"/>
      <c r="E224" s="27"/>
      <c r="F224" s="27"/>
      <c r="G224" s="27"/>
      <c r="H224" s="243"/>
      <c r="I224" s="243"/>
      <c r="J224" s="27"/>
      <c r="K224" s="27"/>
      <c r="L224" s="27"/>
      <c r="M224" s="27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</row>
    <row r="225" spans="2:48" ht="15.75" customHeight="1" x14ac:dyDescent="0.2">
      <c r="B225" s="2"/>
      <c r="C225" s="2"/>
      <c r="D225" s="27"/>
      <c r="E225" s="27"/>
      <c r="F225" s="27"/>
      <c r="G225" s="27"/>
      <c r="H225" s="243"/>
      <c r="I225" s="243"/>
      <c r="J225" s="27"/>
      <c r="K225" s="27"/>
      <c r="L225" s="27"/>
      <c r="M225" s="27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</row>
    <row r="226" spans="2:48" ht="15.75" customHeight="1" x14ac:dyDescent="0.2">
      <c r="B226" s="2"/>
      <c r="C226" s="2"/>
      <c r="D226" s="27"/>
      <c r="E226" s="27"/>
      <c r="F226" s="27"/>
      <c r="G226" s="27"/>
      <c r="H226" s="243"/>
      <c r="I226" s="243"/>
      <c r="J226" s="27"/>
      <c r="K226" s="27"/>
      <c r="L226" s="27"/>
      <c r="M226" s="27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</row>
    <row r="227" spans="2:48" ht="15.75" customHeight="1" x14ac:dyDescent="0.2">
      <c r="B227" s="2"/>
      <c r="C227" s="2"/>
      <c r="D227" s="27"/>
      <c r="E227" s="27"/>
      <c r="F227" s="27"/>
      <c r="G227" s="27"/>
      <c r="H227" s="243"/>
      <c r="I227" s="243"/>
      <c r="J227" s="27"/>
      <c r="K227" s="27"/>
      <c r="L227" s="27"/>
      <c r="M227" s="27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</row>
    <row r="228" spans="2:48" ht="15.75" customHeight="1" x14ac:dyDescent="0.2">
      <c r="B228" s="2"/>
      <c r="C228" s="2"/>
      <c r="D228" s="27"/>
      <c r="E228" s="27"/>
      <c r="F228" s="27"/>
      <c r="G228" s="27"/>
      <c r="H228" s="243"/>
      <c r="I228" s="243"/>
      <c r="J228" s="27"/>
      <c r="K228" s="27"/>
      <c r="L228" s="27"/>
      <c r="M228" s="27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</row>
    <row r="229" spans="2:48" ht="15.75" customHeight="1" x14ac:dyDescent="0.2">
      <c r="B229" s="2"/>
      <c r="C229" s="2"/>
      <c r="D229" s="27"/>
      <c r="E229" s="27"/>
      <c r="F229" s="27"/>
      <c r="G229" s="27"/>
      <c r="H229" s="243"/>
      <c r="I229" s="243"/>
      <c r="J229" s="27"/>
      <c r="K229" s="27"/>
      <c r="L229" s="27"/>
      <c r="M229" s="27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</row>
    <row r="230" spans="2:48" ht="15.75" customHeight="1" x14ac:dyDescent="0.2">
      <c r="B230" s="2"/>
      <c r="C230" s="2"/>
      <c r="D230" s="27"/>
      <c r="E230" s="27"/>
      <c r="F230" s="27"/>
      <c r="G230" s="27"/>
      <c r="H230" s="243"/>
      <c r="I230" s="243"/>
      <c r="J230" s="27"/>
      <c r="K230" s="27"/>
      <c r="L230" s="27"/>
      <c r="M230" s="27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</row>
    <row r="231" spans="2:48" ht="15.75" customHeight="1" x14ac:dyDescent="0.2">
      <c r="B231" s="2"/>
      <c r="C231" s="2"/>
      <c r="D231" s="27"/>
      <c r="E231" s="27"/>
      <c r="F231" s="27"/>
      <c r="G231" s="27"/>
      <c r="H231" s="243"/>
      <c r="I231" s="243"/>
      <c r="J231" s="27"/>
      <c r="K231" s="27"/>
      <c r="L231" s="27"/>
      <c r="M231" s="27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</row>
    <row r="232" spans="2:48" ht="15.75" customHeight="1" x14ac:dyDescent="0.2">
      <c r="B232" s="2"/>
      <c r="C232" s="2"/>
      <c r="D232" s="27"/>
      <c r="E232" s="27"/>
      <c r="F232" s="27"/>
      <c r="G232" s="27"/>
      <c r="H232" s="243"/>
      <c r="I232" s="243"/>
      <c r="J232" s="27"/>
      <c r="K232" s="27"/>
      <c r="L232" s="27"/>
      <c r="M232" s="27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</row>
    <row r="233" spans="2:48" ht="15.75" customHeight="1" x14ac:dyDescent="0.2">
      <c r="B233" s="2"/>
      <c r="C233" s="2"/>
      <c r="D233" s="27"/>
      <c r="E233" s="27"/>
      <c r="F233" s="27"/>
      <c r="G233" s="27"/>
      <c r="H233" s="243"/>
      <c r="I233" s="243"/>
      <c r="J233" s="27"/>
      <c r="K233" s="27"/>
      <c r="L233" s="27"/>
      <c r="M233" s="27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</row>
    <row r="234" spans="2:48" ht="15.75" customHeight="1" x14ac:dyDescent="0.2">
      <c r="B234" s="2"/>
      <c r="C234" s="2"/>
      <c r="D234" s="27"/>
      <c r="E234" s="27"/>
      <c r="F234" s="27"/>
      <c r="G234" s="27"/>
      <c r="H234" s="243"/>
      <c r="I234" s="243"/>
      <c r="J234" s="27"/>
      <c r="K234" s="27"/>
      <c r="L234" s="27"/>
      <c r="M234" s="27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</row>
    <row r="235" spans="2:48" ht="15.75" customHeight="1" x14ac:dyDescent="0.2">
      <c r="B235" s="2"/>
      <c r="C235" s="2"/>
      <c r="D235" s="27"/>
      <c r="E235" s="27"/>
      <c r="F235" s="27"/>
      <c r="G235" s="27"/>
      <c r="H235" s="243"/>
      <c r="I235" s="243"/>
      <c r="J235" s="27"/>
      <c r="K235" s="27"/>
      <c r="L235" s="27"/>
      <c r="M235" s="27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</row>
    <row r="236" spans="2:48" ht="15.75" customHeight="1" x14ac:dyDescent="0.2">
      <c r="B236" s="2"/>
      <c r="C236" s="2"/>
      <c r="D236" s="27"/>
      <c r="E236" s="27"/>
      <c r="F236" s="27"/>
      <c r="G236" s="27"/>
      <c r="H236" s="243"/>
      <c r="I236" s="243"/>
      <c r="J236" s="27"/>
      <c r="K236" s="27"/>
      <c r="L236" s="27"/>
      <c r="M236" s="27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</row>
    <row r="237" spans="2:48" ht="15.75" customHeight="1" x14ac:dyDescent="0.2">
      <c r="B237" s="2"/>
      <c r="C237" s="2"/>
      <c r="D237" s="27"/>
      <c r="E237" s="27"/>
      <c r="F237" s="27"/>
      <c r="G237" s="27"/>
      <c r="H237" s="243"/>
      <c r="I237" s="243"/>
      <c r="J237" s="27"/>
      <c r="K237" s="27"/>
      <c r="L237" s="27"/>
      <c r="M237" s="27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</row>
    <row r="238" spans="2:48" ht="15.75" customHeight="1" x14ac:dyDescent="0.2">
      <c r="B238" s="2"/>
      <c r="C238" s="2"/>
      <c r="D238" s="27"/>
      <c r="E238" s="27"/>
      <c r="F238" s="27"/>
      <c r="G238" s="27"/>
      <c r="H238" s="243"/>
      <c r="I238" s="243"/>
      <c r="J238" s="27"/>
      <c r="K238" s="27"/>
      <c r="L238" s="27"/>
      <c r="M238" s="27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</row>
    <row r="239" spans="2:48" ht="15.75" customHeight="1" x14ac:dyDescent="0.2">
      <c r="B239" s="2"/>
      <c r="C239" s="2"/>
      <c r="D239" s="27"/>
      <c r="E239" s="27"/>
      <c r="F239" s="27"/>
      <c r="G239" s="27"/>
      <c r="H239" s="243"/>
      <c r="I239" s="243"/>
      <c r="J239" s="27"/>
      <c r="K239" s="27"/>
      <c r="L239" s="27"/>
      <c r="M239" s="27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</row>
    <row r="240" spans="2:48" ht="15.75" customHeight="1" x14ac:dyDescent="0.2">
      <c r="B240" s="2"/>
      <c r="C240" s="2"/>
      <c r="D240" s="27"/>
      <c r="E240" s="27"/>
      <c r="F240" s="27"/>
      <c r="G240" s="27"/>
      <c r="H240" s="243"/>
      <c r="I240" s="243"/>
      <c r="J240" s="27"/>
      <c r="K240" s="27"/>
      <c r="L240" s="27"/>
      <c r="M240" s="27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</row>
    <row r="241" spans="2:48" ht="15.75" customHeight="1" x14ac:dyDescent="0.2">
      <c r="B241" s="2"/>
      <c r="C241" s="2"/>
      <c r="D241" s="27"/>
      <c r="E241" s="27"/>
      <c r="F241" s="27"/>
      <c r="G241" s="27"/>
      <c r="H241" s="243"/>
      <c r="I241" s="243"/>
      <c r="J241" s="27"/>
      <c r="K241" s="27"/>
      <c r="L241" s="27"/>
      <c r="M241" s="27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</row>
    <row r="242" spans="2:48" ht="15.75" customHeight="1" x14ac:dyDescent="0.2">
      <c r="B242" s="2"/>
      <c r="C242" s="2"/>
      <c r="D242" s="27"/>
      <c r="E242" s="27"/>
      <c r="F242" s="27"/>
      <c r="G242" s="27"/>
      <c r="H242" s="243"/>
      <c r="I242" s="243"/>
      <c r="J242" s="27"/>
      <c r="K242" s="27"/>
      <c r="L242" s="27"/>
      <c r="M242" s="27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</row>
    <row r="243" spans="2:48" ht="15.75" customHeight="1" x14ac:dyDescent="0.2">
      <c r="B243" s="2"/>
      <c r="C243" s="2"/>
      <c r="D243" s="27"/>
      <c r="E243" s="27"/>
      <c r="F243" s="27"/>
      <c r="G243" s="27"/>
      <c r="H243" s="243"/>
      <c r="I243" s="243"/>
      <c r="J243" s="27"/>
      <c r="K243" s="27"/>
      <c r="L243" s="27"/>
      <c r="M243" s="27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</row>
    <row r="244" spans="2:48" ht="15.75" customHeight="1" x14ac:dyDescent="0.2">
      <c r="B244" s="2"/>
      <c r="C244" s="2"/>
      <c r="D244" s="27"/>
      <c r="E244" s="27"/>
      <c r="F244" s="27"/>
      <c r="G244" s="27"/>
      <c r="H244" s="243"/>
      <c r="I244" s="243"/>
      <c r="J244" s="27"/>
      <c r="K244" s="27"/>
      <c r="L244" s="27"/>
      <c r="M244" s="27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</row>
    <row r="245" spans="2:48" ht="15.75" customHeight="1" x14ac:dyDescent="0.2">
      <c r="B245" s="2"/>
      <c r="C245" s="2"/>
      <c r="D245" s="27"/>
      <c r="E245" s="27"/>
      <c r="F245" s="27"/>
      <c r="G245" s="27"/>
      <c r="H245" s="243"/>
      <c r="I245" s="243"/>
      <c r="J245" s="27"/>
      <c r="K245" s="27"/>
      <c r="L245" s="27"/>
      <c r="M245" s="27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</row>
    <row r="246" spans="2:48" ht="15.75" customHeight="1" x14ac:dyDescent="0.2">
      <c r="B246" s="2"/>
      <c r="C246" s="2"/>
      <c r="D246" s="27"/>
      <c r="E246" s="27"/>
      <c r="F246" s="27"/>
      <c r="G246" s="27"/>
      <c r="H246" s="243"/>
      <c r="I246" s="243"/>
      <c r="J246" s="27"/>
      <c r="K246" s="27"/>
      <c r="L246" s="27"/>
      <c r="M246" s="27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</row>
    <row r="247" spans="2:48" ht="15.75" customHeight="1" x14ac:dyDescent="0.2">
      <c r="B247" s="2"/>
      <c r="C247" s="2"/>
      <c r="D247" s="27"/>
      <c r="E247" s="27"/>
      <c r="F247" s="27"/>
      <c r="G247" s="27"/>
      <c r="H247" s="243"/>
      <c r="I247" s="243"/>
      <c r="J247" s="27"/>
      <c r="K247" s="27"/>
      <c r="L247" s="27"/>
      <c r="M247" s="27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</row>
    <row r="248" spans="2:48" ht="15.75" customHeight="1" x14ac:dyDescent="0.2">
      <c r="B248" s="2"/>
      <c r="C248" s="2"/>
      <c r="D248" s="27"/>
      <c r="E248" s="27"/>
      <c r="F248" s="27"/>
      <c r="G248" s="27"/>
      <c r="H248" s="243"/>
      <c r="I248" s="243"/>
      <c r="J248" s="27"/>
      <c r="K248" s="27"/>
      <c r="L248" s="27"/>
      <c r="M248" s="27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</row>
    <row r="249" spans="2:48" ht="15.75" customHeight="1" x14ac:dyDescent="0.2">
      <c r="B249" s="2"/>
      <c r="C249" s="2"/>
      <c r="D249" s="27"/>
      <c r="E249" s="27"/>
      <c r="F249" s="27"/>
      <c r="G249" s="27"/>
      <c r="H249" s="243"/>
      <c r="I249" s="243"/>
      <c r="J249" s="27"/>
      <c r="K249" s="27"/>
      <c r="L249" s="27"/>
      <c r="M249" s="27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</row>
    <row r="250" spans="2:48" ht="15.75" customHeight="1" x14ac:dyDescent="0.2">
      <c r="B250" s="2"/>
      <c r="C250" s="2"/>
      <c r="D250" s="27"/>
      <c r="E250" s="27"/>
      <c r="F250" s="27"/>
      <c r="G250" s="27"/>
      <c r="H250" s="243"/>
      <c r="I250" s="243"/>
      <c r="J250" s="27"/>
      <c r="K250" s="27"/>
      <c r="L250" s="27"/>
      <c r="M250" s="27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</row>
    <row r="251" spans="2:48" ht="15.75" customHeight="1" x14ac:dyDescent="0.2">
      <c r="B251" s="2"/>
      <c r="C251" s="2"/>
      <c r="D251" s="27"/>
      <c r="E251" s="27"/>
      <c r="F251" s="27"/>
      <c r="G251" s="27"/>
      <c r="H251" s="243"/>
      <c r="I251" s="243"/>
      <c r="J251" s="27"/>
      <c r="K251" s="27"/>
      <c r="L251" s="27"/>
      <c r="M251" s="27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</row>
    <row r="252" spans="2:48" ht="15.75" customHeight="1" x14ac:dyDescent="0.2">
      <c r="B252" s="2"/>
      <c r="C252" s="2"/>
      <c r="D252" s="27"/>
      <c r="E252" s="27"/>
      <c r="F252" s="27"/>
      <c r="G252" s="27"/>
      <c r="H252" s="243"/>
      <c r="I252" s="243"/>
      <c r="J252" s="27"/>
      <c r="K252" s="27"/>
      <c r="L252" s="27"/>
      <c r="M252" s="27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</row>
    <row r="253" spans="2:48" ht="15.75" customHeight="1" x14ac:dyDescent="0.2">
      <c r="B253" s="2"/>
      <c r="C253" s="2"/>
      <c r="D253" s="27"/>
      <c r="E253" s="27"/>
      <c r="F253" s="27"/>
      <c r="G253" s="27"/>
      <c r="H253" s="243"/>
      <c r="I253" s="243"/>
      <c r="J253" s="27"/>
      <c r="K253" s="27"/>
      <c r="L253" s="27"/>
      <c r="M253" s="27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</row>
    <row r="254" spans="2:48" ht="15.75" customHeight="1" x14ac:dyDescent="0.2">
      <c r="B254" s="2"/>
      <c r="C254" s="2"/>
      <c r="D254" s="27"/>
      <c r="E254" s="27"/>
      <c r="F254" s="27"/>
      <c r="G254" s="27"/>
      <c r="H254" s="243"/>
      <c r="I254" s="243"/>
      <c r="J254" s="27"/>
      <c r="K254" s="27"/>
      <c r="L254" s="27"/>
      <c r="M254" s="27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</row>
    <row r="255" spans="2:48" ht="15.75" customHeight="1" x14ac:dyDescent="0.2">
      <c r="B255" s="2"/>
      <c r="C255" s="2"/>
      <c r="D255" s="27"/>
      <c r="E255" s="27"/>
      <c r="F255" s="27"/>
      <c r="G255" s="27"/>
      <c r="H255" s="243"/>
      <c r="I255" s="243"/>
      <c r="J255" s="27"/>
      <c r="K255" s="27"/>
      <c r="L255" s="27"/>
      <c r="M255" s="27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</row>
    <row r="256" spans="2:48" ht="15.75" customHeight="1" x14ac:dyDescent="0.2">
      <c r="B256" s="2"/>
      <c r="C256" s="2"/>
      <c r="D256" s="27"/>
      <c r="E256" s="27"/>
      <c r="F256" s="27"/>
      <c r="G256" s="27"/>
      <c r="H256" s="243"/>
      <c r="I256" s="243"/>
      <c r="J256" s="27"/>
      <c r="K256" s="27"/>
      <c r="L256" s="27"/>
      <c r="M256" s="27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</row>
    <row r="257" spans="2:48" ht="15.75" customHeight="1" x14ac:dyDescent="0.2">
      <c r="B257" s="2"/>
      <c r="C257" s="2"/>
      <c r="D257" s="27"/>
      <c r="E257" s="27"/>
      <c r="F257" s="27"/>
      <c r="G257" s="27"/>
      <c r="H257" s="243"/>
      <c r="I257" s="243"/>
      <c r="J257" s="27"/>
      <c r="K257" s="27"/>
      <c r="L257" s="27"/>
      <c r="M257" s="27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</row>
    <row r="258" spans="2:48" ht="15.75" customHeight="1" x14ac:dyDescent="0.2">
      <c r="B258" s="2"/>
      <c r="C258" s="2"/>
      <c r="D258" s="27"/>
      <c r="E258" s="27"/>
      <c r="F258" s="27"/>
      <c r="G258" s="27"/>
      <c r="H258" s="243"/>
      <c r="I258" s="243"/>
      <c r="J258" s="27"/>
      <c r="K258" s="27"/>
      <c r="L258" s="27"/>
      <c r="M258" s="27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</row>
    <row r="259" spans="2:48" ht="15.75" customHeight="1" x14ac:dyDescent="0.2">
      <c r="B259" s="2"/>
      <c r="C259" s="2"/>
      <c r="D259" s="27"/>
      <c r="E259" s="27"/>
      <c r="F259" s="27"/>
      <c r="G259" s="27"/>
      <c r="H259" s="243"/>
      <c r="I259" s="243"/>
      <c r="J259" s="27"/>
      <c r="K259" s="27"/>
      <c r="L259" s="27"/>
      <c r="M259" s="27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</row>
    <row r="260" spans="2:48" ht="15.75" customHeight="1" x14ac:dyDescent="0.2">
      <c r="B260" s="2"/>
      <c r="C260" s="2"/>
      <c r="D260" s="27"/>
      <c r="E260" s="27"/>
      <c r="F260" s="27"/>
      <c r="G260" s="27"/>
      <c r="H260" s="243"/>
      <c r="I260" s="243"/>
      <c r="J260" s="27"/>
      <c r="K260" s="27"/>
      <c r="L260" s="27"/>
      <c r="M260" s="27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</row>
    <row r="261" spans="2:48" ht="15.75" customHeight="1" x14ac:dyDescent="0.2">
      <c r="B261" s="2"/>
      <c r="C261" s="2"/>
      <c r="D261" s="27"/>
      <c r="E261" s="27"/>
      <c r="F261" s="27"/>
      <c r="G261" s="27"/>
      <c r="H261" s="243"/>
      <c r="I261" s="243"/>
      <c r="J261" s="27"/>
      <c r="K261" s="27"/>
      <c r="L261" s="27"/>
      <c r="M261" s="27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</row>
    <row r="262" spans="2:48" ht="15.75" customHeight="1" x14ac:dyDescent="0.2">
      <c r="B262" s="2"/>
      <c r="C262" s="2"/>
      <c r="D262" s="27"/>
      <c r="E262" s="27"/>
      <c r="F262" s="27"/>
      <c r="G262" s="27"/>
      <c r="H262" s="243"/>
      <c r="I262" s="243"/>
      <c r="J262" s="27"/>
      <c r="K262" s="27"/>
      <c r="L262" s="27"/>
      <c r="M262" s="27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</row>
    <row r="263" spans="2:48" ht="15.75" customHeight="1" x14ac:dyDescent="0.2">
      <c r="B263" s="2"/>
      <c r="C263" s="2"/>
      <c r="D263" s="27"/>
      <c r="E263" s="27"/>
      <c r="F263" s="27"/>
      <c r="G263" s="27"/>
      <c r="H263" s="243"/>
      <c r="I263" s="243"/>
      <c r="J263" s="27"/>
      <c r="K263" s="27"/>
      <c r="L263" s="27"/>
      <c r="M263" s="27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</row>
    <row r="264" spans="2:48" ht="15.75" customHeight="1" x14ac:dyDescent="0.2">
      <c r="B264" s="2"/>
      <c r="C264" s="2"/>
      <c r="D264" s="27"/>
      <c r="E264" s="27"/>
      <c r="F264" s="27"/>
      <c r="G264" s="27"/>
      <c r="H264" s="243"/>
      <c r="I264" s="243"/>
      <c r="J264" s="27"/>
      <c r="K264" s="27"/>
      <c r="L264" s="27"/>
      <c r="M264" s="27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</row>
    <row r="265" spans="2:48" ht="15.75" customHeight="1" x14ac:dyDescent="0.2">
      <c r="B265" s="2"/>
      <c r="C265" s="2"/>
      <c r="D265" s="27"/>
      <c r="E265" s="27"/>
      <c r="F265" s="27"/>
      <c r="G265" s="27"/>
      <c r="H265" s="243"/>
      <c r="I265" s="243"/>
      <c r="J265" s="27"/>
      <c r="K265" s="27"/>
      <c r="L265" s="27"/>
      <c r="M265" s="27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</row>
    <row r="266" spans="2:48" ht="15.75" customHeight="1" x14ac:dyDescent="0.2">
      <c r="B266" s="2"/>
      <c r="C266" s="2"/>
      <c r="D266" s="27"/>
      <c r="E266" s="27"/>
      <c r="F266" s="27"/>
      <c r="G266" s="27"/>
      <c r="H266" s="243"/>
      <c r="I266" s="243"/>
      <c r="J266" s="27"/>
      <c r="K266" s="27"/>
      <c r="L266" s="27"/>
      <c r="M266" s="27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</row>
    <row r="267" spans="2:48" ht="15.75" customHeight="1" x14ac:dyDescent="0.2">
      <c r="B267" s="2"/>
      <c r="C267" s="2"/>
      <c r="D267" s="27"/>
      <c r="E267" s="27"/>
      <c r="F267" s="27"/>
      <c r="G267" s="27"/>
      <c r="H267" s="243"/>
      <c r="I267" s="243"/>
      <c r="J267" s="27"/>
      <c r="K267" s="27"/>
      <c r="L267" s="27"/>
      <c r="M267" s="27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</row>
    <row r="268" spans="2:48" ht="15.75" customHeight="1" x14ac:dyDescent="0.2">
      <c r="B268" s="2"/>
      <c r="C268" s="2"/>
      <c r="D268" s="27"/>
      <c r="E268" s="27"/>
      <c r="F268" s="27"/>
      <c r="G268" s="27"/>
      <c r="H268" s="243"/>
      <c r="I268" s="243"/>
      <c r="J268" s="27"/>
      <c r="K268" s="27"/>
      <c r="L268" s="27"/>
      <c r="M268" s="27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</row>
    <row r="269" spans="2:48" ht="15.75" customHeight="1" x14ac:dyDescent="0.2">
      <c r="B269" s="2"/>
      <c r="C269" s="2"/>
      <c r="D269" s="27"/>
      <c r="E269" s="27"/>
      <c r="F269" s="27"/>
      <c r="G269" s="27"/>
      <c r="H269" s="243"/>
      <c r="I269" s="243"/>
      <c r="J269" s="27"/>
      <c r="K269" s="27"/>
      <c r="L269" s="27"/>
      <c r="M269" s="27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</row>
    <row r="270" spans="2:48" ht="15.75" customHeight="1" x14ac:dyDescent="0.2">
      <c r="B270" s="2"/>
      <c r="C270" s="2"/>
      <c r="D270" s="27"/>
      <c r="E270" s="27"/>
      <c r="F270" s="27"/>
      <c r="G270" s="27"/>
      <c r="H270" s="243"/>
      <c r="I270" s="243"/>
      <c r="J270" s="27"/>
      <c r="K270" s="27"/>
      <c r="L270" s="27"/>
      <c r="M270" s="27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</row>
    <row r="271" spans="2:48" ht="15.75" customHeight="1" x14ac:dyDescent="0.2">
      <c r="B271" s="2"/>
      <c r="C271" s="2"/>
      <c r="D271" s="27"/>
      <c r="E271" s="27"/>
      <c r="F271" s="27"/>
      <c r="G271" s="27"/>
      <c r="H271" s="243"/>
      <c r="I271" s="243"/>
      <c r="J271" s="27"/>
      <c r="K271" s="27"/>
      <c r="L271" s="27"/>
      <c r="M271" s="27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</row>
    <row r="272" spans="2:48" ht="15.75" customHeight="1" x14ac:dyDescent="0.2">
      <c r="B272" s="2"/>
      <c r="C272" s="2"/>
      <c r="D272" s="27"/>
      <c r="E272" s="27"/>
      <c r="F272" s="27"/>
      <c r="G272" s="27"/>
      <c r="H272" s="243"/>
      <c r="I272" s="243"/>
      <c r="J272" s="27"/>
      <c r="K272" s="27"/>
      <c r="L272" s="27"/>
      <c r="M272" s="27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</row>
    <row r="273" spans="2:48" ht="15.75" customHeight="1" x14ac:dyDescent="0.2">
      <c r="B273" s="2"/>
      <c r="C273" s="2"/>
      <c r="D273" s="27"/>
      <c r="E273" s="27"/>
      <c r="F273" s="27"/>
      <c r="G273" s="27"/>
      <c r="H273" s="243"/>
      <c r="I273" s="243"/>
      <c r="J273" s="27"/>
      <c r="K273" s="27"/>
      <c r="L273" s="27"/>
      <c r="M273" s="27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</row>
    <row r="274" spans="2:48" ht="15.75" customHeight="1" x14ac:dyDescent="0.2">
      <c r="B274" s="2"/>
      <c r="C274" s="2"/>
      <c r="D274" s="27"/>
      <c r="E274" s="27"/>
      <c r="F274" s="27"/>
      <c r="G274" s="27"/>
      <c r="H274" s="243"/>
      <c r="I274" s="243"/>
      <c r="J274" s="27"/>
      <c r="K274" s="27"/>
      <c r="L274" s="27"/>
      <c r="M274" s="27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</row>
    <row r="275" spans="2:48" ht="15.75" customHeight="1" x14ac:dyDescent="0.2">
      <c r="B275" s="2"/>
      <c r="C275" s="2"/>
      <c r="D275" s="27"/>
      <c r="E275" s="27"/>
      <c r="F275" s="27"/>
      <c r="G275" s="27"/>
      <c r="H275" s="243"/>
      <c r="I275" s="243"/>
      <c r="J275" s="27"/>
      <c r="K275" s="27"/>
      <c r="L275" s="27"/>
      <c r="M275" s="27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</row>
    <row r="276" spans="2:48" ht="15.75" customHeight="1" x14ac:dyDescent="0.2">
      <c r="B276" s="2"/>
      <c r="C276" s="2"/>
      <c r="D276" s="27"/>
      <c r="E276" s="27"/>
      <c r="F276" s="27"/>
      <c r="G276" s="27"/>
      <c r="H276" s="243"/>
      <c r="I276" s="243"/>
      <c r="J276" s="27"/>
      <c r="K276" s="27"/>
      <c r="L276" s="27"/>
      <c r="M276" s="27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</row>
    <row r="277" spans="2:48" ht="15.75" customHeight="1" x14ac:dyDescent="0.2">
      <c r="B277" s="2"/>
      <c r="C277" s="2"/>
      <c r="D277" s="27"/>
      <c r="E277" s="27"/>
      <c r="F277" s="27"/>
      <c r="G277" s="27"/>
      <c r="H277" s="243"/>
      <c r="I277" s="243"/>
      <c r="J277" s="27"/>
      <c r="K277" s="27"/>
      <c r="L277" s="27"/>
      <c r="M277" s="27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</row>
    <row r="278" spans="2:48" ht="15.75" customHeight="1" x14ac:dyDescent="0.2">
      <c r="B278" s="2"/>
      <c r="C278" s="2"/>
      <c r="D278" s="27"/>
      <c r="E278" s="27"/>
      <c r="F278" s="27"/>
      <c r="G278" s="27"/>
      <c r="H278" s="243"/>
      <c r="I278" s="243"/>
      <c r="J278" s="27"/>
      <c r="K278" s="27"/>
      <c r="L278" s="27"/>
      <c r="M278" s="27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</row>
    <row r="279" spans="2:48" ht="15.75" customHeight="1" x14ac:dyDescent="0.2">
      <c r="B279" s="2"/>
      <c r="C279" s="2"/>
      <c r="D279" s="27"/>
      <c r="E279" s="27"/>
      <c r="F279" s="27"/>
      <c r="G279" s="27"/>
      <c r="H279" s="243"/>
      <c r="I279" s="243"/>
      <c r="J279" s="27"/>
      <c r="K279" s="27"/>
      <c r="L279" s="27"/>
      <c r="M279" s="27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</row>
    <row r="280" spans="2:48" ht="15.75" customHeight="1" x14ac:dyDescent="0.2">
      <c r="B280" s="2"/>
      <c r="C280" s="2"/>
      <c r="D280" s="27"/>
      <c r="E280" s="27"/>
      <c r="F280" s="27"/>
      <c r="G280" s="27"/>
      <c r="H280" s="243"/>
      <c r="I280" s="243"/>
      <c r="J280" s="27"/>
      <c r="K280" s="27"/>
      <c r="L280" s="27"/>
      <c r="M280" s="27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</row>
    <row r="281" spans="2:48" ht="15.75" customHeight="1" x14ac:dyDescent="0.2">
      <c r="B281" s="2"/>
      <c r="C281" s="2"/>
      <c r="D281" s="27"/>
      <c r="E281" s="27"/>
      <c r="F281" s="27"/>
      <c r="G281" s="27"/>
      <c r="H281" s="243"/>
      <c r="I281" s="243"/>
      <c r="J281" s="27"/>
      <c r="K281" s="27"/>
      <c r="L281" s="27"/>
      <c r="M281" s="27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</row>
    <row r="282" spans="2:48" ht="15.75" customHeight="1" x14ac:dyDescent="0.2">
      <c r="B282" s="2"/>
      <c r="C282" s="2"/>
      <c r="D282" s="27"/>
      <c r="E282" s="27"/>
      <c r="F282" s="27"/>
      <c r="G282" s="27"/>
      <c r="H282" s="243"/>
      <c r="I282" s="243"/>
      <c r="J282" s="27"/>
      <c r="K282" s="27"/>
      <c r="L282" s="27"/>
      <c r="M282" s="27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</row>
    <row r="283" spans="2:48" ht="15.75" customHeight="1" x14ac:dyDescent="0.2">
      <c r="B283" s="2"/>
      <c r="C283" s="2"/>
      <c r="D283" s="27"/>
      <c r="E283" s="27"/>
      <c r="F283" s="27"/>
      <c r="G283" s="27"/>
      <c r="H283" s="243"/>
      <c r="I283" s="243"/>
      <c r="J283" s="27"/>
      <c r="K283" s="27"/>
      <c r="L283" s="27"/>
      <c r="M283" s="27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</row>
    <row r="284" spans="2:48" ht="15.75" customHeight="1" x14ac:dyDescent="0.2">
      <c r="B284" s="2"/>
      <c r="C284" s="2"/>
      <c r="D284" s="27"/>
      <c r="E284" s="27"/>
      <c r="F284" s="27"/>
      <c r="G284" s="27"/>
      <c r="H284" s="243"/>
      <c r="I284" s="243"/>
      <c r="J284" s="27"/>
      <c r="K284" s="27"/>
      <c r="L284" s="27"/>
      <c r="M284" s="27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</row>
    <row r="285" spans="2:48" ht="15.75" customHeight="1" x14ac:dyDescent="0.2">
      <c r="B285" s="2"/>
      <c r="C285" s="2"/>
      <c r="D285" s="27"/>
      <c r="E285" s="27"/>
      <c r="F285" s="27"/>
      <c r="G285" s="27"/>
      <c r="H285" s="243"/>
      <c r="I285" s="243"/>
      <c r="J285" s="27"/>
      <c r="K285" s="27"/>
      <c r="L285" s="27"/>
      <c r="M285" s="27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</row>
    <row r="286" spans="2:48" ht="15.75" customHeight="1" x14ac:dyDescent="0.2">
      <c r="B286" s="2"/>
      <c r="C286" s="2"/>
      <c r="D286" s="27"/>
      <c r="E286" s="27"/>
      <c r="F286" s="27"/>
      <c r="G286" s="27"/>
      <c r="H286" s="243"/>
      <c r="I286" s="243"/>
      <c r="J286" s="27"/>
      <c r="K286" s="27"/>
      <c r="L286" s="27"/>
      <c r="M286" s="27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</row>
    <row r="287" spans="2:48" ht="15.75" customHeight="1" x14ac:dyDescent="0.2">
      <c r="B287" s="2"/>
      <c r="C287" s="2"/>
      <c r="D287" s="27"/>
      <c r="E287" s="27"/>
      <c r="F287" s="27"/>
      <c r="G287" s="27"/>
      <c r="H287" s="243"/>
      <c r="I287" s="243"/>
      <c r="J287" s="27"/>
      <c r="K287" s="27"/>
      <c r="L287" s="27"/>
      <c r="M287" s="27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</row>
    <row r="288" spans="2:48" ht="15.75" customHeight="1" x14ac:dyDescent="0.2">
      <c r="B288" s="2"/>
      <c r="C288" s="2"/>
      <c r="D288" s="27"/>
      <c r="E288" s="27"/>
      <c r="F288" s="27"/>
      <c r="G288" s="27"/>
      <c r="H288" s="243"/>
      <c r="I288" s="243"/>
      <c r="J288" s="27"/>
      <c r="K288" s="27"/>
      <c r="L288" s="27"/>
      <c r="M288" s="27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</row>
    <row r="289" spans="2:48" ht="15.75" customHeight="1" x14ac:dyDescent="0.2">
      <c r="B289" s="2"/>
      <c r="C289" s="2"/>
      <c r="D289" s="27"/>
      <c r="E289" s="27"/>
      <c r="F289" s="27"/>
      <c r="G289" s="27"/>
      <c r="H289" s="243"/>
      <c r="I289" s="243"/>
      <c r="J289" s="27"/>
      <c r="K289" s="27"/>
      <c r="L289" s="27"/>
      <c r="M289" s="27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</row>
    <row r="290" spans="2:48" ht="15.75" customHeight="1" x14ac:dyDescent="0.2">
      <c r="B290" s="2"/>
      <c r="C290" s="2"/>
      <c r="D290" s="27"/>
      <c r="E290" s="27"/>
      <c r="F290" s="27"/>
      <c r="G290" s="27"/>
      <c r="H290" s="243"/>
      <c r="I290" s="243"/>
      <c r="J290" s="27"/>
      <c r="K290" s="27"/>
      <c r="L290" s="27"/>
      <c r="M290" s="27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</row>
    <row r="291" spans="2:48" ht="15.75" customHeight="1" x14ac:dyDescent="0.2">
      <c r="B291" s="2"/>
      <c r="C291" s="2"/>
      <c r="D291" s="27"/>
      <c r="E291" s="27"/>
      <c r="F291" s="27"/>
      <c r="G291" s="27"/>
      <c r="H291" s="243"/>
      <c r="I291" s="243"/>
      <c r="J291" s="27"/>
      <c r="K291" s="27"/>
      <c r="L291" s="27"/>
      <c r="M291" s="27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</row>
    <row r="292" spans="2:48" ht="15.75" customHeight="1" x14ac:dyDescent="0.2">
      <c r="B292" s="2"/>
      <c r="C292" s="2"/>
      <c r="D292" s="27"/>
      <c r="E292" s="27"/>
      <c r="F292" s="27"/>
      <c r="G292" s="27"/>
      <c r="H292" s="243"/>
      <c r="I292" s="243"/>
      <c r="J292" s="27"/>
      <c r="K292" s="27"/>
      <c r="L292" s="27"/>
      <c r="M292" s="27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</row>
    <row r="293" spans="2:48" ht="15.75" customHeight="1" x14ac:dyDescent="0.2">
      <c r="B293" s="2"/>
      <c r="C293" s="2"/>
      <c r="D293" s="27"/>
      <c r="E293" s="27"/>
      <c r="F293" s="27"/>
      <c r="G293" s="27"/>
      <c r="H293" s="243"/>
      <c r="I293" s="243"/>
      <c r="J293" s="27"/>
      <c r="K293" s="27"/>
      <c r="L293" s="27"/>
      <c r="M293" s="27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</row>
    <row r="294" spans="2:48" ht="15.75" customHeight="1" x14ac:dyDescent="0.2">
      <c r="B294" s="2"/>
      <c r="C294" s="2"/>
      <c r="D294" s="27"/>
      <c r="E294" s="27"/>
      <c r="F294" s="27"/>
      <c r="G294" s="27"/>
      <c r="H294" s="243"/>
      <c r="I294" s="243"/>
      <c r="J294" s="27"/>
      <c r="K294" s="27"/>
      <c r="L294" s="27"/>
      <c r="M294" s="27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</row>
    <row r="295" spans="2:48" ht="15.75" customHeight="1" x14ac:dyDescent="0.2">
      <c r="B295" s="2"/>
      <c r="C295" s="2"/>
      <c r="D295" s="27"/>
      <c r="E295" s="27"/>
      <c r="F295" s="27"/>
      <c r="G295" s="27"/>
      <c r="H295" s="243"/>
      <c r="I295" s="243"/>
      <c r="J295" s="27"/>
      <c r="K295" s="27"/>
      <c r="L295" s="27"/>
      <c r="M295" s="27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</row>
    <row r="296" spans="2:48" ht="15.75" customHeight="1" x14ac:dyDescent="0.2">
      <c r="B296" s="2"/>
      <c r="C296" s="2"/>
      <c r="D296" s="27"/>
      <c r="E296" s="27"/>
      <c r="F296" s="27"/>
      <c r="G296" s="27"/>
      <c r="H296" s="243"/>
      <c r="I296" s="243"/>
      <c r="J296" s="27"/>
      <c r="K296" s="27"/>
      <c r="L296" s="27"/>
      <c r="M296" s="27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</row>
    <row r="297" spans="2:48" ht="15.75" customHeight="1" x14ac:dyDescent="0.2">
      <c r="B297" s="2"/>
      <c r="C297" s="2"/>
      <c r="D297" s="27"/>
      <c r="E297" s="27"/>
      <c r="F297" s="27"/>
      <c r="G297" s="27"/>
      <c r="H297" s="243"/>
      <c r="I297" s="243"/>
      <c r="J297" s="27"/>
      <c r="K297" s="27"/>
      <c r="L297" s="27"/>
      <c r="M297" s="27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</row>
    <row r="298" spans="2:48" ht="15.75" customHeight="1" x14ac:dyDescent="0.2">
      <c r="B298" s="2"/>
      <c r="C298" s="2"/>
      <c r="D298" s="27"/>
      <c r="E298" s="27"/>
      <c r="F298" s="27"/>
      <c r="G298" s="27"/>
      <c r="H298" s="243"/>
      <c r="I298" s="243"/>
      <c r="J298" s="27"/>
      <c r="K298" s="27"/>
      <c r="L298" s="27"/>
      <c r="M298" s="27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</row>
    <row r="299" spans="2:48" ht="15.75" customHeight="1" x14ac:dyDescent="0.2">
      <c r="B299" s="2"/>
      <c r="C299" s="2"/>
      <c r="D299" s="27"/>
      <c r="E299" s="27"/>
      <c r="F299" s="27"/>
      <c r="G299" s="27"/>
      <c r="H299" s="243"/>
      <c r="I299" s="243"/>
      <c r="J299" s="27"/>
      <c r="K299" s="27"/>
      <c r="L299" s="27"/>
      <c r="M299" s="27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</row>
    <row r="300" spans="2:48" ht="15.75" customHeight="1" x14ac:dyDescent="0.2">
      <c r="B300" s="2"/>
      <c r="C300" s="2"/>
      <c r="D300" s="27"/>
      <c r="E300" s="27"/>
      <c r="F300" s="27"/>
      <c r="G300" s="27"/>
      <c r="H300" s="243"/>
      <c r="I300" s="243"/>
      <c r="J300" s="27"/>
      <c r="K300" s="27"/>
      <c r="L300" s="27"/>
      <c r="M300" s="27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</row>
    <row r="301" spans="2:48" ht="15.75" customHeight="1" x14ac:dyDescent="0.2">
      <c r="B301" s="2"/>
      <c r="C301" s="2"/>
      <c r="D301" s="27"/>
      <c r="E301" s="27"/>
      <c r="F301" s="27"/>
      <c r="G301" s="27"/>
      <c r="H301" s="243"/>
      <c r="I301" s="243"/>
      <c r="J301" s="27"/>
      <c r="K301" s="27"/>
      <c r="L301" s="27"/>
      <c r="M301" s="27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</row>
    <row r="302" spans="2:48" ht="15.75" customHeight="1" x14ac:dyDescent="0.2">
      <c r="B302" s="2"/>
      <c r="C302" s="2"/>
      <c r="D302" s="27"/>
      <c r="E302" s="27"/>
      <c r="F302" s="27"/>
      <c r="G302" s="27"/>
      <c r="H302" s="243"/>
      <c r="I302" s="243"/>
      <c r="J302" s="27"/>
      <c r="K302" s="27"/>
      <c r="L302" s="27"/>
      <c r="M302" s="27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</row>
    <row r="303" spans="2:48" ht="15.75" customHeight="1" x14ac:dyDescent="0.2">
      <c r="B303" s="2"/>
      <c r="C303" s="2"/>
      <c r="D303" s="27"/>
      <c r="E303" s="27"/>
      <c r="F303" s="27"/>
      <c r="G303" s="27"/>
      <c r="H303" s="243"/>
      <c r="I303" s="243"/>
      <c r="J303" s="27"/>
      <c r="K303" s="27"/>
      <c r="L303" s="27"/>
      <c r="M303" s="27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</row>
    <row r="304" spans="2:48" ht="15.75" customHeight="1" x14ac:dyDescent="0.2">
      <c r="B304" s="2"/>
      <c r="C304" s="2"/>
      <c r="D304" s="27"/>
      <c r="E304" s="27"/>
      <c r="F304" s="27"/>
      <c r="G304" s="27"/>
      <c r="H304" s="243"/>
      <c r="I304" s="243"/>
      <c r="J304" s="27"/>
      <c r="K304" s="27"/>
      <c r="L304" s="27"/>
      <c r="M304" s="27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</row>
    <row r="305" spans="2:48" ht="15.75" customHeight="1" x14ac:dyDescent="0.2">
      <c r="B305" s="2"/>
      <c r="C305" s="2"/>
      <c r="D305" s="27"/>
      <c r="E305" s="27"/>
      <c r="F305" s="27"/>
      <c r="G305" s="27"/>
      <c r="H305" s="243"/>
      <c r="I305" s="243"/>
      <c r="J305" s="27"/>
      <c r="K305" s="27"/>
      <c r="L305" s="27"/>
      <c r="M305" s="27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</row>
    <row r="306" spans="2:48" ht="15.75" customHeight="1" x14ac:dyDescent="0.2">
      <c r="B306" s="2"/>
      <c r="C306" s="2"/>
      <c r="D306" s="27"/>
      <c r="E306" s="27"/>
      <c r="F306" s="27"/>
      <c r="G306" s="27"/>
      <c r="H306" s="243"/>
      <c r="I306" s="243"/>
      <c r="J306" s="27"/>
      <c r="K306" s="27"/>
      <c r="L306" s="27"/>
      <c r="M306" s="27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</row>
    <row r="307" spans="2:48" ht="15.75" customHeight="1" x14ac:dyDescent="0.2">
      <c r="B307" s="2"/>
      <c r="C307" s="2"/>
      <c r="D307" s="27"/>
      <c r="E307" s="27"/>
      <c r="F307" s="27"/>
      <c r="G307" s="27"/>
      <c r="H307" s="243"/>
      <c r="I307" s="243"/>
      <c r="J307" s="27"/>
      <c r="K307" s="27"/>
      <c r="L307" s="27"/>
      <c r="M307" s="27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</row>
    <row r="308" spans="2:48" ht="15.75" customHeight="1" x14ac:dyDescent="0.2">
      <c r="B308" s="2"/>
      <c r="C308" s="2"/>
      <c r="D308" s="27"/>
      <c r="E308" s="27"/>
      <c r="F308" s="27"/>
      <c r="G308" s="27"/>
      <c r="H308" s="243"/>
      <c r="I308" s="243"/>
      <c r="J308" s="27"/>
      <c r="K308" s="27"/>
      <c r="L308" s="27"/>
      <c r="M308" s="27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</row>
    <row r="309" spans="2:48" ht="15.75" customHeight="1" x14ac:dyDescent="0.2">
      <c r="B309" s="2"/>
      <c r="C309" s="2"/>
      <c r="D309" s="27"/>
      <c r="E309" s="27"/>
      <c r="F309" s="27"/>
      <c r="G309" s="27"/>
      <c r="H309" s="243"/>
      <c r="I309" s="243"/>
      <c r="J309" s="27"/>
      <c r="K309" s="27"/>
      <c r="L309" s="27"/>
      <c r="M309" s="27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</row>
    <row r="310" spans="2:48" ht="15.75" customHeight="1" x14ac:dyDescent="0.2">
      <c r="B310" s="2"/>
      <c r="C310" s="2"/>
      <c r="D310" s="27"/>
      <c r="E310" s="27"/>
      <c r="F310" s="27"/>
      <c r="G310" s="27"/>
      <c r="H310" s="243"/>
      <c r="I310" s="243"/>
      <c r="J310" s="27"/>
      <c r="K310" s="27"/>
      <c r="L310" s="27"/>
      <c r="M310" s="27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</row>
    <row r="311" spans="2:48" ht="15.75" customHeight="1" x14ac:dyDescent="0.2">
      <c r="B311" s="2"/>
      <c r="C311" s="2"/>
      <c r="D311" s="27"/>
      <c r="E311" s="27"/>
      <c r="F311" s="27"/>
      <c r="G311" s="27"/>
      <c r="H311" s="243"/>
      <c r="I311" s="243"/>
      <c r="J311" s="27"/>
      <c r="K311" s="27"/>
      <c r="L311" s="27"/>
      <c r="M311" s="27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</row>
    <row r="312" spans="2:48" ht="15.75" customHeight="1" x14ac:dyDescent="0.2">
      <c r="B312" s="2"/>
      <c r="C312" s="2"/>
      <c r="D312" s="27"/>
      <c r="E312" s="27"/>
      <c r="F312" s="27"/>
      <c r="G312" s="27"/>
      <c r="H312" s="243"/>
      <c r="I312" s="243"/>
      <c r="J312" s="27"/>
      <c r="K312" s="27"/>
      <c r="L312" s="27"/>
      <c r="M312" s="27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</row>
    <row r="313" spans="2:48" ht="15.75" customHeight="1" x14ac:dyDescent="0.2">
      <c r="B313" s="2"/>
      <c r="C313" s="2"/>
      <c r="D313" s="27"/>
      <c r="E313" s="27"/>
      <c r="F313" s="27"/>
      <c r="G313" s="27"/>
      <c r="H313" s="243"/>
      <c r="I313" s="243"/>
      <c r="J313" s="27"/>
      <c r="K313" s="27"/>
      <c r="L313" s="27"/>
      <c r="M313" s="27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</row>
    <row r="314" spans="2:48" ht="15.75" customHeight="1" x14ac:dyDescent="0.2">
      <c r="B314" s="2"/>
      <c r="C314" s="2"/>
      <c r="D314" s="27"/>
      <c r="E314" s="27"/>
      <c r="F314" s="27"/>
      <c r="G314" s="27"/>
      <c r="H314" s="243"/>
      <c r="I314" s="243"/>
      <c r="J314" s="27"/>
      <c r="K314" s="27"/>
      <c r="L314" s="27"/>
      <c r="M314" s="27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</row>
    <row r="315" spans="2:48" ht="15.75" customHeight="1" x14ac:dyDescent="0.2">
      <c r="B315" s="2"/>
      <c r="C315" s="2"/>
      <c r="D315" s="27"/>
      <c r="E315" s="27"/>
      <c r="F315" s="27"/>
      <c r="G315" s="27"/>
      <c r="H315" s="243"/>
      <c r="I315" s="243"/>
      <c r="J315" s="27"/>
      <c r="K315" s="27"/>
      <c r="L315" s="27"/>
      <c r="M315" s="27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</row>
    <row r="316" spans="2:48" ht="15.75" customHeight="1" x14ac:dyDescent="0.2">
      <c r="B316" s="2"/>
      <c r="C316" s="2"/>
      <c r="D316" s="27"/>
      <c r="E316" s="27"/>
      <c r="F316" s="27"/>
      <c r="G316" s="27"/>
      <c r="H316" s="243"/>
      <c r="I316" s="243"/>
      <c r="J316" s="27"/>
      <c r="K316" s="27"/>
      <c r="L316" s="27"/>
      <c r="M316" s="27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</row>
    <row r="317" spans="2:48" ht="15.75" customHeight="1" x14ac:dyDescent="0.2">
      <c r="B317" s="2"/>
      <c r="C317" s="2"/>
      <c r="D317" s="27"/>
      <c r="E317" s="27"/>
      <c r="F317" s="27"/>
      <c r="G317" s="27"/>
      <c r="H317" s="243"/>
      <c r="I317" s="243"/>
      <c r="J317" s="27"/>
      <c r="K317" s="27"/>
      <c r="L317" s="27"/>
      <c r="M317" s="27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</row>
    <row r="318" spans="2:48" ht="15.75" customHeight="1" x14ac:dyDescent="0.2">
      <c r="B318" s="2"/>
      <c r="C318" s="2"/>
      <c r="D318" s="27"/>
      <c r="E318" s="27"/>
      <c r="F318" s="27"/>
      <c r="G318" s="27"/>
      <c r="H318" s="243"/>
      <c r="I318" s="243"/>
      <c r="J318" s="27"/>
      <c r="K318" s="27"/>
      <c r="L318" s="27"/>
      <c r="M318" s="27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</row>
    <row r="319" spans="2:48" ht="15.75" customHeight="1" x14ac:dyDescent="0.2">
      <c r="B319" s="2"/>
      <c r="C319" s="2"/>
      <c r="D319" s="27"/>
      <c r="E319" s="27"/>
      <c r="F319" s="27"/>
      <c r="G319" s="27"/>
      <c r="H319" s="243"/>
      <c r="I319" s="243"/>
      <c r="J319" s="27"/>
      <c r="K319" s="27"/>
      <c r="L319" s="27"/>
      <c r="M319" s="27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</row>
    <row r="320" spans="2:48" ht="15.75" customHeight="1" x14ac:dyDescent="0.2">
      <c r="B320" s="2"/>
      <c r="C320" s="2"/>
      <c r="D320" s="27"/>
      <c r="E320" s="27"/>
      <c r="F320" s="27"/>
      <c r="G320" s="27"/>
      <c r="H320" s="243"/>
      <c r="I320" s="243"/>
      <c r="J320" s="27"/>
      <c r="K320" s="27"/>
      <c r="L320" s="27"/>
      <c r="M320" s="27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</row>
    <row r="321" spans="2:48" ht="15.75" customHeight="1" x14ac:dyDescent="0.2">
      <c r="B321" s="2"/>
      <c r="C321" s="2"/>
      <c r="D321" s="27"/>
      <c r="E321" s="27"/>
      <c r="F321" s="27"/>
      <c r="G321" s="27"/>
      <c r="H321" s="243"/>
      <c r="I321" s="243"/>
      <c r="J321" s="27"/>
      <c r="K321" s="27"/>
      <c r="L321" s="27"/>
      <c r="M321" s="27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</row>
    <row r="322" spans="2:48" ht="15.75" customHeight="1" x14ac:dyDescent="0.2">
      <c r="B322" s="2"/>
      <c r="C322" s="2"/>
      <c r="D322" s="27"/>
      <c r="E322" s="27"/>
      <c r="F322" s="27"/>
      <c r="G322" s="27"/>
      <c r="H322" s="243"/>
      <c r="I322" s="243"/>
      <c r="J322" s="27"/>
      <c r="K322" s="27"/>
      <c r="L322" s="27"/>
      <c r="M322" s="27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</row>
    <row r="323" spans="2:48" ht="15.75" customHeight="1" x14ac:dyDescent="0.2">
      <c r="B323" s="2"/>
      <c r="C323" s="2"/>
      <c r="D323" s="27"/>
      <c r="E323" s="27"/>
      <c r="F323" s="27"/>
      <c r="G323" s="27"/>
      <c r="H323" s="243"/>
      <c r="I323" s="243"/>
      <c r="J323" s="27"/>
      <c r="K323" s="27"/>
      <c r="L323" s="27"/>
      <c r="M323" s="27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</row>
    <row r="324" spans="2:48" ht="15.75" customHeight="1" x14ac:dyDescent="0.2">
      <c r="B324" s="2"/>
      <c r="C324" s="2"/>
      <c r="D324" s="27"/>
      <c r="E324" s="27"/>
      <c r="F324" s="27"/>
      <c r="G324" s="27"/>
      <c r="H324" s="243"/>
      <c r="I324" s="243"/>
      <c r="J324" s="27"/>
      <c r="K324" s="27"/>
      <c r="L324" s="27"/>
      <c r="M324" s="27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</row>
    <row r="325" spans="2:48" ht="15.75" customHeight="1" x14ac:dyDescent="0.2">
      <c r="B325" s="2"/>
      <c r="C325" s="2"/>
      <c r="D325" s="27"/>
      <c r="E325" s="27"/>
      <c r="F325" s="27"/>
      <c r="G325" s="27"/>
      <c r="H325" s="243"/>
      <c r="I325" s="243"/>
      <c r="J325" s="27"/>
      <c r="K325" s="27"/>
      <c r="L325" s="27"/>
      <c r="M325" s="27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</row>
    <row r="326" spans="2:48" ht="15.75" customHeight="1" x14ac:dyDescent="0.2">
      <c r="B326" s="2"/>
      <c r="C326" s="2"/>
      <c r="D326" s="27"/>
      <c r="E326" s="27"/>
      <c r="F326" s="27"/>
      <c r="G326" s="27"/>
      <c r="H326" s="243"/>
      <c r="I326" s="243"/>
      <c r="J326" s="27"/>
      <c r="K326" s="27"/>
      <c r="L326" s="27"/>
      <c r="M326" s="27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</row>
    <row r="327" spans="2:48" ht="15.75" customHeight="1" x14ac:dyDescent="0.2">
      <c r="B327" s="2"/>
      <c r="C327" s="2"/>
      <c r="D327" s="27"/>
      <c r="E327" s="27"/>
      <c r="F327" s="27"/>
      <c r="G327" s="27"/>
      <c r="H327" s="243"/>
      <c r="I327" s="243"/>
      <c r="J327" s="27"/>
      <c r="K327" s="27"/>
      <c r="L327" s="27"/>
      <c r="M327" s="27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</row>
    <row r="328" spans="2:48" ht="15.75" customHeight="1" x14ac:dyDescent="0.2">
      <c r="B328" s="2"/>
      <c r="C328" s="2"/>
      <c r="D328" s="27"/>
      <c r="E328" s="27"/>
      <c r="F328" s="27"/>
      <c r="G328" s="27"/>
      <c r="H328" s="243"/>
      <c r="I328" s="243"/>
      <c r="J328" s="27"/>
      <c r="K328" s="27"/>
      <c r="L328" s="27"/>
      <c r="M328" s="27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</row>
    <row r="329" spans="2:48" ht="15.75" customHeight="1" x14ac:dyDescent="0.2">
      <c r="B329" s="2"/>
      <c r="C329" s="2"/>
      <c r="D329" s="27"/>
      <c r="E329" s="27"/>
      <c r="F329" s="27"/>
      <c r="G329" s="27"/>
      <c r="H329" s="243"/>
      <c r="I329" s="243"/>
      <c r="J329" s="27"/>
      <c r="K329" s="27"/>
      <c r="L329" s="27"/>
      <c r="M329" s="27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</row>
    <row r="330" spans="2:48" ht="15.75" customHeight="1" x14ac:dyDescent="0.2">
      <c r="B330" s="2"/>
      <c r="C330" s="2"/>
      <c r="D330" s="27"/>
      <c r="E330" s="27"/>
      <c r="F330" s="27"/>
      <c r="G330" s="27"/>
      <c r="H330" s="243"/>
      <c r="I330" s="243"/>
      <c r="J330" s="27"/>
      <c r="K330" s="27"/>
      <c r="L330" s="27"/>
      <c r="M330" s="27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</row>
    <row r="331" spans="2:48" ht="15.75" customHeight="1" x14ac:dyDescent="0.2">
      <c r="B331" s="2"/>
      <c r="C331" s="2"/>
      <c r="D331" s="27"/>
      <c r="E331" s="27"/>
      <c r="F331" s="27"/>
      <c r="G331" s="27"/>
      <c r="H331" s="243"/>
      <c r="I331" s="243"/>
      <c r="J331" s="27"/>
      <c r="K331" s="27"/>
      <c r="L331" s="27"/>
      <c r="M331" s="27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</row>
    <row r="332" spans="2:48" ht="15.75" customHeight="1" x14ac:dyDescent="0.2">
      <c r="B332" s="2"/>
      <c r="C332" s="2"/>
      <c r="D332" s="27"/>
      <c r="E332" s="27"/>
      <c r="F332" s="27"/>
      <c r="G332" s="27"/>
      <c r="H332" s="243"/>
      <c r="I332" s="243"/>
      <c r="J332" s="27"/>
      <c r="K332" s="27"/>
      <c r="L332" s="27"/>
      <c r="M332" s="27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</row>
    <row r="333" spans="2:48" ht="15.75" customHeight="1" x14ac:dyDescent="0.2">
      <c r="B333" s="2"/>
      <c r="C333" s="2"/>
      <c r="D333" s="27"/>
      <c r="E333" s="27"/>
      <c r="F333" s="27"/>
      <c r="G333" s="27"/>
      <c r="H333" s="243"/>
      <c r="I333" s="243"/>
      <c r="J333" s="27"/>
      <c r="K333" s="27"/>
      <c r="L333" s="27"/>
      <c r="M333" s="27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</row>
    <row r="334" spans="2:48" ht="15.75" customHeight="1" x14ac:dyDescent="0.2">
      <c r="B334" s="2"/>
      <c r="C334" s="2"/>
      <c r="D334" s="27"/>
      <c r="E334" s="27"/>
      <c r="F334" s="27"/>
      <c r="G334" s="27"/>
      <c r="H334" s="243"/>
      <c r="I334" s="243"/>
      <c r="J334" s="27"/>
      <c r="K334" s="27"/>
      <c r="L334" s="27"/>
      <c r="M334" s="27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</row>
    <row r="335" spans="2:48" ht="15.75" customHeight="1" x14ac:dyDescent="0.2">
      <c r="B335" s="2"/>
      <c r="C335" s="2"/>
      <c r="D335" s="27"/>
      <c r="E335" s="27"/>
      <c r="F335" s="27"/>
      <c r="G335" s="27"/>
      <c r="H335" s="243"/>
      <c r="I335" s="243"/>
      <c r="J335" s="27"/>
      <c r="K335" s="27"/>
      <c r="L335" s="27"/>
      <c r="M335" s="27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</row>
    <row r="336" spans="2:48" ht="15.75" customHeight="1" x14ac:dyDescent="0.2">
      <c r="B336" s="2"/>
      <c r="C336" s="2"/>
      <c r="D336" s="27"/>
      <c r="E336" s="27"/>
      <c r="F336" s="27"/>
      <c r="G336" s="27"/>
      <c r="H336" s="243"/>
      <c r="I336" s="243"/>
      <c r="J336" s="27"/>
      <c r="K336" s="27"/>
      <c r="L336" s="27"/>
      <c r="M336" s="27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</row>
    <row r="337" spans="2:48" ht="15.75" customHeight="1" x14ac:dyDescent="0.2">
      <c r="B337" s="2"/>
      <c r="C337" s="2"/>
      <c r="D337" s="27"/>
      <c r="E337" s="27"/>
      <c r="F337" s="27"/>
      <c r="G337" s="27"/>
      <c r="H337" s="243"/>
      <c r="I337" s="243"/>
      <c r="J337" s="27"/>
      <c r="K337" s="27"/>
      <c r="L337" s="27"/>
      <c r="M337" s="27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</row>
    <row r="338" spans="2:48" ht="15.75" customHeight="1" x14ac:dyDescent="0.2">
      <c r="B338" s="2"/>
      <c r="C338" s="2"/>
      <c r="D338" s="27"/>
      <c r="E338" s="27"/>
      <c r="F338" s="27"/>
      <c r="G338" s="27"/>
      <c r="H338" s="243"/>
      <c r="I338" s="243"/>
      <c r="J338" s="27"/>
      <c r="K338" s="27"/>
      <c r="L338" s="27"/>
      <c r="M338" s="27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</row>
    <row r="339" spans="2:48" ht="15.75" customHeight="1" x14ac:dyDescent="0.2">
      <c r="B339" s="2"/>
      <c r="C339" s="2"/>
      <c r="D339" s="27"/>
      <c r="E339" s="27"/>
      <c r="F339" s="27"/>
      <c r="G339" s="27"/>
      <c r="H339" s="243"/>
      <c r="I339" s="243"/>
      <c r="J339" s="27"/>
      <c r="K339" s="27"/>
      <c r="L339" s="27"/>
      <c r="M339" s="27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</row>
    <row r="340" spans="2:48" ht="15.75" customHeight="1" x14ac:dyDescent="0.2">
      <c r="B340" s="2"/>
      <c r="C340" s="2"/>
      <c r="D340" s="27"/>
      <c r="E340" s="27"/>
      <c r="F340" s="27"/>
      <c r="G340" s="27"/>
      <c r="H340" s="243"/>
      <c r="I340" s="243"/>
      <c r="J340" s="27"/>
      <c r="K340" s="27"/>
      <c r="L340" s="27"/>
      <c r="M340" s="27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</row>
    <row r="341" spans="2:48" ht="15.75" customHeight="1" x14ac:dyDescent="0.2">
      <c r="B341" s="2"/>
      <c r="C341" s="2"/>
      <c r="D341" s="27"/>
      <c r="E341" s="27"/>
      <c r="F341" s="27"/>
      <c r="G341" s="27"/>
      <c r="H341" s="243"/>
      <c r="I341" s="243"/>
      <c r="J341" s="27"/>
      <c r="K341" s="27"/>
      <c r="L341" s="27"/>
      <c r="M341" s="27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</row>
    <row r="342" spans="2:48" ht="15.75" customHeight="1" x14ac:dyDescent="0.2">
      <c r="B342" s="2"/>
      <c r="C342" s="2"/>
      <c r="D342" s="27"/>
      <c r="E342" s="27"/>
      <c r="F342" s="27"/>
      <c r="G342" s="27"/>
      <c r="H342" s="243"/>
      <c r="I342" s="243"/>
      <c r="J342" s="27"/>
      <c r="K342" s="27"/>
      <c r="L342" s="27"/>
      <c r="M342" s="27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</row>
    <row r="343" spans="2:48" ht="15.75" customHeight="1" x14ac:dyDescent="0.2">
      <c r="B343" s="2"/>
      <c r="C343" s="2"/>
      <c r="D343" s="27"/>
      <c r="E343" s="27"/>
      <c r="F343" s="27"/>
      <c r="G343" s="27"/>
      <c r="H343" s="243"/>
      <c r="I343" s="243"/>
      <c r="J343" s="27"/>
      <c r="K343" s="27"/>
      <c r="L343" s="27"/>
      <c r="M343" s="27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</row>
    <row r="344" spans="2:48" ht="15.75" customHeight="1" x14ac:dyDescent="0.2">
      <c r="B344" s="2"/>
      <c r="C344" s="2"/>
      <c r="D344" s="27"/>
      <c r="E344" s="27"/>
      <c r="F344" s="27"/>
      <c r="G344" s="27"/>
      <c r="H344" s="243"/>
      <c r="I344" s="243"/>
      <c r="J344" s="27"/>
      <c r="K344" s="27"/>
      <c r="L344" s="27"/>
      <c r="M344" s="27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</row>
    <row r="345" spans="2:48" ht="15.75" customHeight="1" x14ac:dyDescent="0.2">
      <c r="B345" s="2"/>
      <c r="C345" s="2"/>
      <c r="D345" s="27"/>
      <c r="E345" s="27"/>
      <c r="F345" s="27"/>
      <c r="G345" s="27"/>
      <c r="H345" s="243"/>
      <c r="I345" s="243"/>
      <c r="J345" s="27"/>
      <c r="K345" s="27"/>
      <c r="L345" s="27"/>
      <c r="M345" s="27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</row>
    <row r="346" spans="2:48" ht="15.75" customHeight="1" x14ac:dyDescent="0.2">
      <c r="B346" s="2"/>
      <c r="C346" s="2"/>
      <c r="D346" s="27"/>
      <c r="E346" s="27"/>
      <c r="F346" s="27"/>
      <c r="G346" s="27"/>
      <c r="H346" s="243"/>
      <c r="I346" s="243"/>
      <c r="J346" s="27"/>
      <c r="K346" s="27"/>
      <c r="L346" s="27"/>
      <c r="M346" s="27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</row>
    <row r="347" spans="2:48" ht="15.75" customHeight="1" x14ac:dyDescent="0.2">
      <c r="B347" s="2"/>
      <c r="C347" s="2"/>
      <c r="D347" s="27"/>
      <c r="E347" s="27"/>
      <c r="F347" s="27"/>
      <c r="G347" s="27"/>
      <c r="H347" s="243"/>
      <c r="I347" s="243"/>
      <c r="J347" s="27"/>
      <c r="K347" s="27"/>
      <c r="L347" s="27"/>
      <c r="M347" s="27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</row>
    <row r="348" spans="2:48" ht="15.75" customHeight="1" x14ac:dyDescent="0.2">
      <c r="B348" s="2"/>
      <c r="C348" s="2"/>
      <c r="D348" s="27"/>
      <c r="E348" s="27"/>
      <c r="F348" s="27"/>
      <c r="G348" s="27"/>
      <c r="H348" s="243"/>
      <c r="I348" s="243"/>
      <c r="J348" s="27"/>
      <c r="K348" s="27"/>
      <c r="L348" s="27"/>
      <c r="M348" s="27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</row>
    <row r="349" spans="2:48" ht="15.75" customHeight="1" x14ac:dyDescent="0.2">
      <c r="B349" s="2"/>
      <c r="C349" s="2"/>
      <c r="D349" s="27"/>
      <c r="E349" s="27"/>
      <c r="F349" s="27"/>
      <c r="G349" s="27"/>
      <c r="H349" s="243"/>
      <c r="I349" s="243"/>
      <c r="J349" s="27"/>
      <c r="K349" s="27"/>
      <c r="L349" s="27"/>
      <c r="M349" s="27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</row>
    <row r="350" spans="2:48" ht="15.75" customHeight="1" x14ac:dyDescent="0.2">
      <c r="B350" s="2"/>
      <c r="C350" s="2"/>
      <c r="D350" s="27"/>
      <c r="E350" s="27"/>
      <c r="F350" s="27"/>
      <c r="G350" s="27"/>
      <c r="H350" s="243"/>
      <c r="I350" s="243"/>
      <c r="J350" s="27"/>
      <c r="K350" s="27"/>
      <c r="L350" s="27"/>
      <c r="M350" s="27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</row>
    <row r="351" spans="2:48" ht="15.75" customHeight="1" x14ac:dyDescent="0.2">
      <c r="B351" s="2"/>
      <c r="C351" s="2"/>
      <c r="D351" s="27"/>
      <c r="E351" s="27"/>
      <c r="F351" s="27"/>
      <c r="G351" s="27"/>
      <c r="H351" s="243"/>
      <c r="I351" s="243"/>
      <c r="J351" s="27"/>
      <c r="K351" s="27"/>
      <c r="L351" s="27"/>
      <c r="M351" s="27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</row>
    <row r="352" spans="2:48" ht="15.75" customHeight="1" x14ac:dyDescent="0.2">
      <c r="B352" s="2"/>
      <c r="C352" s="2"/>
      <c r="D352" s="27"/>
      <c r="E352" s="27"/>
      <c r="F352" s="27"/>
      <c r="G352" s="27"/>
      <c r="H352" s="243"/>
      <c r="I352" s="243"/>
      <c r="J352" s="27"/>
      <c r="K352" s="27"/>
      <c r="L352" s="27"/>
      <c r="M352" s="27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</row>
    <row r="353" spans="2:48" ht="15.75" customHeight="1" x14ac:dyDescent="0.2">
      <c r="B353" s="2"/>
      <c r="C353" s="2"/>
      <c r="D353" s="27"/>
      <c r="E353" s="27"/>
      <c r="F353" s="27"/>
      <c r="G353" s="27"/>
      <c r="H353" s="243"/>
      <c r="I353" s="243"/>
      <c r="J353" s="27"/>
      <c r="K353" s="27"/>
      <c r="L353" s="27"/>
      <c r="M353" s="27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</row>
    <row r="354" spans="2:48" ht="15.75" customHeight="1" x14ac:dyDescent="0.2">
      <c r="B354" s="2"/>
      <c r="C354" s="2"/>
      <c r="D354" s="27"/>
      <c r="E354" s="27"/>
      <c r="F354" s="27"/>
      <c r="G354" s="27"/>
      <c r="H354" s="243"/>
      <c r="I354" s="243"/>
      <c r="J354" s="27"/>
      <c r="K354" s="27"/>
      <c r="L354" s="27"/>
      <c r="M354" s="27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</row>
    <row r="355" spans="2:48" ht="15.75" customHeight="1" x14ac:dyDescent="0.2">
      <c r="B355" s="2"/>
      <c r="C355" s="2"/>
      <c r="D355" s="27"/>
      <c r="E355" s="27"/>
      <c r="F355" s="27"/>
      <c r="G355" s="27"/>
      <c r="H355" s="243"/>
      <c r="I355" s="243"/>
      <c r="J355" s="27"/>
      <c r="K355" s="27"/>
      <c r="L355" s="27"/>
      <c r="M355" s="27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</row>
    <row r="356" spans="2:48" ht="15.75" customHeight="1" x14ac:dyDescent="0.2">
      <c r="B356" s="2"/>
      <c r="C356" s="2"/>
      <c r="D356" s="27"/>
      <c r="E356" s="27"/>
      <c r="F356" s="27"/>
      <c r="G356" s="27"/>
      <c r="H356" s="243"/>
      <c r="I356" s="243"/>
      <c r="J356" s="27"/>
      <c r="K356" s="27"/>
      <c r="L356" s="27"/>
      <c r="M356" s="27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</row>
    <row r="357" spans="2:48" ht="15.75" customHeight="1" x14ac:dyDescent="0.2">
      <c r="B357" s="2"/>
      <c r="C357" s="2"/>
      <c r="D357" s="27"/>
      <c r="E357" s="27"/>
      <c r="F357" s="27"/>
      <c r="G357" s="27"/>
      <c r="H357" s="243"/>
      <c r="I357" s="243"/>
      <c r="J357" s="27"/>
      <c r="K357" s="27"/>
      <c r="L357" s="27"/>
      <c r="M357" s="27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</row>
    <row r="358" spans="2:48" ht="15.75" customHeight="1" x14ac:dyDescent="0.2">
      <c r="B358" s="2"/>
      <c r="C358" s="2"/>
      <c r="D358" s="27"/>
      <c r="E358" s="27"/>
      <c r="F358" s="27"/>
      <c r="G358" s="27"/>
      <c r="H358" s="243"/>
      <c r="I358" s="243"/>
      <c r="J358" s="27"/>
      <c r="K358" s="27"/>
      <c r="L358" s="27"/>
      <c r="M358" s="27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</row>
    <row r="359" spans="2:48" ht="15.75" customHeight="1" x14ac:dyDescent="0.2">
      <c r="B359" s="2"/>
      <c r="C359" s="2"/>
      <c r="D359" s="27"/>
      <c r="E359" s="27"/>
      <c r="F359" s="27"/>
      <c r="G359" s="27"/>
      <c r="H359" s="243"/>
      <c r="I359" s="243"/>
      <c r="J359" s="27"/>
      <c r="K359" s="27"/>
      <c r="L359" s="27"/>
      <c r="M359" s="27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</row>
    <row r="360" spans="2:48" ht="15.75" customHeight="1" x14ac:dyDescent="0.2">
      <c r="B360" s="2"/>
      <c r="C360" s="2"/>
      <c r="D360" s="27"/>
      <c r="E360" s="27"/>
      <c r="F360" s="27"/>
      <c r="G360" s="27"/>
      <c r="H360" s="243"/>
      <c r="I360" s="243"/>
      <c r="J360" s="27"/>
      <c r="K360" s="27"/>
      <c r="L360" s="27"/>
      <c r="M360" s="27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</row>
    <row r="361" spans="2:48" ht="15.75" customHeight="1" x14ac:dyDescent="0.2">
      <c r="B361" s="2"/>
      <c r="C361" s="2"/>
      <c r="D361" s="27"/>
      <c r="E361" s="27"/>
      <c r="F361" s="27"/>
      <c r="G361" s="27"/>
      <c r="H361" s="243"/>
      <c r="I361" s="243"/>
      <c r="J361" s="27"/>
      <c r="K361" s="27"/>
      <c r="L361" s="27"/>
      <c r="M361" s="27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</row>
    <row r="362" spans="2:48" ht="15.75" customHeight="1" x14ac:dyDescent="0.2">
      <c r="B362" s="2"/>
      <c r="C362" s="2"/>
      <c r="D362" s="27"/>
      <c r="E362" s="27"/>
      <c r="F362" s="27"/>
      <c r="G362" s="27"/>
      <c r="H362" s="243"/>
      <c r="I362" s="243"/>
      <c r="J362" s="27"/>
      <c r="K362" s="27"/>
      <c r="L362" s="27"/>
      <c r="M362" s="27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</row>
    <row r="363" spans="2:48" ht="15.75" customHeight="1" x14ac:dyDescent="0.2">
      <c r="B363" s="2"/>
      <c r="C363" s="2"/>
      <c r="D363" s="27"/>
      <c r="E363" s="27"/>
      <c r="F363" s="27"/>
      <c r="G363" s="27"/>
      <c r="H363" s="243"/>
      <c r="I363" s="243"/>
      <c r="J363" s="27"/>
      <c r="K363" s="27"/>
      <c r="L363" s="27"/>
      <c r="M363" s="27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</row>
    <row r="364" spans="2:48" ht="15.75" customHeight="1" x14ac:dyDescent="0.2">
      <c r="B364" s="2"/>
      <c r="C364" s="2"/>
      <c r="D364" s="27"/>
      <c r="E364" s="27"/>
      <c r="F364" s="27"/>
      <c r="G364" s="27"/>
      <c r="H364" s="243"/>
      <c r="I364" s="243"/>
      <c r="J364" s="27"/>
      <c r="K364" s="27"/>
      <c r="L364" s="27"/>
      <c r="M364" s="27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</row>
    <row r="365" spans="2:48" ht="15.75" customHeight="1" x14ac:dyDescent="0.2">
      <c r="B365" s="2"/>
      <c r="C365" s="2"/>
      <c r="D365" s="27"/>
      <c r="E365" s="27"/>
      <c r="F365" s="27"/>
      <c r="G365" s="27"/>
      <c r="H365" s="243"/>
      <c r="I365" s="243"/>
      <c r="J365" s="27"/>
      <c r="K365" s="27"/>
      <c r="L365" s="27"/>
      <c r="M365" s="27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</row>
    <row r="366" spans="2:48" ht="15.75" customHeight="1" x14ac:dyDescent="0.2">
      <c r="B366" s="2"/>
      <c r="C366" s="2"/>
      <c r="D366" s="27"/>
      <c r="E366" s="27"/>
      <c r="F366" s="27"/>
      <c r="G366" s="27"/>
      <c r="H366" s="243"/>
      <c r="I366" s="243"/>
      <c r="J366" s="27"/>
      <c r="K366" s="27"/>
      <c r="L366" s="27"/>
      <c r="M366" s="27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</row>
    <row r="367" spans="2:48" ht="15.75" customHeight="1" x14ac:dyDescent="0.2">
      <c r="B367" s="2"/>
      <c r="C367" s="2"/>
      <c r="D367" s="27"/>
      <c r="E367" s="27"/>
      <c r="F367" s="27"/>
      <c r="G367" s="27"/>
      <c r="H367" s="243"/>
      <c r="I367" s="243"/>
      <c r="J367" s="27"/>
      <c r="K367" s="27"/>
      <c r="L367" s="27"/>
      <c r="M367" s="27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</row>
    <row r="368" spans="2:48" ht="15.75" customHeight="1" x14ac:dyDescent="0.2">
      <c r="B368" s="2"/>
      <c r="C368" s="2"/>
      <c r="D368" s="27"/>
      <c r="E368" s="27"/>
      <c r="F368" s="27"/>
      <c r="G368" s="27"/>
      <c r="H368" s="243"/>
      <c r="I368" s="243"/>
      <c r="J368" s="27"/>
      <c r="K368" s="27"/>
      <c r="L368" s="27"/>
      <c r="M368" s="27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</row>
    <row r="369" spans="2:48" ht="15.75" customHeight="1" x14ac:dyDescent="0.2">
      <c r="B369" s="2"/>
      <c r="C369" s="2"/>
      <c r="D369" s="27"/>
      <c r="E369" s="27"/>
      <c r="F369" s="27"/>
      <c r="G369" s="27"/>
      <c r="H369" s="243"/>
      <c r="I369" s="243"/>
      <c r="J369" s="27"/>
      <c r="K369" s="27"/>
      <c r="L369" s="27"/>
      <c r="M369" s="27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</row>
    <row r="370" spans="2:48" ht="15.75" customHeight="1" x14ac:dyDescent="0.2">
      <c r="B370" s="2"/>
      <c r="C370" s="2"/>
      <c r="D370" s="27"/>
      <c r="E370" s="27"/>
      <c r="F370" s="27"/>
      <c r="G370" s="27"/>
      <c r="H370" s="243"/>
      <c r="I370" s="243"/>
      <c r="J370" s="27"/>
      <c r="K370" s="27"/>
      <c r="L370" s="27"/>
      <c r="M370" s="27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</row>
    <row r="371" spans="2:48" ht="15.75" customHeight="1" x14ac:dyDescent="0.2">
      <c r="B371" s="2"/>
      <c r="C371" s="2"/>
      <c r="D371" s="27"/>
      <c r="E371" s="27"/>
      <c r="F371" s="27"/>
      <c r="G371" s="27"/>
      <c r="H371" s="243"/>
      <c r="I371" s="243"/>
      <c r="J371" s="27"/>
      <c r="K371" s="27"/>
      <c r="L371" s="27"/>
      <c r="M371" s="27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</row>
    <row r="372" spans="2:48" ht="15.75" customHeight="1" x14ac:dyDescent="0.2">
      <c r="B372" s="2"/>
      <c r="C372" s="2"/>
      <c r="D372" s="27"/>
      <c r="E372" s="27"/>
      <c r="F372" s="27"/>
      <c r="G372" s="27"/>
      <c r="H372" s="243"/>
      <c r="I372" s="243"/>
      <c r="J372" s="27"/>
      <c r="K372" s="27"/>
      <c r="L372" s="27"/>
      <c r="M372" s="27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</row>
    <row r="373" spans="2:48" ht="15.75" customHeight="1" x14ac:dyDescent="0.2">
      <c r="B373" s="2"/>
      <c r="C373" s="2"/>
      <c r="D373" s="27"/>
      <c r="E373" s="27"/>
      <c r="F373" s="27"/>
      <c r="G373" s="27"/>
      <c r="H373" s="243"/>
      <c r="I373" s="243"/>
      <c r="J373" s="27"/>
      <c r="K373" s="27"/>
      <c r="L373" s="27"/>
      <c r="M373" s="27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</row>
    <row r="374" spans="2:48" ht="15.75" customHeight="1" x14ac:dyDescent="0.2">
      <c r="B374" s="2"/>
      <c r="C374" s="2"/>
      <c r="D374" s="27"/>
      <c r="E374" s="27"/>
      <c r="F374" s="27"/>
      <c r="G374" s="27"/>
      <c r="H374" s="243"/>
      <c r="I374" s="243"/>
      <c r="J374" s="27"/>
      <c r="K374" s="27"/>
      <c r="L374" s="27"/>
      <c r="M374" s="27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</row>
    <row r="375" spans="2:48" ht="15.75" customHeight="1" x14ac:dyDescent="0.2">
      <c r="B375" s="2"/>
      <c r="C375" s="2"/>
      <c r="D375" s="27"/>
      <c r="E375" s="27"/>
      <c r="F375" s="27"/>
      <c r="G375" s="27"/>
      <c r="H375" s="243"/>
      <c r="I375" s="243"/>
      <c r="J375" s="27"/>
      <c r="K375" s="27"/>
      <c r="L375" s="27"/>
      <c r="M375" s="27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</row>
    <row r="376" spans="2:48" ht="15.75" customHeight="1" x14ac:dyDescent="0.2">
      <c r="B376" s="2"/>
      <c r="C376" s="2"/>
      <c r="D376" s="27"/>
      <c r="E376" s="27"/>
      <c r="F376" s="27"/>
      <c r="G376" s="27"/>
      <c r="H376" s="243"/>
      <c r="I376" s="243"/>
      <c r="J376" s="27"/>
      <c r="K376" s="27"/>
      <c r="L376" s="27"/>
      <c r="M376" s="27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</row>
    <row r="377" spans="2:48" ht="15.75" customHeight="1" x14ac:dyDescent="0.2">
      <c r="B377" s="2"/>
      <c r="C377" s="2"/>
      <c r="D377" s="27"/>
      <c r="E377" s="27"/>
      <c r="F377" s="27"/>
      <c r="G377" s="27"/>
      <c r="H377" s="243"/>
      <c r="I377" s="243"/>
      <c r="J377" s="27"/>
      <c r="K377" s="27"/>
      <c r="L377" s="27"/>
      <c r="M377" s="27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</row>
    <row r="378" spans="2:48" ht="15.75" customHeight="1" x14ac:dyDescent="0.2">
      <c r="B378" s="2"/>
      <c r="C378" s="2"/>
      <c r="D378" s="27"/>
      <c r="E378" s="27"/>
      <c r="F378" s="27"/>
      <c r="G378" s="27"/>
      <c r="H378" s="243"/>
      <c r="I378" s="243"/>
      <c r="J378" s="27"/>
      <c r="K378" s="27"/>
      <c r="L378" s="27"/>
      <c r="M378" s="27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</row>
    <row r="379" spans="2:48" ht="15.75" customHeight="1" x14ac:dyDescent="0.2">
      <c r="B379" s="2"/>
      <c r="C379" s="2"/>
      <c r="D379" s="27"/>
      <c r="E379" s="27"/>
      <c r="F379" s="27"/>
      <c r="G379" s="27"/>
      <c r="H379" s="243"/>
      <c r="I379" s="243"/>
      <c r="J379" s="27"/>
      <c r="K379" s="27"/>
      <c r="L379" s="27"/>
      <c r="M379" s="27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</row>
    <row r="380" spans="2:48" ht="15.75" customHeight="1" x14ac:dyDescent="0.2">
      <c r="B380" s="2"/>
      <c r="C380" s="2"/>
      <c r="D380" s="27"/>
      <c r="E380" s="27"/>
      <c r="F380" s="27"/>
      <c r="G380" s="27"/>
      <c r="H380" s="243"/>
      <c r="I380" s="243"/>
      <c r="J380" s="27"/>
      <c r="K380" s="27"/>
      <c r="L380" s="27"/>
      <c r="M380" s="27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</row>
    <row r="381" spans="2:48" ht="15.75" customHeight="1" x14ac:dyDescent="0.2">
      <c r="B381" s="2"/>
      <c r="C381" s="2"/>
      <c r="D381" s="27"/>
      <c r="E381" s="27"/>
      <c r="F381" s="27"/>
      <c r="G381" s="27"/>
      <c r="H381" s="243"/>
      <c r="I381" s="243"/>
      <c r="J381" s="27"/>
      <c r="K381" s="27"/>
      <c r="L381" s="27"/>
      <c r="M381" s="27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</row>
    <row r="382" spans="2:48" ht="15.75" customHeight="1" x14ac:dyDescent="0.2">
      <c r="B382" s="2"/>
      <c r="C382" s="2"/>
      <c r="D382" s="27"/>
      <c r="E382" s="27"/>
      <c r="F382" s="27"/>
      <c r="G382" s="27"/>
      <c r="H382" s="243"/>
      <c r="I382" s="243"/>
      <c r="J382" s="27"/>
      <c r="K382" s="27"/>
      <c r="L382" s="27"/>
      <c r="M382" s="27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</row>
    <row r="383" spans="2:48" ht="15.75" customHeight="1" x14ac:dyDescent="0.2">
      <c r="B383" s="2"/>
      <c r="C383" s="2"/>
      <c r="D383" s="27"/>
      <c r="E383" s="27"/>
      <c r="F383" s="27"/>
      <c r="G383" s="27"/>
      <c r="H383" s="243"/>
      <c r="I383" s="243"/>
      <c r="J383" s="27"/>
      <c r="K383" s="27"/>
      <c r="L383" s="27"/>
      <c r="M383" s="27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</row>
    <row r="384" spans="2:48" ht="15.75" customHeight="1" x14ac:dyDescent="0.2">
      <c r="B384" s="2"/>
      <c r="C384" s="2"/>
      <c r="D384" s="27"/>
      <c r="E384" s="27"/>
      <c r="F384" s="27"/>
      <c r="G384" s="27"/>
      <c r="H384" s="243"/>
      <c r="I384" s="243"/>
      <c r="J384" s="27"/>
      <c r="K384" s="27"/>
      <c r="L384" s="27"/>
      <c r="M384" s="27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</row>
    <row r="385" spans="2:48" ht="15.75" customHeight="1" x14ac:dyDescent="0.2">
      <c r="B385" s="2"/>
      <c r="C385" s="2"/>
      <c r="D385" s="27"/>
      <c r="E385" s="27"/>
      <c r="F385" s="27"/>
      <c r="G385" s="27"/>
      <c r="H385" s="243"/>
      <c r="I385" s="243"/>
      <c r="J385" s="27"/>
      <c r="K385" s="27"/>
      <c r="L385" s="27"/>
      <c r="M385" s="27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</row>
    <row r="386" spans="2:48" ht="15.75" customHeight="1" x14ac:dyDescent="0.2">
      <c r="B386" s="2"/>
      <c r="C386" s="2"/>
      <c r="D386" s="27"/>
      <c r="E386" s="27"/>
      <c r="F386" s="27"/>
      <c r="G386" s="27"/>
      <c r="H386" s="243"/>
      <c r="I386" s="243"/>
      <c r="J386" s="27"/>
      <c r="K386" s="27"/>
      <c r="L386" s="27"/>
      <c r="M386" s="27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</row>
    <row r="387" spans="2:48" ht="15.75" customHeight="1" x14ac:dyDescent="0.2">
      <c r="B387" s="2"/>
      <c r="C387" s="2"/>
      <c r="D387" s="27"/>
      <c r="E387" s="27"/>
      <c r="F387" s="27"/>
      <c r="G387" s="27"/>
      <c r="H387" s="243"/>
      <c r="I387" s="243"/>
      <c r="J387" s="27"/>
      <c r="K387" s="27"/>
      <c r="L387" s="27"/>
      <c r="M387" s="27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</row>
    <row r="388" spans="2:48" ht="15.75" customHeight="1" x14ac:dyDescent="0.2">
      <c r="B388" s="2"/>
      <c r="C388" s="2"/>
      <c r="D388" s="27"/>
      <c r="E388" s="27"/>
      <c r="F388" s="27"/>
      <c r="G388" s="27"/>
      <c r="H388" s="243"/>
      <c r="I388" s="243"/>
      <c r="J388" s="27"/>
      <c r="K388" s="27"/>
      <c r="L388" s="27"/>
      <c r="M388" s="27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</row>
    <row r="389" spans="2:48" ht="15.75" customHeight="1" x14ac:dyDescent="0.2">
      <c r="B389" s="2"/>
      <c r="C389" s="2"/>
      <c r="D389" s="27"/>
      <c r="E389" s="27"/>
      <c r="F389" s="27"/>
      <c r="G389" s="27"/>
      <c r="H389" s="243"/>
      <c r="I389" s="243"/>
      <c r="J389" s="27"/>
      <c r="K389" s="27"/>
      <c r="L389" s="27"/>
      <c r="M389" s="27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</row>
    <row r="390" spans="2:48" ht="15.75" customHeight="1" x14ac:dyDescent="0.2">
      <c r="B390" s="2"/>
      <c r="C390" s="2"/>
      <c r="D390" s="27"/>
      <c r="E390" s="27"/>
      <c r="F390" s="27"/>
      <c r="G390" s="27"/>
      <c r="H390" s="243"/>
      <c r="I390" s="243"/>
      <c r="J390" s="27"/>
      <c r="K390" s="27"/>
      <c r="L390" s="27"/>
      <c r="M390" s="27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</row>
    <row r="391" spans="2:48" ht="15.75" customHeight="1" x14ac:dyDescent="0.2">
      <c r="B391" s="2"/>
      <c r="C391" s="2"/>
      <c r="D391" s="27"/>
      <c r="E391" s="27"/>
      <c r="F391" s="27"/>
      <c r="G391" s="27"/>
      <c r="H391" s="243"/>
      <c r="I391" s="243"/>
      <c r="J391" s="27"/>
      <c r="K391" s="27"/>
      <c r="L391" s="27"/>
      <c r="M391" s="27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</row>
    <row r="392" spans="2:48" ht="15.75" customHeight="1" x14ac:dyDescent="0.2">
      <c r="B392" s="2"/>
      <c r="C392" s="2"/>
      <c r="D392" s="27"/>
      <c r="E392" s="27"/>
      <c r="F392" s="27"/>
      <c r="G392" s="27"/>
      <c r="H392" s="243"/>
      <c r="I392" s="243"/>
      <c r="J392" s="27"/>
      <c r="K392" s="27"/>
      <c r="L392" s="27"/>
      <c r="M392" s="27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</row>
    <row r="393" spans="2:48" ht="15.75" customHeight="1" x14ac:dyDescent="0.2">
      <c r="B393" s="2"/>
      <c r="C393" s="2"/>
      <c r="D393" s="27"/>
      <c r="E393" s="27"/>
      <c r="F393" s="27"/>
      <c r="G393" s="27"/>
      <c r="H393" s="243"/>
      <c r="I393" s="243"/>
      <c r="J393" s="27"/>
      <c r="K393" s="27"/>
      <c r="L393" s="27"/>
      <c r="M393" s="27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</row>
    <row r="394" spans="2:48" ht="15.75" customHeight="1" x14ac:dyDescent="0.2">
      <c r="B394" s="2"/>
      <c r="C394" s="2"/>
      <c r="D394" s="27"/>
      <c r="E394" s="27"/>
      <c r="F394" s="27"/>
      <c r="G394" s="27"/>
      <c r="H394" s="243"/>
      <c r="I394" s="243"/>
      <c r="J394" s="27"/>
      <c r="K394" s="27"/>
      <c r="L394" s="27"/>
      <c r="M394" s="27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</row>
    <row r="395" spans="2:48" ht="15.75" customHeight="1" x14ac:dyDescent="0.2">
      <c r="B395" s="2"/>
      <c r="C395" s="2"/>
      <c r="D395" s="27"/>
      <c r="E395" s="27"/>
      <c r="F395" s="27"/>
      <c r="G395" s="27"/>
      <c r="H395" s="243"/>
      <c r="I395" s="243"/>
      <c r="J395" s="27"/>
      <c r="K395" s="27"/>
      <c r="L395" s="27"/>
      <c r="M395" s="27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</row>
    <row r="396" spans="2:48" ht="15.75" customHeight="1" x14ac:dyDescent="0.2">
      <c r="B396" s="2"/>
      <c r="C396" s="2"/>
      <c r="D396" s="27"/>
      <c r="E396" s="27"/>
      <c r="F396" s="27"/>
      <c r="G396" s="27"/>
      <c r="H396" s="243"/>
      <c r="I396" s="243"/>
      <c r="J396" s="27"/>
      <c r="K396" s="27"/>
      <c r="L396" s="27"/>
      <c r="M396" s="27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</row>
    <row r="397" spans="2:48" ht="15.75" customHeight="1" x14ac:dyDescent="0.2">
      <c r="B397" s="2"/>
      <c r="C397" s="2"/>
      <c r="D397" s="27"/>
      <c r="E397" s="27"/>
      <c r="F397" s="27"/>
      <c r="G397" s="27"/>
      <c r="H397" s="243"/>
      <c r="I397" s="243"/>
      <c r="J397" s="27"/>
      <c r="K397" s="27"/>
      <c r="L397" s="27"/>
      <c r="M397" s="27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</row>
    <row r="398" spans="2:48" ht="15.75" customHeight="1" x14ac:dyDescent="0.2">
      <c r="B398" s="2"/>
      <c r="C398" s="2"/>
      <c r="D398" s="27"/>
      <c r="E398" s="27"/>
      <c r="F398" s="27"/>
      <c r="G398" s="27"/>
      <c r="H398" s="243"/>
      <c r="I398" s="243"/>
      <c r="J398" s="27"/>
      <c r="K398" s="27"/>
      <c r="L398" s="27"/>
      <c r="M398" s="27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</row>
    <row r="399" spans="2:48" ht="15.75" customHeight="1" x14ac:dyDescent="0.2">
      <c r="B399" s="2"/>
      <c r="C399" s="2"/>
      <c r="D399" s="27"/>
      <c r="E399" s="27"/>
      <c r="F399" s="27"/>
      <c r="G399" s="27"/>
      <c r="H399" s="243"/>
      <c r="I399" s="243"/>
      <c r="J399" s="27"/>
      <c r="K399" s="27"/>
      <c r="L399" s="27"/>
      <c r="M399" s="27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</row>
    <row r="400" spans="2:48" ht="15.75" customHeight="1" x14ac:dyDescent="0.2">
      <c r="B400" s="2"/>
      <c r="C400" s="2"/>
      <c r="D400" s="27"/>
      <c r="E400" s="27"/>
      <c r="F400" s="27"/>
      <c r="G400" s="27"/>
      <c r="H400" s="243"/>
      <c r="I400" s="243"/>
      <c r="J400" s="27"/>
      <c r="K400" s="27"/>
      <c r="L400" s="27"/>
      <c r="M400" s="27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</row>
    <row r="401" spans="2:48" ht="15.75" customHeight="1" x14ac:dyDescent="0.2">
      <c r="B401" s="2"/>
      <c r="C401" s="2"/>
      <c r="D401" s="27"/>
      <c r="E401" s="27"/>
      <c r="F401" s="27"/>
      <c r="G401" s="27"/>
      <c r="H401" s="243"/>
      <c r="I401" s="243"/>
      <c r="J401" s="27"/>
      <c r="K401" s="27"/>
      <c r="L401" s="27"/>
      <c r="M401" s="27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</row>
    <row r="402" spans="2:48" ht="15.75" customHeight="1" x14ac:dyDescent="0.2">
      <c r="B402" s="2"/>
      <c r="C402" s="2"/>
      <c r="D402" s="27"/>
      <c r="E402" s="27"/>
      <c r="F402" s="27"/>
      <c r="G402" s="27"/>
      <c r="H402" s="243"/>
      <c r="I402" s="243"/>
      <c r="J402" s="27"/>
      <c r="K402" s="27"/>
      <c r="L402" s="27"/>
      <c r="M402" s="27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</row>
    <row r="403" spans="2:48" ht="15.75" customHeight="1" x14ac:dyDescent="0.2">
      <c r="B403" s="2"/>
      <c r="C403" s="2"/>
      <c r="D403" s="27"/>
      <c r="E403" s="27"/>
      <c r="F403" s="27"/>
      <c r="G403" s="27"/>
      <c r="H403" s="243"/>
      <c r="I403" s="243"/>
      <c r="J403" s="27"/>
      <c r="K403" s="27"/>
      <c r="L403" s="27"/>
      <c r="M403" s="27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</row>
    <row r="404" spans="2:48" ht="15.75" customHeight="1" x14ac:dyDescent="0.2">
      <c r="B404" s="2"/>
      <c r="C404" s="2"/>
      <c r="D404" s="27"/>
      <c r="E404" s="27"/>
      <c r="F404" s="27"/>
      <c r="G404" s="27"/>
      <c r="H404" s="243"/>
      <c r="I404" s="243"/>
      <c r="J404" s="27"/>
      <c r="K404" s="27"/>
      <c r="L404" s="27"/>
      <c r="M404" s="27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</row>
    <row r="405" spans="2:48" ht="15.75" customHeight="1" x14ac:dyDescent="0.2">
      <c r="B405" s="2"/>
      <c r="C405" s="2"/>
      <c r="D405" s="27"/>
      <c r="E405" s="27"/>
      <c r="F405" s="27"/>
      <c r="G405" s="27"/>
      <c r="H405" s="243"/>
      <c r="I405" s="243"/>
      <c r="J405" s="27"/>
      <c r="K405" s="27"/>
      <c r="L405" s="27"/>
      <c r="M405" s="27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</row>
    <row r="406" spans="2:48" ht="15.75" customHeight="1" x14ac:dyDescent="0.2">
      <c r="B406" s="2"/>
      <c r="C406" s="2"/>
      <c r="D406" s="27"/>
      <c r="E406" s="27"/>
      <c r="F406" s="27"/>
      <c r="G406" s="27"/>
      <c r="H406" s="243"/>
      <c r="I406" s="243"/>
      <c r="J406" s="27"/>
      <c r="K406" s="27"/>
      <c r="L406" s="27"/>
      <c r="M406" s="27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</row>
    <row r="407" spans="2:48" ht="15.75" customHeight="1" x14ac:dyDescent="0.2">
      <c r="B407" s="2"/>
      <c r="C407" s="2"/>
      <c r="D407" s="27"/>
      <c r="E407" s="27"/>
      <c r="F407" s="27"/>
      <c r="G407" s="27"/>
      <c r="H407" s="243"/>
      <c r="I407" s="243"/>
      <c r="J407" s="27"/>
      <c r="K407" s="27"/>
      <c r="L407" s="27"/>
      <c r="M407" s="27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</row>
    <row r="408" spans="2:48" ht="15.75" customHeight="1" x14ac:dyDescent="0.2">
      <c r="B408" s="2"/>
      <c r="C408" s="2"/>
      <c r="D408" s="27"/>
      <c r="E408" s="27"/>
      <c r="F408" s="27"/>
      <c r="G408" s="27"/>
      <c r="H408" s="243"/>
      <c r="I408" s="243"/>
      <c r="J408" s="27"/>
      <c r="K408" s="27"/>
      <c r="L408" s="27"/>
      <c r="M408" s="27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</row>
    <row r="409" spans="2:48" ht="15.75" customHeight="1" x14ac:dyDescent="0.2">
      <c r="B409" s="2"/>
      <c r="C409" s="2"/>
      <c r="D409" s="27"/>
      <c r="E409" s="27"/>
      <c r="F409" s="27"/>
      <c r="G409" s="27"/>
      <c r="H409" s="243"/>
      <c r="I409" s="243"/>
      <c r="J409" s="27"/>
      <c r="K409" s="27"/>
      <c r="L409" s="27"/>
      <c r="M409" s="27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</row>
    <row r="410" spans="2:48" ht="15.75" customHeight="1" x14ac:dyDescent="0.2">
      <c r="B410" s="2"/>
      <c r="C410" s="2"/>
      <c r="D410" s="27"/>
      <c r="E410" s="27"/>
      <c r="F410" s="27"/>
      <c r="G410" s="27"/>
      <c r="H410" s="243"/>
      <c r="I410" s="243"/>
      <c r="J410" s="27"/>
      <c r="K410" s="27"/>
      <c r="L410" s="27"/>
      <c r="M410" s="27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</row>
    <row r="411" spans="2:48" ht="15.75" customHeight="1" x14ac:dyDescent="0.2">
      <c r="B411" s="2"/>
      <c r="C411" s="2"/>
      <c r="D411" s="27"/>
      <c r="E411" s="27"/>
      <c r="F411" s="27"/>
      <c r="G411" s="27"/>
      <c r="H411" s="243"/>
      <c r="I411" s="243"/>
      <c r="J411" s="27"/>
      <c r="K411" s="27"/>
      <c r="L411" s="27"/>
      <c r="M411" s="27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</row>
    <row r="412" spans="2:48" ht="15.75" customHeight="1" x14ac:dyDescent="0.2">
      <c r="B412" s="2"/>
      <c r="C412" s="2"/>
      <c r="D412" s="27"/>
      <c r="E412" s="27"/>
      <c r="F412" s="27"/>
      <c r="G412" s="27"/>
      <c r="H412" s="243"/>
      <c r="I412" s="243"/>
      <c r="J412" s="27"/>
      <c r="K412" s="27"/>
      <c r="L412" s="27"/>
      <c r="M412" s="27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</row>
    <row r="413" spans="2:48" ht="15.75" customHeight="1" x14ac:dyDescent="0.2">
      <c r="B413" s="2"/>
      <c r="C413" s="2"/>
      <c r="D413" s="27"/>
      <c r="E413" s="27"/>
      <c r="F413" s="27"/>
      <c r="G413" s="27"/>
      <c r="H413" s="243"/>
      <c r="I413" s="243"/>
      <c r="J413" s="27"/>
      <c r="K413" s="27"/>
      <c r="L413" s="27"/>
      <c r="M413" s="27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</row>
    <row r="414" spans="2:48" ht="15.75" customHeight="1" x14ac:dyDescent="0.2">
      <c r="B414" s="2"/>
      <c r="C414" s="2"/>
      <c r="D414" s="27"/>
      <c r="E414" s="27"/>
      <c r="F414" s="27"/>
      <c r="G414" s="27"/>
      <c r="H414" s="243"/>
      <c r="I414" s="243"/>
      <c r="J414" s="27"/>
      <c r="K414" s="27"/>
      <c r="L414" s="27"/>
      <c r="M414" s="27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</row>
    <row r="415" spans="2:48" ht="15.75" customHeight="1" x14ac:dyDescent="0.2">
      <c r="B415" s="2"/>
      <c r="C415" s="2"/>
      <c r="D415" s="27"/>
      <c r="E415" s="27"/>
      <c r="F415" s="27"/>
      <c r="G415" s="27"/>
      <c r="H415" s="243"/>
      <c r="I415" s="243"/>
      <c r="J415" s="27"/>
      <c r="K415" s="27"/>
      <c r="L415" s="27"/>
      <c r="M415" s="27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</row>
    <row r="416" spans="2:48" ht="15.75" customHeight="1" x14ac:dyDescent="0.2">
      <c r="B416" s="2"/>
      <c r="C416" s="2"/>
      <c r="D416" s="27"/>
      <c r="E416" s="27"/>
      <c r="F416" s="27"/>
      <c r="G416" s="27"/>
      <c r="H416" s="243"/>
      <c r="I416" s="243"/>
      <c r="J416" s="27"/>
      <c r="K416" s="27"/>
      <c r="L416" s="27"/>
      <c r="M416" s="27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</row>
    <row r="417" spans="2:48" ht="15.75" customHeight="1" x14ac:dyDescent="0.2">
      <c r="B417" s="2"/>
      <c r="C417" s="2"/>
      <c r="D417" s="27"/>
      <c r="E417" s="27"/>
      <c r="F417" s="27"/>
      <c r="G417" s="27"/>
      <c r="H417" s="243"/>
      <c r="I417" s="243"/>
      <c r="J417" s="27"/>
      <c r="K417" s="27"/>
      <c r="L417" s="27"/>
      <c r="M417" s="27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</row>
    <row r="418" spans="2:48" ht="15.75" customHeight="1" x14ac:dyDescent="0.2">
      <c r="B418" s="2"/>
      <c r="C418" s="2"/>
      <c r="D418" s="27"/>
      <c r="E418" s="27"/>
      <c r="F418" s="27"/>
      <c r="G418" s="27"/>
      <c r="H418" s="243"/>
      <c r="I418" s="243"/>
      <c r="J418" s="27"/>
      <c r="K418" s="27"/>
      <c r="L418" s="27"/>
      <c r="M418" s="27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</row>
    <row r="419" spans="2:48" ht="15.75" customHeight="1" x14ac:dyDescent="0.2">
      <c r="B419" s="2"/>
      <c r="C419" s="2"/>
      <c r="D419" s="27"/>
      <c r="E419" s="27"/>
      <c r="F419" s="27"/>
      <c r="G419" s="27"/>
      <c r="H419" s="243"/>
      <c r="I419" s="243"/>
      <c r="J419" s="27"/>
      <c r="K419" s="27"/>
      <c r="L419" s="27"/>
      <c r="M419" s="27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</row>
    <row r="420" spans="2:48" ht="15.75" customHeight="1" x14ac:dyDescent="0.2">
      <c r="B420" s="2"/>
      <c r="C420" s="2"/>
      <c r="D420" s="27"/>
      <c r="E420" s="27"/>
      <c r="F420" s="27"/>
      <c r="G420" s="27"/>
      <c r="H420" s="243"/>
      <c r="I420" s="243"/>
      <c r="J420" s="27"/>
      <c r="K420" s="27"/>
      <c r="L420" s="27"/>
      <c r="M420" s="27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</row>
    <row r="421" spans="2:48" ht="15.75" customHeight="1" x14ac:dyDescent="0.2">
      <c r="B421" s="2"/>
      <c r="C421" s="2"/>
      <c r="D421" s="27"/>
      <c r="E421" s="27"/>
      <c r="F421" s="27"/>
      <c r="G421" s="27"/>
      <c r="H421" s="243"/>
      <c r="I421" s="243"/>
      <c r="J421" s="27"/>
      <c r="K421" s="27"/>
      <c r="L421" s="27"/>
      <c r="M421" s="27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</row>
    <row r="422" spans="2:48" ht="15.75" customHeight="1" x14ac:dyDescent="0.2">
      <c r="B422" s="2"/>
      <c r="C422" s="2"/>
      <c r="D422" s="27"/>
      <c r="E422" s="27"/>
      <c r="F422" s="27"/>
      <c r="G422" s="27"/>
      <c r="H422" s="243"/>
      <c r="I422" s="243"/>
      <c r="J422" s="27"/>
      <c r="K422" s="27"/>
      <c r="L422" s="27"/>
      <c r="M422" s="27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</row>
    <row r="423" spans="2:48" ht="15.75" customHeight="1" x14ac:dyDescent="0.2">
      <c r="B423" s="2"/>
      <c r="C423" s="2"/>
      <c r="D423" s="27"/>
      <c r="E423" s="27"/>
      <c r="F423" s="27"/>
      <c r="G423" s="27"/>
      <c r="H423" s="243"/>
      <c r="I423" s="243"/>
      <c r="J423" s="27"/>
      <c r="K423" s="27"/>
      <c r="L423" s="27"/>
      <c r="M423" s="27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</row>
    <row r="424" spans="2:48" ht="15.75" customHeight="1" x14ac:dyDescent="0.2">
      <c r="B424" s="2"/>
      <c r="C424" s="2"/>
      <c r="D424" s="27"/>
      <c r="E424" s="27"/>
      <c r="F424" s="27"/>
      <c r="G424" s="27"/>
      <c r="H424" s="243"/>
      <c r="I424" s="243"/>
      <c r="J424" s="27"/>
      <c r="K424" s="27"/>
      <c r="L424" s="27"/>
      <c r="M424" s="27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</row>
    <row r="425" spans="2:48" ht="15.75" customHeight="1" x14ac:dyDescent="0.2">
      <c r="B425" s="2"/>
      <c r="C425" s="2"/>
      <c r="D425" s="27"/>
      <c r="E425" s="27"/>
      <c r="F425" s="27"/>
      <c r="G425" s="27"/>
      <c r="H425" s="243"/>
      <c r="I425" s="243"/>
      <c r="J425" s="27"/>
      <c r="K425" s="27"/>
      <c r="L425" s="27"/>
      <c r="M425" s="27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</row>
    <row r="426" spans="2:48" ht="15.75" customHeight="1" x14ac:dyDescent="0.2">
      <c r="B426" s="2"/>
      <c r="C426" s="2"/>
      <c r="D426" s="27"/>
      <c r="E426" s="27"/>
      <c r="F426" s="27"/>
      <c r="G426" s="27"/>
      <c r="H426" s="243"/>
      <c r="I426" s="243"/>
      <c r="J426" s="27"/>
      <c r="K426" s="27"/>
      <c r="L426" s="27"/>
      <c r="M426" s="27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</row>
    <row r="427" spans="2:48" ht="15.75" customHeight="1" x14ac:dyDescent="0.2">
      <c r="B427" s="2"/>
      <c r="C427" s="2"/>
      <c r="D427" s="27"/>
      <c r="E427" s="27"/>
      <c r="F427" s="27"/>
      <c r="G427" s="27"/>
      <c r="H427" s="243"/>
      <c r="I427" s="243"/>
      <c r="J427" s="27"/>
      <c r="K427" s="27"/>
      <c r="L427" s="27"/>
      <c r="M427" s="27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</row>
    <row r="428" spans="2:48" ht="15.75" customHeight="1" x14ac:dyDescent="0.2">
      <c r="B428" s="2"/>
      <c r="C428" s="2"/>
      <c r="D428" s="27"/>
      <c r="E428" s="27"/>
      <c r="F428" s="27"/>
      <c r="G428" s="27"/>
      <c r="H428" s="243"/>
      <c r="I428" s="243"/>
      <c r="J428" s="27"/>
      <c r="K428" s="27"/>
      <c r="L428" s="27"/>
      <c r="M428" s="27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</row>
    <row r="429" spans="2:48" ht="15.75" customHeight="1" x14ac:dyDescent="0.2">
      <c r="B429" s="2"/>
      <c r="C429" s="2"/>
      <c r="D429" s="27"/>
      <c r="E429" s="27"/>
      <c r="F429" s="27"/>
      <c r="G429" s="27"/>
      <c r="H429" s="243"/>
      <c r="I429" s="243"/>
      <c r="J429" s="27"/>
      <c r="K429" s="27"/>
      <c r="L429" s="27"/>
      <c r="M429" s="27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</row>
    <row r="430" spans="2:48" ht="15.75" customHeight="1" x14ac:dyDescent="0.2">
      <c r="B430" s="2"/>
      <c r="C430" s="2"/>
      <c r="D430" s="27"/>
      <c r="E430" s="27"/>
      <c r="F430" s="27"/>
      <c r="G430" s="27"/>
      <c r="H430" s="243"/>
      <c r="I430" s="243"/>
      <c r="J430" s="27"/>
      <c r="K430" s="27"/>
      <c r="L430" s="27"/>
      <c r="M430" s="27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</row>
    <row r="431" spans="2:48" ht="15.75" customHeight="1" x14ac:dyDescent="0.2">
      <c r="B431" s="2"/>
      <c r="C431" s="2"/>
      <c r="D431" s="27"/>
      <c r="E431" s="27"/>
      <c r="F431" s="27"/>
      <c r="G431" s="27"/>
      <c r="H431" s="243"/>
      <c r="I431" s="243"/>
      <c r="J431" s="27"/>
      <c r="K431" s="27"/>
      <c r="L431" s="27"/>
      <c r="M431" s="27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</row>
    <row r="432" spans="2:48" ht="15.75" customHeight="1" x14ac:dyDescent="0.2">
      <c r="B432" s="2"/>
      <c r="C432" s="2"/>
      <c r="D432" s="27"/>
      <c r="E432" s="27"/>
      <c r="F432" s="27"/>
      <c r="G432" s="27"/>
      <c r="H432" s="243"/>
      <c r="I432" s="243"/>
      <c r="J432" s="27"/>
      <c r="K432" s="27"/>
      <c r="L432" s="27"/>
      <c r="M432" s="27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</row>
    <row r="433" spans="2:48" ht="15.75" customHeight="1" x14ac:dyDescent="0.2">
      <c r="B433" s="2"/>
      <c r="C433" s="2"/>
      <c r="D433" s="27"/>
      <c r="E433" s="27"/>
      <c r="F433" s="27"/>
      <c r="G433" s="27"/>
      <c r="H433" s="243"/>
      <c r="I433" s="243"/>
      <c r="J433" s="27"/>
      <c r="K433" s="27"/>
      <c r="L433" s="27"/>
      <c r="M433" s="27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</row>
    <row r="434" spans="2:48" ht="15.75" customHeight="1" x14ac:dyDescent="0.2">
      <c r="B434" s="2"/>
      <c r="C434" s="2"/>
      <c r="D434" s="27"/>
      <c r="E434" s="27"/>
      <c r="F434" s="27"/>
      <c r="G434" s="27"/>
      <c r="H434" s="243"/>
      <c r="I434" s="243"/>
      <c r="J434" s="27"/>
      <c r="K434" s="27"/>
      <c r="L434" s="27"/>
      <c r="M434" s="27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</row>
    <row r="435" spans="2:48" ht="15.75" customHeight="1" x14ac:dyDescent="0.2">
      <c r="B435" s="2"/>
      <c r="C435" s="2"/>
      <c r="D435" s="27"/>
      <c r="E435" s="27"/>
      <c r="F435" s="27"/>
      <c r="G435" s="27"/>
      <c r="H435" s="243"/>
      <c r="I435" s="243"/>
      <c r="J435" s="27"/>
      <c r="K435" s="27"/>
      <c r="L435" s="27"/>
      <c r="M435" s="27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</row>
    <row r="436" spans="2:48" ht="15.75" customHeight="1" x14ac:dyDescent="0.2">
      <c r="B436" s="2"/>
      <c r="C436" s="2"/>
      <c r="D436" s="27"/>
      <c r="E436" s="27"/>
      <c r="F436" s="27"/>
      <c r="G436" s="27"/>
      <c r="H436" s="243"/>
      <c r="I436" s="243"/>
      <c r="J436" s="27"/>
      <c r="K436" s="27"/>
      <c r="L436" s="27"/>
      <c r="M436" s="27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</row>
    <row r="437" spans="2:48" ht="15.75" customHeight="1" x14ac:dyDescent="0.2">
      <c r="B437" s="2"/>
      <c r="C437" s="2"/>
      <c r="D437" s="27"/>
      <c r="E437" s="27"/>
      <c r="F437" s="27"/>
      <c r="G437" s="27"/>
      <c r="H437" s="243"/>
      <c r="I437" s="243"/>
      <c r="J437" s="27"/>
      <c r="K437" s="27"/>
      <c r="L437" s="27"/>
      <c r="M437" s="27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</row>
    <row r="438" spans="2:48" ht="15.75" customHeight="1" x14ac:dyDescent="0.2">
      <c r="B438" s="2"/>
      <c r="C438" s="2"/>
      <c r="D438" s="27"/>
      <c r="E438" s="27"/>
      <c r="F438" s="27"/>
      <c r="G438" s="27"/>
      <c r="H438" s="243"/>
      <c r="I438" s="243"/>
      <c r="J438" s="27"/>
      <c r="K438" s="27"/>
      <c r="L438" s="27"/>
      <c r="M438" s="27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</row>
    <row r="439" spans="2:48" ht="15.75" customHeight="1" x14ac:dyDescent="0.2">
      <c r="B439" s="2"/>
      <c r="C439" s="2"/>
      <c r="D439" s="27"/>
      <c r="E439" s="27"/>
      <c r="F439" s="27"/>
      <c r="G439" s="27"/>
      <c r="H439" s="243"/>
      <c r="I439" s="243"/>
      <c r="J439" s="27"/>
      <c r="K439" s="27"/>
      <c r="L439" s="27"/>
      <c r="M439" s="27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</row>
    <row r="440" spans="2:48" ht="15.75" customHeight="1" x14ac:dyDescent="0.2">
      <c r="B440" s="2"/>
      <c r="C440" s="2"/>
      <c r="D440" s="27"/>
      <c r="E440" s="27"/>
      <c r="F440" s="27"/>
      <c r="G440" s="27"/>
      <c r="H440" s="243"/>
      <c r="I440" s="243"/>
      <c r="J440" s="27"/>
      <c r="K440" s="27"/>
      <c r="L440" s="27"/>
      <c r="M440" s="27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</row>
    <row r="441" spans="2:48" ht="15.75" customHeight="1" x14ac:dyDescent="0.2">
      <c r="B441" s="2"/>
      <c r="C441" s="2"/>
      <c r="D441" s="27"/>
      <c r="E441" s="27"/>
      <c r="F441" s="27"/>
      <c r="G441" s="27"/>
      <c r="H441" s="243"/>
      <c r="I441" s="243"/>
      <c r="J441" s="27"/>
      <c r="K441" s="27"/>
      <c r="L441" s="27"/>
      <c r="M441" s="27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</row>
    <row r="442" spans="2:48" ht="15.75" customHeight="1" x14ac:dyDescent="0.2">
      <c r="B442" s="2"/>
      <c r="C442" s="2"/>
      <c r="D442" s="27"/>
      <c r="E442" s="27"/>
      <c r="F442" s="27"/>
      <c r="G442" s="27"/>
      <c r="H442" s="243"/>
      <c r="I442" s="243"/>
      <c r="J442" s="27"/>
      <c r="K442" s="27"/>
      <c r="L442" s="27"/>
      <c r="M442" s="27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</row>
    <row r="443" spans="2:48" ht="15.75" customHeight="1" x14ac:dyDescent="0.2">
      <c r="B443" s="2"/>
      <c r="C443" s="2"/>
      <c r="D443" s="27"/>
      <c r="E443" s="27"/>
      <c r="F443" s="27"/>
      <c r="G443" s="27"/>
      <c r="H443" s="243"/>
      <c r="I443" s="243"/>
      <c r="J443" s="27"/>
      <c r="K443" s="27"/>
      <c r="L443" s="27"/>
      <c r="M443" s="27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</row>
    <row r="444" spans="2:48" ht="15.75" customHeight="1" x14ac:dyDescent="0.2">
      <c r="B444" s="2"/>
      <c r="C444" s="2"/>
      <c r="D444" s="27"/>
      <c r="E444" s="27"/>
      <c r="F444" s="27"/>
      <c r="G444" s="27"/>
      <c r="H444" s="243"/>
      <c r="I444" s="243"/>
      <c r="J444" s="27"/>
      <c r="K444" s="27"/>
      <c r="L444" s="27"/>
      <c r="M444" s="27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</row>
    <row r="445" spans="2:48" ht="15.75" customHeight="1" x14ac:dyDescent="0.2">
      <c r="B445" s="2"/>
      <c r="C445" s="2"/>
      <c r="D445" s="27"/>
      <c r="E445" s="27"/>
      <c r="F445" s="27"/>
      <c r="G445" s="27"/>
      <c r="H445" s="243"/>
      <c r="I445" s="243"/>
      <c r="J445" s="27"/>
      <c r="K445" s="27"/>
      <c r="L445" s="27"/>
      <c r="M445" s="27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</row>
    <row r="446" spans="2:48" ht="15.75" customHeight="1" x14ac:dyDescent="0.2">
      <c r="B446" s="2"/>
      <c r="C446" s="2"/>
      <c r="D446" s="27"/>
      <c r="E446" s="27"/>
      <c r="F446" s="27"/>
      <c r="G446" s="27"/>
      <c r="H446" s="243"/>
      <c r="I446" s="243"/>
      <c r="J446" s="27"/>
      <c r="K446" s="27"/>
      <c r="L446" s="27"/>
      <c r="M446" s="27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</row>
    <row r="447" spans="2:48" ht="15.75" customHeight="1" x14ac:dyDescent="0.2">
      <c r="B447" s="2"/>
      <c r="C447" s="2"/>
      <c r="D447" s="27"/>
      <c r="E447" s="27"/>
      <c r="F447" s="27"/>
      <c r="G447" s="27"/>
      <c r="H447" s="243"/>
      <c r="I447" s="243"/>
      <c r="J447" s="27"/>
      <c r="K447" s="27"/>
      <c r="L447" s="27"/>
      <c r="M447" s="27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</row>
    <row r="448" spans="2:48" ht="15.75" customHeight="1" x14ac:dyDescent="0.2">
      <c r="B448" s="2"/>
      <c r="C448" s="2"/>
      <c r="D448" s="27"/>
      <c r="E448" s="27"/>
      <c r="F448" s="27"/>
      <c r="G448" s="27"/>
      <c r="H448" s="243"/>
      <c r="I448" s="243"/>
      <c r="J448" s="27"/>
      <c r="K448" s="27"/>
      <c r="L448" s="27"/>
      <c r="M448" s="27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</row>
    <row r="449" spans="2:48" ht="15.75" customHeight="1" x14ac:dyDescent="0.2">
      <c r="B449" s="2"/>
      <c r="C449" s="2"/>
      <c r="D449" s="27"/>
      <c r="E449" s="27"/>
      <c r="F449" s="27"/>
      <c r="G449" s="27"/>
      <c r="H449" s="243"/>
      <c r="I449" s="243"/>
      <c r="J449" s="27"/>
      <c r="K449" s="27"/>
      <c r="L449" s="27"/>
      <c r="M449" s="27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</row>
    <row r="450" spans="2:48" ht="15.75" customHeight="1" x14ac:dyDescent="0.2">
      <c r="B450" s="2"/>
      <c r="C450" s="2"/>
      <c r="D450" s="27"/>
      <c r="E450" s="27"/>
      <c r="F450" s="27"/>
      <c r="G450" s="27"/>
      <c r="H450" s="243"/>
      <c r="I450" s="243"/>
      <c r="J450" s="27"/>
      <c r="K450" s="27"/>
      <c r="L450" s="27"/>
      <c r="M450" s="27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</row>
    <row r="451" spans="2:48" ht="15.75" customHeight="1" x14ac:dyDescent="0.2">
      <c r="B451" s="2"/>
      <c r="C451" s="2"/>
      <c r="D451" s="27"/>
      <c r="E451" s="27"/>
      <c r="F451" s="27"/>
      <c r="G451" s="27"/>
      <c r="H451" s="243"/>
      <c r="I451" s="243"/>
      <c r="J451" s="27"/>
      <c r="K451" s="27"/>
      <c r="L451" s="27"/>
      <c r="M451" s="27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</row>
    <row r="452" spans="2:48" ht="15.75" customHeight="1" x14ac:dyDescent="0.2">
      <c r="B452" s="2"/>
      <c r="C452" s="2"/>
      <c r="D452" s="27"/>
      <c r="E452" s="27"/>
      <c r="F452" s="27"/>
      <c r="G452" s="27"/>
      <c r="H452" s="243"/>
      <c r="I452" s="243"/>
      <c r="J452" s="27"/>
      <c r="K452" s="27"/>
      <c r="L452" s="27"/>
      <c r="M452" s="27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</row>
    <row r="453" spans="2:48" ht="15.75" customHeight="1" x14ac:dyDescent="0.2">
      <c r="B453" s="2"/>
      <c r="C453" s="2"/>
      <c r="D453" s="27"/>
      <c r="E453" s="27"/>
      <c r="F453" s="27"/>
      <c r="G453" s="27"/>
      <c r="H453" s="243"/>
      <c r="I453" s="243"/>
      <c r="J453" s="27"/>
      <c r="K453" s="27"/>
      <c r="L453" s="27"/>
      <c r="M453" s="27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</row>
    <row r="454" spans="2:48" ht="15.75" customHeight="1" x14ac:dyDescent="0.2">
      <c r="B454" s="2"/>
      <c r="C454" s="2"/>
      <c r="D454" s="27"/>
      <c r="E454" s="27"/>
      <c r="F454" s="27"/>
      <c r="G454" s="27"/>
      <c r="H454" s="243"/>
      <c r="I454" s="243"/>
      <c r="J454" s="27"/>
      <c r="K454" s="27"/>
      <c r="L454" s="27"/>
      <c r="M454" s="27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</row>
    <row r="455" spans="2:48" ht="15.75" customHeight="1" x14ac:dyDescent="0.2">
      <c r="B455" s="2"/>
      <c r="C455" s="2"/>
      <c r="D455" s="27"/>
      <c r="E455" s="27"/>
      <c r="F455" s="27"/>
      <c r="G455" s="27"/>
      <c r="H455" s="243"/>
      <c r="I455" s="243"/>
      <c r="J455" s="27"/>
      <c r="K455" s="27"/>
      <c r="L455" s="27"/>
      <c r="M455" s="27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</row>
    <row r="456" spans="2:48" ht="15.75" customHeight="1" x14ac:dyDescent="0.2">
      <c r="B456" s="2"/>
      <c r="C456" s="2"/>
      <c r="D456" s="27"/>
      <c r="E456" s="27"/>
      <c r="F456" s="27"/>
      <c r="G456" s="27"/>
      <c r="H456" s="243"/>
      <c r="I456" s="243"/>
      <c r="J456" s="27"/>
      <c r="K456" s="27"/>
      <c r="L456" s="27"/>
      <c r="M456" s="27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</row>
    <row r="457" spans="2:48" ht="15.75" customHeight="1" x14ac:dyDescent="0.2">
      <c r="B457" s="2"/>
      <c r="C457" s="2"/>
      <c r="D457" s="27"/>
      <c r="E457" s="27"/>
      <c r="F457" s="27"/>
      <c r="G457" s="27"/>
      <c r="H457" s="243"/>
      <c r="I457" s="243"/>
      <c r="J457" s="27"/>
      <c r="K457" s="27"/>
      <c r="L457" s="27"/>
      <c r="M457" s="27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</row>
    <row r="458" spans="2:48" ht="15.75" customHeight="1" x14ac:dyDescent="0.2">
      <c r="B458" s="2"/>
      <c r="C458" s="2"/>
      <c r="D458" s="27"/>
      <c r="E458" s="27"/>
      <c r="F458" s="27"/>
      <c r="G458" s="27"/>
      <c r="H458" s="243"/>
      <c r="I458" s="243"/>
      <c r="J458" s="27"/>
      <c r="K458" s="27"/>
      <c r="L458" s="27"/>
      <c r="M458" s="27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</row>
    <row r="459" spans="2:48" ht="15.75" customHeight="1" x14ac:dyDescent="0.2">
      <c r="B459" s="2"/>
      <c r="C459" s="2"/>
      <c r="D459" s="27"/>
      <c r="E459" s="27"/>
      <c r="F459" s="27"/>
      <c r="G459" s="27"/>
      <c r="H459" s="243"/>
      <c r="I459" s="243"/>
      <c r="J459" s="27"/>
      <c r="K459" s="27"/>
      <c r="L459" s="27"/>
      <c r="M459" s="27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</row>
    <row r="460" spans="2:48" ht="15.75" customHeight="1" x14ac:dyDescent="0.2">
      <c r="B460" s="2"/>
      <c r="C460" s="2"/>
      <c r="D460" s="27"/>
      <c r="E460" s="27"/>
      <c r="F460" s="27"/>
      <c r="G460" s="27"/>
      <c r="H460" s="243"/>
      <c r="I460" s="243"/>
      <c r="J460" s="27"/>
      <c r="K460" s="27"/>
      <c r="L460" s="27"/>
      <c r="M460" s="27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</row>
    <row r="461" spans="2:48" ht="15.75" customHeight="1" x14ac:dyDescent="0.2">
      <c r="B461" s="2"/>
      <c r="C461" s="2"/>
      <c r="D461" s="27"/>
      <c r="E461" s="27"/>
      <c r="F461" s="27"/>
      <c r="G461" s="27"/>
      <c r="H461" s="243"/>
      <c r="I461" s="243"/>
      <c r="J461" s="27"/>
      <c r="K461" s="27"/>
      <c r="L461" s="27"/>
      <c r="M461" s="27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</row>
    <row r="462" spans="2:48" ht="15.75" customHeight="1" x14ac:dyDescent="0.2">
      <c r="B462" s="2"/>
      <c r="C462" s="2"/>
      <c r="D462" s="27"/>
      <c r="E462" s="27"/>
      <c r="F462" s="27"/>
      <c r="G462" s="27"/>
      <c r="H462" s="243"/>
      <c r="I462" s="243"/>
      <c r="J462" s="27"/>
      <c r="K462" s="27"/>
      <c r="L462" s="27"/>
      <c r="M462" s="27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</row>
    <row r="463" spans="2:48" ht="15.75" customHeight="1" x14ac:dyDescent="0.2">
      <c r="B463" s="2"/>
      <c r="C463" s="2"/>
      <c r="D463" s="27"/>
      <c r="E463" s="27"/>
      <c r="F463" s="27"/>
      <c r="G463" s="27"/>
      <c r="H463" s="243"/>
      <c r="I463" s="243"/>
      <c r="J463" s="27"/>
      <c r="K463" s="27"/>
      <c r="L463" s="27"/>
      <c r="M463" s="27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</row>
    <row r="464" spans="2:48" ht="15.75" customHeight="1" x14ac:dyDescent="0.2">
      <c r="B464" s="2"/>
      <c r="C464" s="2"/>
      <c r="D464" s="27"/>
      <c r="E464" s="27"/>
      <c r="F464" s="27"/>
      <c r="G464" s="27"/>
      <c r="H464" s="243"/>
      <c r="I464" s="243"/>
      <c r="J464" s="27"/>
      <c r="K464" s="27"/>
      <c r="L464" s="27"/>
      <c r="M464" s="27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</row>
    <row r="465" spans="2:48" ht="15.75" customHeight="1" x14ac:dyDescent="0.2">
      <c r="B465" s="2"/>
      <c r="C465" s="2"/>
      <c r="D465" s="27"/>
      <c r="E465" s="27"/>
      <c r="F465" s="27"/>
      <c r="G465" s="27"/>
      <c r="H465" s="243"/>
      <c r="I465" s="243"/>
      <c r="J465" s="27"/>
      <c r="K465" s="27"/>
      <c r="L465" s="27"/>
      <c r="M465" s="27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</row>
    <row r="466" spans="2:48" ht="15.75" customHeight="1" x14ac:dyDescent="0.2">
      <c r="B466" s="2"/>
      <c r="C466" s="2"/>
      <c r="D466" s="27"/>
      <c r="E466" s="27"/>
      <c r="F466" s="27"/>
      <c r="G466" s="27"/>
      <c r="H466" s="243"/>
      <c r="I466" s="243"/>
      <c r="J466" s="27"/>
      <c r="K466" s="27"/>
      <c r="L466" s="27"/>
      <c r="M466" s="27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</row>
    <row r="467" spans="2:48" ht="15.75" customHeight="1" x14ac:dyDescent="0.2">
      <c r="B467" s="2"/>
      <c r="C467" s="2"/>
      <c r="D467" s="27"/>
      <c r="E467" s="27"/>
      <c r="F467" s="27"/>
      <c r="G467" s="27"/>
      <c r="H467" s="243"/>
      <c r="I467" s="243"/>
      <c r="J467" s="27"/>
      <c r="K467" s="27"/>
      <c r="L467" s="27"/>
      <c r="M467" s="27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</row>
    <row r="468" spans="2:48" ht="15.75" customHeight="1" x14ac:dyDescent="0.2">
      <c r="B468" s="2"/>
      <c r="C468" s="2"/>
      <c r="D468" s="27"/>
      <c r="E468" s="27"/>
      <c r="F468" s="27"/>
      <c r="G468" s="27"/>
      <c r="H468" s="243"/>
      <c r="I468" s="243"/>
      <c r="J468" s="27"/>
      <c r="K468" s="27"/>
      <c r="L468" s="27"/>
      <c r="M468" s="27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</row>
    <row r="469" spans="2:48" ht="15.75" customHeight="1" x14ac:dyDescent="0.2">
      <c r="B469" s="2"/>
      <c r="C469" s="2"/>
      <c r="D469" s="27"/>
      <c r="E469" s="27"/>
      <c r="F469" s="27"/>
      <c r="G469" s="27"/>
      <c r="H469" s="243"/>
      <c r="I469" s="243"/>
      <c r="J469" s="27"/>
      <c r="K469" s="27"/>
      <c r="L469" s="27"/>
      <c r="M469" s="27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</row>
    <row r="470" spans="2:48" ht="15.75" customHeight="1" x14ac:dyDescent="0.2">
      <c r="B470" s="2"/>
      <c r="C470" s="2"/>
      <c r="D470" s="27"/>
      <c r="E470" s="27"/>
      <c r="F470" s="27"/>
      <c r="G470" s="27"/>
      <c r="H470" s="243"/>
      <c r="I470" s="243"/>
      <c r="J470" s="27"/>
      <c r="K470" s="27"/>
      <c r="L470" s="27"/>
      <c r="M470" s="27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</row>
    <row r="471" spans="2:48" ht="15.75" customHeight="1" x14ac:dyDescent="0.2">
      <c r="B471" s="2"/>
      <c r="C471" s="2"/>
      <c r="D471" s="27"/>
      <c r="E471" s="27"/>
      <c r="F471" s="27"/>
      <c r="G471" s="27"/>
      <c r="H471" s="243"/>
      <c r="I471" s="243"/>
      <c r="J471" s="27"/>
      <c r="K471" s="27"/>
      <c r="L471" s="27"/>
      <c r="M471" s="27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</row>
    <row r="472" spans="2:48" ht="15.75" customHeight="1" x14ac:dyDescent="0.2">
      <c r="B472" s="2"/>
      <c r="C472" s="2"/>
      <c r="D472" s="27"/>
      <c r="E472" s="27"/>
      <c r="F472" s="27"/>
      <c r="G472" s="27"/>
      <c r="H472" s="243"/>
      <c r="I472" s="243"/>
      <c r="J472" s="27"/>
      <c r="K472" s="27"/>
      <c r="L472" s="27"/>
      <c r="M472" s="27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</row>
    <row r="473" spans="2:48" ht="15.75" customHeight="1" x14ac:dyDescent="0.2">
      <c r="B473" s="2"/>
      <c r="C473" s="2"/>
      <c r="D473" s="27"/>
      <c r="E473" s="27"/>
      <c r="F473" s="27"/>
      <c r="G473" s="27"/>
      <c r="H473" s="243"/>
      <c r="I473" s="243"/>
      <c r="J473" s="27"/>
      <c r="K473" s="27"/>
      <c r="L473" s="27"/>
      <c r="M473" s="27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</row>
    <row r="474" spans="2:48" ht="15.75" customHeight="1" x14ac:dyDescent="0.2">
      <c r="B474" s="2"/>
      <c r="C474" s="2"/>
      <c r="D474" s="27"/>
      <c r="E474" s="27"/>
      <c r="F474" s="27"/>
      <c r="G474" s="27"/>
      <c r="H474" s="243"/>
      <c r="I474" s="243"/>
      <c r="J474" s="27"/>
      <c r="K474" s="27"/>
      <c r="L474" s="27"/>
      <c r="M474" s="27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</row>
    <row r="475" spans="2:48" ht="15.75" customHeight="1" x14ac:dyDescent="0.2">
      <c r="B475" s="2"/>
      <c r="C475" s="2"/>
      <c r="D475" s="27"/>
      <c r="E475" s="27"/>
      <c r="F475" s="27"/>
      <c r="G475" s="27"/>
      <c r="H475" s="243"/>
      <c r="I475" s="243"/>
      <c r="J475" s="27"/>
      <c r="K475" s="27"/>
      <c r="L475" s="27"/>
      <c r="M475" s="27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</row>
    <row r="476" spans="2:48" ht="15.75" customHeight="1" x14ac:dyDescent="0.2">
      <c r="B476" s="2"/>
      <c r="C476" s="2"/>
      <c r="D476" s="27"/>
      <c r="E476" s="27"/>
      <c r="F476" s="27"/>
      <c r="G476" s="27"/>
      <c r="H476" s="243"/>
      <c r="I476" s="243"/>
      <c r="J476" s="27"/>
      <c r="K476" s="27"/>
      <c r="L476" s="27"/>
      <c r="M476" s="27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</row>
    <row r="477" spans="2:48" ht="15.75" customHeight="1" x14ac:dyDescent="0.2">
      <c r="B477" s="2"/>
      <c r="C477" s="2"/>
      <c r="D477" s="27"/>
      <c r="E477" s="27"/>
      <c r="F477" s="27"/>
      <c r="G477" s="27"/>
      <c r="H477" s="243"/>
      <c r="I477" s="243"/>
      <c r="J477" s="27"/>
      <c r="K477" s="27"/>
      <c r="L477" s="27"/>
      <c r="M477" s="27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</row>
    <row r="478" spans="2:48" ht="15.75" customHeight="1" x14ac:dyDescent="0.2">
      <c r="B478" s="2"/>
      <c r="C478" s="2"/>
      <c r="D478" s="27"/>
      <c r="E478" s="27"/>
      <c r="F478" s="27"/>
      <c r="G478" s="27"/>
      <c r="H478" s="243"/>
      <c r="I478" s="243"/>
      <c r="J478" s="27"/>
      <c r="K478" s="27"/>
      <c r="L478" s="27"/>
      <c r="M478" s="27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</row>
    <row r="479" spans="2:48" ht="15.75" customHeight="1" x14ac:dyDescent="0.2">
      <c r="B479" s="2"/>
      <c r="C479" s="2"/>
      <c r="D479" s="27"/>
      <c r="E479" s="27"/>
      <c r="F479" s="27"/>
      <c r="G479" s="27"/>
      <c r="H479" s="243"/>
      <c r="I479" s="243"/>
      <c r="J479" s="27"/>
      <c r="K479" s="27"/>
      <c r="L479" s="27"/>
      <c r="M479" s="27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</row>
    <row r="480" spans="2:48" ht="15.75" customHeight="1" x14ac:dyDescent="0.2">
      <c r="B480" s="2"/>
      <c r="C480" s="2"/>
      <c r="D480" s="27"/>
      <c r="E480" s="27"/>
      <c r="F480" s="27"/>
      <c r="G480" s="27"/>
      <c r="H480" s="243"/>
      <c r="I480" s="243"/>
      <c r="J480" s="27"/>
      <c r="K480" s="27"/>
      <c r="L480" s="27"/>
      <c r="M480" s="27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</row>
    <row r="481" spans="2:48" ht="15.75" customHeight="1" x14ac:dyDescent="0.2">
      <c r="B481" s="2"/>
      <c r="C481" s="2"/>
      <c r="D481" s="27"/>
      <c r="E481" s="27"/>
      <c r="F481" s="27"/>
      <c r="G481" s="27"/>
      <c r="H481" s="243"/>
      <c r="I481" s="243"/>
      <c r="J481" s="27"/>
      <c r="K481" s="27"/>
      <c r="L481" s="27"/>
      <c r="M481" s="27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</row>
    <row r="482" spans="2:48" ht="15.75" customHeight="1" x14ac:dyDescent="0.2">
      <c r="B482" s="2"/>
      <c r="C482" s="2"/>
      <c r="D482" s="27"/>
      <c r="E482" s="27"/>
      <c r="F482" s="27"/>
      <c r="G482" s="27"/>
      <c r="H482" s="243"/>
      <c r="I482" s="243"/>
      <c r="J482" s="27"/>
      <c r="K482" s="27"/>
      <c r="L482" s="27"/>
      <c r="M482" s="27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</row>
    <row r="483" spans="2:48" ht="15.75" customHeight="1" x14ac:dyDescent="0.2">
      <c r="B483" s="2"/>
      <c r="C483" s="2"/>
      <c r="D483" s="27"/>
      <c r="E483" s="27"/>
      <c r="F483" s="27"/>
      <c r="G483" s="27"/>
      <c r="H483" s="243"/>
      <c r="I483" s="243"/>
      <c r="J483" s="27"/>
      <c r="K483" s="27"/>
      <c r="L483" s="27"/>
      <c r="M483" s="27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</row>
    <row r="484" spans="2:48" ht="15.75" customHeight="1" x14ac:dyDescent="0.2">
      <c r="B484" s="2"/>
      <c r="C484" s="2"/>
      <c r="D484" s="27"/>
      <c r="E484" s="27"/>
      <c r="F484" s="27"/>
      <c r="G484" s="27"/>
      <c r="H484" s="243"/>
      <c r="I484" s="243"/>
      <c r="J484" s="27"/>
      <c r="K484" s="27"/>
      <c r="L484" s="27"/>
      <c r="M484" s="27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</row>
    <row r="485" spans="2:48" ht="15.75" customHeight="1" x14ac:dyDescent="0.2">
      <c r="B485" s="2"/>
      <c r="C485" s="2"/>
      <c r="D485" s="27"/>
      <c r="E485" s="27"/>
      <c r="F485" s="27"/>
      <c r="G485" s="27"/>
      <c r="H485" s="243"/>
      <c r="I485" s="243"/>
      <c r="J485" s="27"/>
      <c r="K485" s="27"/>
      <c r="L485" s="27"/>
      <c r="M485" s="27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</row>
    <row r="486" spans="2:48" ht="15.75" customHeight="1" x14ac:dyDescent="0.2">
      <c r="B486" s="2"/>
      <c r="C486" s="2"/>
      <c r="D486" s="27"/>
      <c r="E486" s="27"/>
      <c r="F486" s="27"/>
      <c r="G486" s="27"/>
      <c r="H486" s="243"/>
      <c r="I486" s="243"/>
      <c r="J486" s="27"/>
      <c r="K486" s="27"/>
      <c r="L486" s="27"/>
      <c r="M486" s="27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</row>
    <row r="487" spans="2:48" ht="15.75" customHeight="1" x14ac:dyDescent="0.2">
      <c r="B487" s="2"/>
      <c r="C487" s="2"/>
      <c r="D487" s="27"/>
      <c r="E487" s="27"/>
      <c r="F487" s="27"/>
      <c r="G487" s="27"/>
      <c r="H487" s="243"/>
      <c r="I487" s="243"/>
      <c r="J487" s="27"/>
      <c r="K487" s="27"/>
      <c r="L487" s="27"/>
      <c r="M487" s="27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</row>
    <row r="488" spans="2:48" ht="15.75" customHeight="1" x14ac:dyDescent="0.2">
      <c r="B488" s="2"/>
      <c r="C488" s="2"/>
      <c r="D488" s="27"/>
      <c r="E488" s="27"/>
      <c r="F488" s="27"/>
      <c r="G488" s="27"/>
      <c r="H488" s="243"/>
      <c r="I488" s="243"/>
      <c r="J488" s="27"/>
      <c r="K488" s="27"/>
      <c r="L488" s="27"/>
      <c r="M488" s="27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</row>
    <row r="489" spans="2:48" ht="15.75" customHeight="1" x14ac:dyDescent="0.2">
      <c r="B489" s="2"/>
      <c r="C489" s="2"/>
      <c r="D489" s="27"/>
      <c r="E489" s="27"/>
      <c r="F489" s="27"/>
      <c r="G489" s="27"/>
      <c r="H489" s="243"/>
      <c r="I489" s="243"/>
      <c r="J489" s="27"/>
      <c r="K489" s="27"/>
      <c r="L489" s="27"/>
      <c r="M489" s="27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</row>
    <row r="490" spans="2:48" ht="15.75" customHeight="1" x14ac:dyDescent="0.2">
      <c r="B490" s="2"/>
      <c r="C490" s="2"/>
      <c r="D490" s="27"/>
      <c r="E490" s="27"/>
      <c r="F490" s="27"/>
      <c r="G490" s="27"/>
      <c r="H490" s="243"/>
      <c r="I490" s="243"/>
      <c r="J490" s="27"/>
      <c r="K490" s="27"/>
      <c r="L490" s="27"/>
      <c r="M490" s="27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</row>
    <row r="491" spans="2:48" ht="15.75" customHeight="1" x14ac:dyDescent="0.2">
      <c r="B491" s="2"/>
      <c r="C491" s="2"/>
      <c r="D491" s="27"/>
      <c r="E491" s="27"/>
      <c r="F491" s="27"/>
      <c r="G491" s="27"/>
      <c r="H491" s="243"/>
      <c r="I491" s="243"/>
      <c r="J491" s="27"/>
      <c r="K491" s="27"/>
      <c r="L491" s="27"/>
      <c r="M491" s="27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</row>
    <row r="492" spans="2:48" ht="15.75" customHeight="1" x14ac:dyDescent="0.2">
      <c r="B492" s="2"/>
      <c r="C492" s="2"/>
      <c r="D492" s="27"/>
      <c r="E492" s="27"/>
      <c r="F492" s="27"/>
      <c r="G492" s="27"/>
      <c r="H492" s="243"/>
      <c r="I492" s="243"/>
      <c r="J492" s="27"/>
      <c r="K492" s="27"/>
      <c r="L492" s="27"/>
      <c r="M492" s="27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</row>
    <row r="493" spans="2:48" ht="15.75" customHeight="1" x14ac:dyDescent="0.2">
      <c r="B493" s="2"/>
      <c r="C493" s="2"/>
      <c r="D493" s="27"/>
      <c r="E493" s="27"/>
      <c r="F493" s="27"/>
      <c r="G493" s="27"/>
      <c r="H493" s="243"/>
      <c r="I493" s="243"/>
      <c r="J493" s="27"/>
      <c r="K493" s="27"/>
      <c r="L493" s="27"/>
      <c r="M493" s="27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</row>
    <row r="494" spans="2:48" ht="15.75" customHeight="1" x14ac:dyDescent="0.2">
      <c r="B494" s="2"/>
      <c r="C494" s="2"/>
      <c r="D494" s="27"/>
      <c r="E494" s="27"/>
      <c r="F494" s="27"/>
      <c r="G494" s="27"/>
      <c r="H494" s="243"/>
      <c r="I494" s="243"/>
      <c r="J494" s="27"/>
      <c r="K494" s="27"/>
      <c r="L494" s="27"/>
      <c r="M494" s="27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</row>
    <row r="495" spans="2:48" ht="15.75" customHeight="1" x14ac:dyDescent="0.2">
      <c r="B495" s="2"/>
      <c r="C495" s="2"/>
      <c r="D495" s="27"/>
      <c r="E495" s="27"/>
      <c r="F495" s="27"/>
      <c r="G495" s="27"/>
      <c r="H495" s="243"/>
      <c r="I495" s="243"/>
      <c r="J495" s="27"/>
      <c r="K495" s="27"/>
      <c r="L495" s="27"/>
      <c r="M495" s="27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</row>
    <row r="496" spans="2:48" ht="15.75" customHeight="1" x14ac:dyDescent="0.2">
      <c r="B496" s="2"/>
      <c r="C496" s="2"/>
      <c r="D496" s="27"/>
      <c r="E496" s="27"/>
      <c r="F496" s="27"/>
      <c r="G496" s="27"/>
      <c r="H496" s="243"/>
      <c r="I496" s="243"/>
      <c r="J496" s="27"/>
      <c r="K496" s="27"/>
      <c r="L496" s="27"/>
      <c r="M496" s="27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</row>
    <row r="497" spans="2:48" ht="15.75" customHeight="1" x14ac:dyDescent="0.2">
      <c r="B497" s="2"/>
      <c r="C497" s="2"/>
      <c r="D497" s="27"/>
      <c r="E497" s="27"/>
      <c r="F497" s="27"/>
      <c r="G497" s="27"/>
      <c r="H497" s="243"/>
      <c r="I497" s="243"/>
      <c r="J497" s="27"/>
      <c r="K497" s="27"/>
      <c r="L497" s="27"/>
      <c r="M497" s="27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</row>
    <row r="498" spans="2:48" ht="15.75" customHeight="1" x14ac:dyDescent="0.2">
      <c r="B498" s="2"/>
      <c r="C498" s="2"/>
      <c r="D498" s="27"/>
      <c r="E498" s="27"/>
      <c r="F498" s="27"/>
      <c r="G498" s="27"/>
      <c r="H498" s="243"/>
      <c r="I498" s="243"/>
      <c r="J498" s="27"/>
      <c r="K498" s="27"/>
      <c r="L498" s="27"/>
      <c r="M498" s="27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</row>
    <row r="499" spans="2:48" ht="15.75" customHeight="1" x14ac:dyDescent="0.2">
      <c r="B499" s="2"/>
      <c r="C499" s="2"/>
      <c r="D499" s="27"/>
      <c r="E499" s="27"/>
      <c r="F499" s="27"/>
      <c r="G499" s="27"/>
      <c r="H499" s="243"/>
      <c r="I499" s="243"/>
      <c r="J499" s="27"/>
      <c r="K499" s="27"/>
      <c r="L499" s="27"/>
      <c r="M499" s="27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</row>
    <row r="500" spans="2:48" ht="15.75" customHeight="1" x14ac:dyDescent="0.2">
      <c r="B500" s="2"/>
      <c r="C500" s="2"/>
      <c r="D500" s="27"/>
      <c r="E500" s="27"/>
      <c r="F500" s="27"/>
      <c r="G500" s="27"/>
      <c r="H500" s="243"/>
      <c r="I500" s="243"/>
      <c r="J500" s="27"/>
      <c r="K500" s="27"/>
      <c r="L500" s="27"/>
      <c r="M500" s="27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</row>
    <row r="501" spans="2:48" ht="15.75" customHeight="1" x14ac:dyDescent="0.2">
      <c r="B501" s="2"/>
      <c r="C501" s="2"/>
      <c r="D501" s="27"/>
      <c r="E501" s="27"/>
      <c r="F501" s="27"/>
      <c r="G501" s="27"/>
      <c r="H501" s="243"/>
      <c r="I501" s="243"/>
      <c r="J501" s="27"/>
      <c r="K501" s="27"/>
      <c r="L501" s="27"/>
      <c r="M501" s="27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</row>
    <row r="502" spans="2:48" ht="15.75" customHeight="1" x14ac:dyDescent="0.2">
      <c r="B502" s="2"/>
      <c r="C502" s="2"/>
      <c r="D502" s="27"/>
      <c r="E502" s="27"/>
      <c r="F502" s="27"/>
      <c r="G502" s="27"/>
      <c r="H502" s="243"/>
      <c r="I502" s="243"/>
      <c r="J502" s="27"/>
      <c r="K502" s="27"/>
      <c r="L502" s="27"/>
      <c r="M502" s="27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</row>
    <row r="503" spans="2:48" ht="15.75" customHeight="1" x14ac:dyDescent="0.2">
      <c r="B503" s="2"/>
      <c r="C503" s="2"/>
      <c r="D503" s="27"/>
      <c r="E503" s="27"/>
      <c r="F503" s="27"/>
      <c r="G503" s="27"/>
      <c r="H503" s="243"/>
      <c r="I503" s="243"/>
      <c r="J503" s="27"/>
      <c r="K503" s="27"/>
      <c r="L503" s="27"/>
      <c r="M503" s="27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</row>
    <row r="504" spans="2:48" ht="15.75" customHeight="1" x14ac:dyDescent="0.2">
      <c r="B504" s="2"/>
      <c r="C504" s="2"/>
      <c r="D504" s="27"/>
      <c r="E504" s="27"/>
      <c r="F504" s="27"/>
      <c r="G504" s="27"/>
      <c r="H504" s="243"/>
      <c r="I504" s="243"/>
      <c r="J504" s="27"/>
      <c r="K504" s="27"/>
      <c r="L504" s="27"/>
      <c r="M504" s="27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</row>
    <row r="505" spans="2:48" ht="15.75" customHeight="1" x14ac:dyDescent="0.2">
      <c r="B505" s="2"/>
      <c r="C505" s="2"/>
      <c r="D505" s="27"/>
      <c r="E505" s="27"/>
      <c r="F505" s="27"/>
      <c r="G505" s="27"/>
      <c r="H505" s="243"/>
      <c r="I505" s="243"/>
      <c r="J505" s="27"/>
      <c r="K505" s="27"/>
      <c r="L505" s="27"/>
      <c r="M505" s="27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</row>
    <row r="506" spans="2:48" ht="15.75" customHeight="1" x14ac:dyDescent="0.2">
      <c r="B506" s="2"/>
      <c r="C506" s="2"/>
      <c r="D506" s="27"/>
      <c r="E506" s="27"/>
      <c r="F506" s="27"/>
      <c r="G506" s="27"/>
      <c r="H506" s="243"/>
      <c r="I506" s="243"/>
      <c r="J506" s="27"/>
      <c r="K506" s="27"/>
      <c r="L506" s="27"/>
      <c r="M506" s="27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</row>
    <row r="507" spans="2:48" ht="15.75" customHeight="1" x14ac:dyDescent="0.2">
      <c r="B507" s="2"/>
      <c r="C507" s="2"/>
      <c r="D507" s="27"/>
      <c r="E507" s="27"/>
      <c r="F507" s="27"/>
      <c r="G507" s="27"/>
      <c r="H507" s="243"/>
      <c r="I507" s="243"/>
      <c r="J507" s="27"/>
      <c r="K507" s="27"/>
      <c r="L507" s="27"/>
      <c r="M507" s="27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</row>
    <row r="508" spans="2:48" ht="15.75" customHeight="1" x14ac:dyDescent="0.2">
      <c r="B508" s="2"/>
      <c r="C508" s="2"/>
      <c r="D508" s="27"/>
      <c r="E508" s="27"/>
      <c r="F508" s="27"/>
      <c r="G508" s="27"/>
      <c r="H508" s="243"/>
      <c r="I508" s="243"/>
      <c r="J508" s="27"/>
      <c r="K508" s="27"/>
      <c r="L508" s="27"/>
      <c r="M508" s="27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</row>
    <row r="509" spans="2:48" ht="15.75" customHeight="1" x14ac:dyDescent="0.2">
      <c r="B509" s="2"/>
      <c r="C509" s="2"/>
      <c r="D509" s="27"/>
      <c r="E509" s="27"/>
      <c r="F509" s="27"/>
      <c r="G509" s="27"/>
      <c r="H509" s="243"/>
      <c r="I509" s="243"/>
      <c r="J509" s="27"/>
      <c r="K509" s="27"/>
      <c r="L509" s="27"/>
      <c r="M509" s="27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</row>
    <row r="510" spans="2:48" ht="15.75" customHeight="1" x14ac:dyDescent="0.2">
      <c r="B510" s="2"/>
      <c r="C510" s="2"/>
      <c r="D510" s="27"/>
      <c r="E510" s="27"/>
      <c r="F510" s="27"/>
      <c r="G510" s="27"/>
      <c r="H510" s="243"/>
      <c r="I510" s="243"/>
      <c r="J510" s="27"/>
      <c r="K510" s="27"/>
      <c r="L510" s="27"/>
      <c r="M510" s="27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</row>
    <row r="511" spans="2:48" ht="15.75" customHeight="1" x14ac:dyDescent="0.2">
      <c r="B511" s="2"/>
      <c r="C511" s="2"/>
      <c r="D511" s="27"/>
      <c r="E511" s="27"/>
      <c r="F511" s="27"/>
      <c r="G511" s="27"/>
      <c r="H511" s="243"/>
      <c r="I511" s="243"/>
      <c r="J511" s="27"/>
      <c r="K511" s="27"/>
      <c r="L511" s="27"/>
      <c r="M511" s="27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</row>
    <row r="512" spans="2:48" ht="15.75" customHeight="1" x14ac:dyDescent="0.2">
      <c r="B512" s="2"/>
      <c r="C512" s="2"/>
      <c r="D512" s="27"/>
      <c r="E512" s="27"/>
      <c r="F512" s="27"/>
      <c r="G512" s="27"/>
      <c r="H512" s="243"/>
      <c r="I512" s="243"/>
      <c r="J512" s="27"/>
      <c r="K512" s="27"/>
      <c r="L512" s="27"/>
      <c r="M512" s="27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</row>
    <row r="513" spans="2:48" ht="15.75" customHeight="1" x14ac:dyDescent="0.2">
      <c r="B513" s="2"/>
      <c r="C513" s="2"/>
      <c r="D513" s="27"/>
      <c r="E513" s="27"/>
      <c r="F513" s="27"/>
      <c r="G513" s="27"/>
      <c r="H513" s="243"/>
      <c r="I513" s="243"/>
      <c r="J513" s="27"/>
      <c r="K513" s="27"/>
      <c r="L513" s="27"/>
      <c r="M513" s="27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</row>
    <row r="514" spans="2:48" ht="15.75" customHeight="1" x14ac:dyDescent="0.2">
      <c r="B514" s="2"/>
      <c r="C514" s="2"/>
      <c r="D514" s="27"/>
      <c r="E514" s="27"/>
      <c r="F514" s="27"/>
      <c r="G514" s="27"/>
      <c r="H514" s="243"/>
      <c r="I514" s="243"/>
      <c r="J514" s="27"/>
      <c r="K514" s="27"/>
      <c r="L514" s="27"/>
      <c r="M514" s="27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</row>
    <row r="515" spans="2:48" ht="15.75" customHeight="1" x14ac:dyDescent="0.2">
      <c r="B515" s="2"/>
      <c r="C515" s="2"/>
      <c r="D515" s="27"/>
      <c r="E515" s="27"/>
      <c r="F515" s="27"/>
      <c r="G515" s="27"/>
      <c r="H515" s="243"/>
      <c r="I515" s="243"/>
      <c r="J515" s="27"/>
      <c r="K515" s="27"/>
      <c r="L515" s="27"/>
      <c r="M515" s="27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</row>
    <row r="516" spans="2:48" ht="15.75" customHeight="1" x14ac:dyDescent="0.2">
      <c r="B516" s="2"/>
      <c r="C516" s="2"/>
      <c r="D516" s="27"/>
      <c r="E516" s="27"/>
      <c r="F516" s="27"/>
      <c r="G516" s="27"/>
      <c r="H516" s="243"/>
      <c r="I516" s="243"/>
      <c r="J516" s="27"/>
      <c r="K516" s="27"/>
      <c r="L516" s="27"/>
      <c r="M516" s="27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</row>
    <row r="517" spans="2:48" ht="15.75" customHeight="1" x14ac:dyDescent="0.2">
      <c r="B517" s="2"/>
      <c r="C517" s="2"/>
      <c r="D517" s="27"/>
      <c r="E517" s="27"/>
      <c r="F517" s="27"/>
      <c r="G517" s="27"/>
      <c r="H517" s="243"/>
      <c r="I517" s="243"/>
      <c r="J517" s="27"/>
      <c r="K517" s="27"/>
      <c r="L517" s="27"/>
      <c r="M517" s="27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</row>
    <row r="518" spans="2:48" ht="15.75" customHeight="1" x14ac:dyDescent="0.2">
      <c r="B518" s="2"/>
      <c r="C518" s="2"/>
      <c r="D518" s="27"/>
      <c r="E518" s="27"/>
      <c r="F518" s="27"/>
      <c r="G518" s="27"/>
      <c r="H518" s="243"/>
      <c r="I518" s="243"/>
      <c r="J518" s="27"/>
      <c r="K518" s="27"/>
      <c r="L518" s="27"/>
      <c r="M518" s="27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</row>
    <row r="519" spans="2:48" ht="15.75" customHeight="1" x14ac:dyDescent="0.2">
      <c r="B519" s="2"/>
      <c r="C519" s="2"/>
      <c r="D519" s="27"/>
      <c r="E519" s="27"/>
      <c r="F519" s="27"/>
      <c r="G519" s="27"/>
      <c r="H519" s="243"/>
      <c r="I519" s="243"/>
      <c r="J519" s="27"/>
      <c r="K519" s="27"/>
      <c r="L519" s="27"/>
      <c r="M519" s="27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</row>
    <row r="520" spans="2:48" ht="15.75" customHeight="1" x14ac:dyDescent="0.2">
      <c r="B520" s="2"/>
      <c r="C520" s="2"/>
      <c r="D520" s="27"/>
      <c r="E520" s="27"/>
      <c r="F520" s="27"/>
      <c r="G520" s="27"/>
      <c r="H520" s="243"/>
      <c r="I520" s="243"/>
      <c r="J520" s="27"/>
      <c r="K520" s="27"/>
      <c r="L520" s="27"/>
      <c r="M520" s="27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</row>
    <row r="521" spans="2:48" ht="15.75" customHeight="1" x14ac:dyDescent="0.2">
      <c r="B521" s="2"/>
      <c r="C521" s="2"/>
      <c r="D521" s="27"/>
      <c r="E521" s="27"/>
      <c r="F521" s="27"/>
      <c r="G521" s="27"/>
      <c r="H521" s="243"/>
      <c r="I521" s="243"/>
      <c r="J521" s="27"/>
      <c r="K521" s="27"/>
      <c r="L521" s="27"/>
      <c r="M521" s="27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</row>
    <row r="522" spans="2:48" ht="15.75" customHeight="1" x14ac:dyDescent="0.2">
      <c r="B522" s="2"/>
      <c r="C522" s="2"/>
      <c r="D522" s="27"/>
      <c r="E522" s="27"/>
      <c r="F522" s="27"/>
      <c r="G522" s="27"/>
      <c r="H522" s="243"/>
      <c r="I522" s="243"/>
      <c r="J522" s="27"/>
      <c r="K522" s="27"/>
      <c r="L522" s="27"/>
      <c r="M522" s="27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</row>
    <row r="523" spans="2:48" ht="15.75" customHeight="1" x14ac:dyDescent="0.2">
      <c r="B523" s="2"/>
      <c r="C523" s="2"/>
      <c r="D523" s="27"/>
      <c r="E523" s="27"/>
      <c r="F523" s="27"/>
      <c r="G523" s="27"/>
      <c r="H523" s="243"/>
      <c r="I523" s="243"/>
      <c r="J523" s="27"/>
      <c r="K523" s="27"/>
      <c r="L523" s="27"/>
      <c r="M523" s="27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</row>
    <row r="524" spans="2:48" ht="15.75" customHeight="1" x14ac:dyDescent="0.2">
      <c r="B524" s="2"/>
      <c r="C524" s="2"/>
      <c r="D524" s="27"/>
      <c r="E524" s="27"/>
      <c r="F524" s="27"/>
      <c r="G524" s="27"/>
      <c r="H524" s="243"/>
      <c r="I524" s="243"/>
      <c r="J524" s="27"/>
      <c r="K524" s="27"/>
      <c r="L524" s="27"/>
      <c r="M524" s="27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</row>
    <row r="525" spans="2:48" ht="15.75" customHeight="1" x14ac:dyDescent="0.2">
      <c r="B525" s="2"/>
      <c r="C525" s="2"/>
      <c r="D525" s="27"/>
      <c r="E525" s="27"/>
      <c r="F525" s="27"/>
      <c r="G525" s="27"/>
      <c r="H525" s="243"/>
      <c r="I525" s="243"/>
      <c r="J525" s="27"/>
      <c r="K525" s="27"/>
      <c r="L525" s="27"/>
      <c r="M525" s="27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</row>
    <row r="526" spans="2:48" ht="15.75" customHeight="1" x14ac:dyDescent="0.2">
      <c r="B526" s="2"/>
      <c r="C526" s="2"/>
      <c r="D526" s="27"/>
      <c r="E526" s="27"/>
      <c r="F526" s="27"/>
      <c r="G526" s="27"/>
      <c r="H526" s="243"/>
      <c r="I526" s="243"/>
      <c r="J526" s="27"/>
      <c r="K526" s="27"/>
      <c r="L526" s="27"/>
      <c r="M526" s="27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</row>
    <row r="527" spans="2:48" ht="15.75" customHeight="1" x14ac:dyDescent="0.2">
      <c r="B527" s="2"/>
      <c r="C527" s="2"/>
      <c r="D527" s="27"/>
      <c r="E527" s="27"/>
      <c r="F527" s="27"/>
      <c r="G527" s="27"/>
      <c r="H527" s="243"/>
      <c r="I527" s="243"/>
      <c r="J527" s="27"/>
      <c r="K527" s="27"/>
      <c r="L527" s="27"/>
      <c r="M527" s="27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</row>
    <row r="528" spans="2:48" ht="15.75" customHeight="1" x14ac:dyDescent="0.2">
      <c r="B528" s="2"/>
      <c r="C528" s="2"/>
      <c r="D528" s="27"/>
      <c r="E528" s="27"/>
      <c r="F528" s="27"/>
      <c r="G528" s="27"/>
      <c r="H528" s="243"/>
      <c r="I528" s="243"/>
      <c r="J528" s="27"/>
      <c r="K528" s="27"/>
      <c r="L528" s="27"/>
      <c r="M528" s="27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</row>
    <row r="529" spans="2:48" ht="15.75" customHeight="1" x14ac:dyDescent="0.2">
      <c r="B529" s="2"/>
      <c r="C529" s="2"/>
      <c r="D529" s="27"/>
      <c r="E529" s="27"/>
      <c r="F529" s="27"/>
      <c r="G529" s="27"/>
      <c r="H529" s="243"/>
      <c r="I529" s="243"/>
      <c r="J529" s="27"/>
      <c r="K529" s="27"/>
      <c r="L529" s="27"/>
      <c r="M529" s="27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</row>
    <row r="530" spans="2:48" ht="15.75" customHeight="1" x14ac:dyDescent="0.2">
      <c r="B530" s="2"/>
      <c r="C530" s="2"/>
      <c r="D530" s="27"/>
      <c r="E530" s="27"/>
      <c r="F530" s="27"/>
      <c r="G530" s="27"/>
      <c r="H530" s="243"/>
      <c r="I530" s="243"/>
      <c r="J530" s="27"/>
      <c r="K530" s="27"/>
      <c r="L530" s="27"/>
      <c r="M530" s="27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</row>
    <row r="531" spans="2:48" ht="15.75" customHeight="1" x14ac:dyDescent="0.2">
      <c r="B531" s="2"/>
      <c r="C531" s="2"/>
      <c r="D531" s="27"/>
      <c r="E531" s="27"/>
      <c r="F531" s="27"/>
      <c r="G531" s="27"/>
      <c r="H531" s="243"/>
      <c r="I531" s="243"/>
      <c r="J531" s="27"/>
      <c r="K531" s="27"/>
      <c r="L531" s="27"/>
      <c r="M531" s="27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</row>
    <row r="532" spans="2:48" ht="15.75" customHeight="1" x14ac:dyDescent="0.2">
      <c r="B532" s="2"/>
      <c r="C532" s="2"/>
      <c r="D532" s="27"/>
      <c r="E532" s="27"/>
      <c r="F532" s="27"/>
      <c r="G532" s="27"/>
      <c r="H532" s="243"/>
      <c r="I532" s="243"/>
      <c r="J532" s="27"/>
      <c r="K532" s="27"/>
      <c r="L532" s="27"/>
      <c r="M532" s="27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</row>
    <row r="533" spans="2:48" ht="15.75" customHeight="1" x14ac:dyDescent="0.2">
      <c r="B533" s="2"/>
      <c r="C533" s="2"/>
      <c r="D533" s="27"/>
      <c r="E533" s="27"/>
      <c r="F533" s="27"/>
      <c r="G533" s="27"/>
      <c r="H533" s="243"/>
      <c r="I533" s="243"/>
      <c r="J533" s="27"/>
      <c r="K533" s="27"/>
      <c r="L533" s="27"/>
      <c r="M533" s="27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</row>
    <row r="534" spans="2:48" ht="15.75" customHeight="1" x14ac:dyDescent="0.2">
      <c r="B534" s="2"/>
      <c r="C534" s="2"/>
      <c r="D534" s="27"/>
      <c r="E534" s="27"/>
      <c r="F534" s="27"/>
      <c r="G534" s="27"/>
      <c r="H534" s="243"/>
      <c r="I534" s="243"/>
      <c r="J534" s="27"/>
      <c r="K534" s="27"/>
      <c r="L534" s="27"/>
      <c r="M534" s="27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</row>
    <row r="535" spans="2:48" ht="15.75" customHeight="1" x14ac:dyDescent="0.2">
      <c r="B535" s="2"/>
      <c r="C535" s="2"/>
      <c r="D535" s="27"/>
      <c r="E535" s="27"/>
      <c r="F535" s="27"/>
      <c r="G535" s="27"/>
      <c r="H535" s="243"/>
      <c r="I535" s="243"/>
      <c r="J535" s="27"/>
      <c r="K535" s="27"/>
      <c r="L535" s="27"/>
      <c r="M535" s="27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</row>
    <row r="536" spans="2:48" ht="15.75" customHeight="1" x14ac:dyDescent="0.2">
      <c r="B536" s="2"/>
      <c r="C536" s="2"/>
      <c r="D536" s="27"/>
      <c r="E536" s="27"/>
      <c r="F536" s="27"/>
      <c r="G536" s="27"/>
      <c r="H536" s="243"/>
      <c r="I536" s="243"/>
      <c r="J536" s="27"/>
      <c r="K536" s="27"/>
      <c r="L536" s="27"/>
      <c r="M536" s="27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</row>
    <row r="537" spans="2:48" ht="15.75" customHeight="1" x14ac:dyDescent="0.2">
      <c r="B537" s="2"/>
      <c r="C537" s="2"/>
      <c r="D537" s="27"/>
      <c r="E537" s="27"/>
      <c r="F537" s="27"/>
      <c r="G537" s="27"/>
      <c r="H537" s="243"/>
      <c r="I537" s="243"/>
      <c r="J537" s="27"/>
      <c r="K537" s="27"/>
      <c r="L537" s="27"/>
      <c r="M537" s="27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</row>
    <row r="538" spans="2:48" ht="15.75" customHeight="1" x14ac:dyDescent="0.2">
      <c r="B538" s="2"/>
      <c r="C538" s="2"/>
      <c r="D538" s="27"/>
      <c r="E538" s="27"/>
      <c r="F538" s="27"/>
      <c r="G538" s="27"/>
      <c r="H538" s="243"/>
      <c r="I538" s="243"/>
      <c r="J538" s="27"/>
      <c r="K538" s="27"/>
      <c r="L538" s="27"/>
      <c r="M538" s="27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</row>
    <row r="539" spans="2:48" ht="15.75" customHeight="1" x14ac:dyDescent="0.2">
      <c r="B539" s="2"/>
      <c r="C539" s="2"/>
      <c r="D539" s="27"/>
      <c r="E539" s="27"/>
      <c r="F539" s="27"/>
      <c r="G539" s="27"/>
      <c r="H539" s="243"/>
      <c r="I539" s="243"/>
      <c r="J539" s="27"/>
      <c r="K539" s="27"/>
      <c r="L539" s="27"/>
      <c r="M539" s="27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</row>
    <row r="540" spans="2:48" ht="15.75" customHeight="1" x14ac:dyDescent="0.2">
      <c r="B540" s="2"/>
      <c r="C540" s="2"/>
      <c r="D540" s="27"/>
      <c r="E540" s="27"/>
      <c r="F540" s="27"/>
      <c r="G540" s="27"/>
      <c r="H540" s="243"/>
      <c r="I540" s="243"/>
      <c r="J540" s="27"/>
      <c r="K540" s="27"/>
      <c r="L540" s="27"/>
      <c r="M540" s="27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</row>
    <row r="541" spans="2:48" ht="15.75" customHeight="1" x14ac:dyDescent="0.2">
      <c r="B541" s="2"/>
      <c r="C541" s="2"/>
      <c r="D541" s="27"/>
      <c r="E541" s="27"/>
      <c r="F541" s="27"/>
      <c r="G541" s="27"/>
      <c r="H541" s="243"/>
      <c r="I541" s="243"/>
      <c r="J541" s="27"/>
      <c r="K541" s="27"/>
      <c r="L541" s="27"/>
      <c r="M541" s="27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</row>
    <row r="542" spans="2:48" ht="15.75" customHeight="1" x14ac:dyDescent="0.2">
      <c r="B542" s="2"/>
      <c r="C542" s="2"/>
      <c r="D542" s="27"/>
      <c r="E542" s="27"/>
      <c r="F542" s="27"/>
      <c r="G542" s="27"/>
      <c r="H542" s="243"/>
      <c r="I542" s="243"/>
      <c r="J542" s="27"/>
      <c r="K542" s="27"/>
      <c r="L542" s="27"/>
      <c r="M542" s="27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</row>
    <row r="543" spans="2:48" ht="15.75" customHeight="1" x14ac:dyDescent="0.2">
      <c r="B543" s="2"/>
      <c r="C543" s="2"/>
      <c r="D543" s="27"/>
      <c r="E543" s="27"/>
      <c r="F543" s="27"/>
      <c r="G543" s="27"/>
      <c r="H543" s="243"/>
      <c r="I543" s="243"/>
      <c r="J543" s="27"/>
      <c r="K543" s="27"/>
      <c r="L543" s="27"/>
      <c r="M543" s="27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</row>
    <row r="544" spans="2:48" ht="15.75" customHeight="1" x14ac:dyDescent="0.2">
      <c r="B544" s="2"/>
      <c r="C544" s="2"/>
      <c r="D544" s="27"/>
      <c r="E544" s="27"/>
      <c r="F544" s="27"/>
      <c r="G544" s="27"/>
      <c r="H544" s="243"/>
      <c r="I544" s="243"/>
      <c r="J544" s="27"/>
      <c r="K544" s="27"/>
      <c r="L544" s="27"/>
      <c r="M544" s="27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</row>
    <row r="545" spans="2:48" ht="15.75" customHeight="1" x14ac:dyDescent="0.2">
      <c r="B545" s="2"/>
      <c r="C545" s="2"/>
      <c r="D545" s="27"/>
      <c r="E545" s="27"/>
      <c r="F545" s="27"/>
      <c r="G545" s="27"/>
      <c r="H545" s="243"/>
      <c r="I545" s="243"/>
      <c r="J545" s="27"/>
      <c r="K545" s="27"/>
      <c r="L545" s="27"/>
      <c r="M545" s="27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</row>
    <row r="546" spans="2:48" ht="15.75" customHeight="1" x14ac:dyDescent="0.2">
      <c r="B546" s="2"/>
      <c r="C546" s="2"/>
      <c r="D546" s="27"/>
      <c r="E546" s="27"/>
      <c r="F546" s="27"/>
      <c r="G546" s="27"/>
      <c r="H546" s="243"/>
      <c r="I546" s="243"/>
      <c r="J546" s="27"/>
      <c r="K546" s="27"/>
      <c r="L546" s="27"/>
      <c r="M546" s="27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</row>
    <row r="547" spans="2:48" ht="15.75" customHeight="1" x14ac:dyDescent="0.2">
      <c r="B547" s="2"/>
      <c r="C547" s="2"/>
      <c r="D547" s="27"/>
      <c r="E547" s="27"/>
      <c r="F547" s="27"/>
      <c r="G547" s="27"/>
      <c r="H547" s="243"/>
      <c r="I547" s="243"/>
      <c r="J547" s="27"/>
      <c r="K547" s="27"/>
      <c r="L547" s="27"/>
      <c r="M547" s="27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</row>
    <row r="548" spans="2:48" ht="15.75" customHeight="1" x14ac:dyDescent="0.2">
      <c r="B548" s="2"/>
      <c r="C548" s="2"/>
      <c r="D548" s="27"/>
      <c r="E548" s="27"/>
      <c r="F548" s="27"/>
      <c r="G548" s="27"/>
      <c r="H548" s="243"/>
      <c r="I548" s="243"/>
      <c r="J548" s="27"/>
      <c r="K548" s="27"/>
      <c r="L548" s="27"/>
      <c r="M548" s="27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</row>
    <row r="549" spans="2:48" ht="15.75" customHeight="1" x14ac:dyDescent="0.2">
      <c r="B549" s="2"/>
      <c r="C549" s="2"/>
      <c r="D549" s="27"/>
      <c r="E549" s="27"/>
      <c r="F549" s="27"/>
      <c r="G549" s="27"/>
      <c r="H549" s="243"/>
      <c r="I549" s="243"/>
      <c r="J549" s="27"/>
      <c r="K549" s="27"/>
      <c r="L549" s="27"/>
      <c r="M549" s="27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</row>
    <row r="550" spans="2:48" ht="15.75" customHeight="1" x14ac:dyDescent="0.2">
      <c r="B550" s="2"/>
      <c r="C550" s="2"/>
      <c r="D550" s="27"/>
      <c r="E550" s="27"/>
      <c r="F550" s="27"/>
      <c r="G550" s="27"/>
      <c r="H550" s="243"/>
      <c r="I550" s="243"/>
      <c r="J550" s="27"/>
      <c r="K550" s="27"/>
      <c r="L550" s="27"/>
      <c r="M550" s="27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</row>
    <row r="551" spans="2:48" ht="15.75" customHeight="1" x14ac:dyDescent="0.2">
      <c r="B551" s="2"/>
      <c r="C551" s="2"/>
      <c r="D551" s="27"/>
      <c r="E551" s="27"/>
      <c r="F551" s="27"/>
      <c r="G551" s="27"/>
      <c r="H551" s="243"/>
      <c r="I551" s="243"/>
      <c r="J551" s="27"/>
      <c r="K551" s="27"/>
      <c r="L551" s="27"/>
      <c r="M551" s="27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</row>
    <row r="552" spans="2:48" ht="15.75" customHeight="1" x14ac:dyDescent="0.2">
      <c r="B552" s="2"/>
      <c r="C552" s="2"/>
      <c r="D552" s="27"/>
      <c r="E552" s="27"/>
      <c r="F552" s="27"/>
      <c r="G552" s="27"/>
      <c r="H552" s="243"/>
      <c r="I552" s="243"/>
      <c r="J552" s="27"/>
      <c r="K552" s="27"/>
      <c r="L552" s="27"/>
      <c r="M552" s="27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</row>
    <row r="553" spans="2:48" ht="15.75" customHeight="1" x14ac:dyDescent="0.2">
      <c r="B553" s="2"/>
      <c r="C553" s="2"/>
      <c r="D553" s="27"/>
      <c r="E553" s="27"/>
      <c r="F553" s="27"/>
      <c r="G553" s="27"/>
      <c r="H553" s="243"/>
      <c r="I553" s="243"/>
      <c r="J553" s="27"/>
      <c r="K553" s="27"/>
      <c r="L553" s="27"/>
      <c r="M553" s="27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</row>
    <row r="554" spans="2:48" ht="15.75" customHeight="1" x14ac:dyDescent="0.2">
      <c r="B554" s="2"/>
      <c r="C554" s="2"/>
      <c r="D554" s="27"/>
      <c r="E554" s="27"/>
      <c r="F554" s="27"/>
      <c r="G554" s="27"/>
      <c r="H554" s="243"/>
      <c r="I554" s="243"/>
      <c r="J554" s="27"/>
      <c r="K554" s="27"/>
      <c r="L554" s="27"/>
      <c r="M554" s="27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</row>
    <row r="555" spans="2:48" ht="15.75" customHeight="1" x14ac:dyDescent="0.2">
      <c r="B555" s="2"/>
      <c r="C555" s="2"/>
      <c r="D555" s="27"/>
      <c r="E555" s="27"/>
      <c r="F555" s="27"/>
      <c r="G555" s="27"/>
      <c r="H555" s="243"/>
      <c r="I555" s="243"/>
      <c r="J555" s="27"/>
      <c r="K555" s="27"/>
      <c r="L555" s="27"/>
      <c r="M555" s="27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</row>
    <row r="556" spans="2:48" ht="15.75" customHeight="1" x14ac:dyDescent="0.2">
      <c r="B556" s="2"/>
      <c r="C556" s="2"/>
      <c r="D556" s="27"/>
      <c r="E556" s="27"/>
      <c r="F556" s="27"/>
      <c r="G556" s="27"/>
      <c r="H556" s="243"/>
      <c r="I556" s="243"/>
      <c r="J556" s="27"/>
      <c r="K556" s="27"/>
      <c r="L556" s="27"/>
      <c r="M556" s="27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</row>
    <row r="557" spans="2:48" ht="15.75" customHeight="1" x14ac:dyDescent="0.2">
      <c r="B557" s="2"/>
      <c r="C557" s="2"/>
      <c r="D557" s="27"/>
      <c r="E557" s="27"/>
      <c r="F557" s="27"/>
      <c r="G557" s="27"/>
      <c r="H557" s="243"/>
      <c r="I557" s="243"/>
      <c r="J557" s="27"/>
      <c r="K557" s="27"/>
      <c r="L557" s="27"/>
      <c r="M557" s="27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</row>
    <row r="558" spans="2:48" ht="15.75" customHeight="1" x14ac:dyDescent="0.2">
      <c r="B558" s="2"/>
      <c r="C558" s="2"/>
      <c r="D558" s="27"/>
      <c r="E558" s="27"/>
      <c r="F558" s="27"/>
      <c r="G558" s="27"/>
      <c r="H558" s="243"/>
      <c r="I558" s="243"/>
      <c r="J558" s="27"/>
      <c r="K558" s="27"/>
      <c r="L558" s="27"/>
      <c r="M558" s="27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</row>
    <row r="559" spans="2:48" ht="15.75" customHeight="1" x14ac:dyDescent="0.2">
      <c r="B559" s="2"/>
      <c r="C559" s="2"/>
      <c r="D559" s="27"/>
      <c r="E559" s="27"/>
      <c r="F559" s="27"/>
      <c r="G559" s="27"/>
      <c r="H559" s="243"/>
      <c r="I559" s="243"/>
      <c r="J559" s="27"/>
      <c r="K559" s="27"/>
      <c r="L559" s="27"/>
      <c r="M559" s="27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</row>
    <row r="560" spans="2:48" ht="15.75" customHeight="1" x14ac:dyDescent="0.2">
      <c r="B560" s="2"/>
      <c r="C560" s="2"/>
      <c r="D560" s="27"/>
      <c r="E560" s="27"/>
      <c r="F560" s="27"/>
      <c r="G560" s="27"/>
      <c r="H560" s="243"/>
      <c r="I560" s="243"/>
      <c r="J560" s="27"/>
      <c r="K560" s="27"/>
      <c r="L560" s="27"/>
      <c r="M560" s="27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</row>
    <row r="561" spans="2:48" ht="15.75" customHeight="1" x14ac:dyDescent="0.2">
      <c r="B561" s="2"/>
      <c r="C561" s="2"/>
      <c r="D561" s="27"/>
      <c r="E561" s="27"/>
      <c r="F561" s="27"/>
      <c r="G561" s="27"/>
      <c r="H561" s="243"/>
      <c r="I561" s="243"/>
      <c r="J561" s="27"/>
      <c r="K561" s="27"/>
      <c r="L561" s="27"/>
      <c r="M561" s="27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</row>
    <row r="562" spans="2:48" ht="15.75" customHeight="1" x14ac:dyDescent="0.2">
      <c r="B562" s="2"/>
      <c r="C562" s="2"/>
      <c r="D562" s="27"/>
      <c r="E562" s="27"/>
      <c r="F562" s="27"/>
      <c r="G562" s="27"/>
      <c r="H562" s="243"/>
      <c r="I562" s="243"/>
      <c r="J562" s="27"/>
      <c r="K562" s="27"/>
      <c r="L562" s="27"/>
      <c r="M562" s="27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</row>
    <row r="563" spans="2:48" ht="15.75" customHeight="1" x14ac:dyDescent="0.2">
      <c r="B563" s="2"/>
      <c r="C563" s="2"/>
      <c r="D563" s="27"/>
      <c r="E563" s="27"/>
      <c r="F563" s="27"/>
      <c r="G563" s="27"/>
      <c r="H563" s="243"/>
      <c r="I563" s="243"/>
      <c r="J563" s="27"/>
      <c r="K563" s="27"/>
      <c r="L563" s="27"/>
      <c r="M563" s="27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</row>
    <row r="564" spans="2:48" ht="15.75" customHeight="1" x14ac:dyDescent="0.2">
      <c r="B564" s="2"/>
      <c r="C564" s="2"/>
      <c r="D564" s="27"/>
      <c r="E564" s="27"/>
      <c r="F564" s="27"/>
      <c r="G564" s="27"/>
      <c r="H564" s="243"/>
      <c r="I564" s="243"/>
      <c r="J564" s="27"/>
      <c r="K564" s="27"/>
      <c r="L564" s="27"/>
      <c r="M564" s="27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</row>
    <row r="565" spans="2:48" ht="15.75" customHeight="1" x14ac:dyDescent="0.2">
      <c r="B565" s="2"/>
      <c r="C565" s="2"/>
      <c r="D565" s="27"/>
      <c r="E565" s="27"/>
      <c r="F565" s="27"/>
      <c r="G565" s="27"/>
      <c r="H565" s="243"/>
      <c r="I565" s="243"/>
      <c r="J565" s="27"/>
      <c r="K565" s="27"/>
      <c r="L565" s="27"/>
      <c r="M565" s="27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</row>
    <row r="566" spans="2:48" ht="15.75" customHeight="1" x14ac:dyDescent="0.2">
      <c r="B566" s="2"/>
      <c r="C566" s="2"/>
      <c r="D566" s="27"/>
      <c r="E566" s="27"/>
      <c r="F566" s="27"/>
      <c r="G566" s="27"/>
      <c r="H566" s="243"/>
      <c r="I566" s="243"/>
      <c r="J566" s="27"/>
      <c r="K566" s="27"/>
      <c r="L566" s="27"/>
      <c r="M566" s="27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</row>
    <row r="567" spans="2:48" ht="15.75" customHeight="1" x14ac:dyDescent="0.2">
      <c r="B567" s="2"/>
      <c r="C567" s="2"/>
      <c r="D567" s="27"/>
      <c r="E567" s="27"/>
      <c r="F567" s="27"/>
      <c r="G567" s="27"/>
      <c r="H567" s="243"/>
      <c r="I567" s="243"/>
      <c r="J567" s="27"/>
      <c r="K567" s="27"/>
      <c r="L567" s="27"/>
      <c r="M567" s="27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</row>
    <row r="568" spans="2:48" ht="15.75" customHeight="1" x14ac:dyDescent="0.2">
      <c r="B568" s="2"/>
      <c r="C568" s="2"/>
      <c r="D568" s="27"/>
      <c r="E568" s="27"/>
      <c r="F568" s="27"/>
      <c r="G568" s="27"/>
      <c r="H568" s="243"/>
      <c r="I568" s="243"/>
      <c r="J568" s="27"/>
      <c r="K568" s="27"/>
      <c r="L568" s="27"/>
      <c r="M568" s="27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</row>
    <row r="569" spans="2:48" ht="15.75" customHeight="1" x14ac:dyDescent="0.2">
      <c r="B569" s="2"/>
      <c r="C569" s="2"/>
      <c r="D569" s="27"/>
      <c r="E569" s="27"/>
      <c r="F569" s="27"/>
      <c r="G569" s="27"/>
      <c r="H569" s="243"/>
      <c r="I569" s="243"/>
      <c r="J569" s="27"/>
      <c r="K569" s="27"/>
      <c r="L569" s="27"/>
      <c r="M569" s="27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</row>
    <row r="570" spans="2:48" ht="15.75" customHeight="1" x14ac:dyDescent="0.2">
      <c r="B570" s="2"/>
      <c r="C570" s="2"/>
      <c r="D570" s="27"/>
      <c r="E570" s="27"/>
      <c r="F570" s="27"/>
      <c r="G570" s="27"/>
      <c r="H570" s="243"/>
      <c r="I570" s="243"/>
      <c r="J570" s="27"/>
      <c r="K570" s="27"/>
      <c r="L570" s="27"/>
      <c r="M570" s="27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</row>
    <row r="571" spans="2:48" ht="15.75" customHeight="1" x14ac:dyDescent="0.2">
      <c r="B571" s="2"/>
      <c r="C571" s="2"/>
      <c r="D571" s="27"/>
      <c r="E571" s="27"/>
      <c r="F571" s="27"/>
      <c r="G571" s="27"/>
      <c r="H571" s="243"/>
      <c r="I571" s="243"/>
      <c r="J571" s="27"/>
      <c r="K571" s="27"/>
      <c r="L571" s="27"/>
      <c r="M571" s="27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</row>
    <row r="572" spans="2:48" ht="15.75" customHeight="1" x14ac:dyDescent="0.2">
      <c r="B572" s="2"/>
      <c r="C572" s="2"/>
      <c r="D572" s="27"/>
      <c r="E572" s="27"/>
      <c r="F572" s="27"/>
      <c r="G572" s="27"/>
      <c r="H572" s="243"/>
      <c r="I572" s="243"/>
      <c r="J572" s="27"/>
      <c r="K572" s="27"/>
      <c r="L572" s="27"/>
      <c r="M572" s="27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</row>
    <row r="573" spans="2:48" ht="15.75" customHeight="1" x14ac:dyDescent="0.2">
      <c r="B573" s="2"/>
      <c r="C573" s="2"/>
      <c r="D573" s="27"/>
      <c r="E573" s="27"/>
      <c r="F573" s="27"/>
      <c r="G573" s="27"/>
      <c r="H573" s="243"/>
      <c r="I573" s="243"/>
      <c r="J573" s="27"/>
      <c r="K573" s="27"/>
      <c r="L573" s="27"/>
      <c r="M573" s="27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</row>
    <row r="574" spans="2:48" ht="15.75" customHeight="1" x14ac:dyDescent="0.2">
      <c r="B574" s="2"/>
      <c r="C574" s="2"/>
      <c r="D574" s="27"/>
      <c r="E574" s="27"/>
      <c r="F574" s="27"/>
      <c r="G574" s="27"/>
      <c r="H574" s="243"/>
      <c r="I574" s="243"/>
      <c r="J574" s="27"/>
      <c r="K574" s="27"/>
      <c r="L574" s="27"/>
      <c r="M574" s="27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</row>
    <row r="575" spans="2:48" ht="15.75" customHeight="1" x14ac:dyDescent="0.2">
      <c r="B575" s="2"/>
      <c r="C575" s="2"/>
      <c r="D575" s="27"/>
      <c r="E575" s="27"/>
      <c r="F575" s="27"/>
      <c r="G575" s="27"/>
      <c r="H575" s="243"/>
      <c r="I575" s="243"/>
      <c r="J575" s="27"/>
      <c r="K575" s="27"/>
      <c r="L575" s="27"/>
      <c r="M575" s="27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</row>
    <row r="576" spans="2:48" ht="15.75" customHeight="1" x14ac:dyDescent="0.2">
      <c r="B576" s="2"/>
      <c r="C576" s="2"/>
      <c r="D576" s="27"/>
      <c r="E576" s="27"/>
      <c r="F576" s="27"/>
      <c r="G576" s="27"/>
      <c r="H576" s="243"/>
      <c r="I576" s="243"/>
      <c r="J576" s="27"/>
      <c r="K576" s="27"/>
      <c r="L576" s="27"/>
      <c r="M576" s="27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</row>
    <row r="577" spans="2:48" ht="15.75" customHeight="1" x14ac:dyDescent="0.2">
      <c r="B577" s="2"/>
      <c r="C577" s="2"/>
      <c r="D577" s="27"/>
      <c r="E577" s="27"/>
      <c r="F577" s="27"/>
      <c r="G577" s="27"/>
      <c r="H577" s="243"/>
      <c r="I577" s="243"/>
      <c r="J577" s="27"/>
      <c r="K577" s="27"/>
      <c r="L577" s="27"/>
      <c r="M577" s="27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</row>
    <row r="578" spans="2:48" ht="15.75" customHeight="1" x14ac:dyDescent="0.2">
      <c r="B578" s="2"/>
      <c r="C578" s="2"/>
      <c r="D578" s="27"/>
      <c r="E578" s="27"/>
      <c r="F578" s="27"/>
      <c r="G578" s="27"/>
      <c r="H578" s="243"/>
      <c r="I578" s="243"/>
      <c r="J578" s="27"/>
      <c r="K578" s="27"/>
      <c r="L578" s="27"/>
      <c r="M578" s="27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</row>
    <row r="579" spans="2:48" ht="15.75" customHeight="1" x14ac:dyDescent="0.2">
      <c r="B579" s="2"/>
      <c r="C579" s="2"/>
      <c r="D579" s="27"/>
      <c r="E579" s="27"/>
      <c r="F579" s="27"/>
      <c r="G579" s="27"/>
      <c r="H579" s="243"/>
      <c r="I579" s="243"/>
      <c r="J579" s="27"/>
      <c r="K579" s="27"/>
      <c r="L579" s="27"/>
      <c r="M579" s="27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</row>
    <row r="580" spans="2:48" ht="15.75" customHeight="1" x14ac:dyDescent="0.2">
      <c r="B580" s="2"/>
      <c r="C580" s="2"/>
      <c r="D580" s="27"/>
      <c r="E580" s="27"/>
      <c r="F580" s="27"/>
      <c r="G580" s="27"/>
      <c r="H580" s="243"/>
      <c r="I580" s="243"/>
      <c r="J580" s="27"/>
      <c r="K580" s="27"/>
      <c r="L580" s="27"/>
      <c r="M580" s="27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</row>
    <row r="581" spans="2:48" ht="15.75" customHeight="1" x14ac:dyDescent="0.2">
      <c r="B581" s="2"/>
      <c r="C581" s="2"/>
      <c r="D581" s="27"/>
      <c r="E581" s="27"/>
      <c r="F581" s="27"/>
      <c r="G581" s="27"/>
      <c r="H581" s="243"/>
      <c r="I581" s="243"/>
      <c r="J581" s="27"/>
      <c r="K581" s="27"/>
      <c r="L581" s="27"/>
      <c r="M581" s="27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</row>
    <row r="582" spans="2:48" ht="15.75" customHeight="1" x14ac:dyDescent="0.2">
      <c r="B582" s="2"/>
      <c r="C582" s="2"/>
      <c r="D582" s="27"/>
      <c r="E582" s="27"/>
      <c r="F582" s="27"/>
      <c r="G582" s="27"/>
      <c r="H582" s="243"/>
      <c r="I582" s="243"/>
      <c r="J582" s="27"/>
      <c r="K582" s="27"/>
      <c r="L582" s="27"/>
      <c r="M582" s="27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</row>
    <row r="583" spans="2:48" ht="15.75" customHeight="1" x14ac:dyDescent="0.2">
      <c r="B583" s="2"/>
      <c r="C583" s="2"/>
      <c r="D583" s="27"/>
      <c r="E583" s="27"/>
      <c r="F583" s="27"/>
      <c r="G583" s="27"/>
      <c r="H583" s="243"/>
      <c r="I583" s="243"/>
      <c r="J583" s="27"/>
      <c r="K583" s="27"/>
      <c r="L583" s="27"/>
      <c r="M583" s="27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</row>
    <row r="584" spans="2:48" ht="15.75" customHeight="1" x14ac:dyDescent="0.2">
      <c r="B584" s="2"/>
      <c r="C584" s="2"/>
      <c r="D584" s="27"/>
      <c r="E584" s="27"/>
      <c r="F584" s="27"/>
      <c r="G584" s="27"/>
      <c r="H584" s="243"/>
      <c r="I584" s="243"/>
      <c r="J584" s="27"/>
      <c r="K584" s="27"/>
      <c r="L584" s="27"/>
      <c r="M584" s="27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</row>
    <row r="585" spans="2:48" ht="15.75" customHeight="1" x14ac:dyDescent="0.2">
      <c r="B585" s="2"/>
      <c r="C585" s="2"/>
      <c r="D585" s="27"/>
      <c r="E585" s="27"/>
      <c r="F585" s="27"/>
      <c r="G585" s="27"/>
      <c r="H585" s="243"/>
      <c r="I585" s="243"/>
      <c r="J585" s="27"/>
      <c r="K585" s="27"/>
      <c r="L585" s="27"/>
      <c r="M585" s="27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</row>
    <row r="586" spans="2:48" ht="15.75" customHeight="1" x14ac:dyDescent="0.2">
      <c r="B586" s="2"/>
      <c r="C586" s="2"/>
      <c r="D586" s="27"/>
      <c r="E586" s="27"/>
      <c r="F586" s="27"/>
      <c r="G586" s="27"/>
      <c r="H586" s="243"/>
      <c r="I586" s="243"/>
      <c r="J586" s="27"/>
      <c r="K586" s="27"/>
      <c r="L586" s="27"/>
      <c r="M586" s="27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</row>
    <row r="587" spans="2:48" ht="15.75" customHeight="1" x14ac:dyDescent="0.2">
      <c r="B587" s="2"/>
      <c r="C587" s="2"/>
      <c r="D587" s="27"/>
      <c r="E587" s="27"/>
      <c r="F587" s="27"/>
      <c r="G587" s="27"/>
      <c r="H587" s="243"/>
      <c r="I587" s="243"/>
      <c r="J587" s="27"/>
      <c r="K587" s="27"/>
      <c r="L587" s="27"/>
      <c r="M587" s="27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</row>
    <row r="588" spans="2:48" ht="15.75" customHeight="1" x14ac:dyDescent="0.2">
      <c r="B588" s="2"/>
      <c r="C588" s="2"/>
      <c r="D588" s="27"/>
      <c r="E588" s="27"/>
      <c r="F588" s="27"/>
      <c r="G588" s="27"/>
      <c r="H588" s="243"/>
      <c r="I588" s="243"/>
      <c r="J588" s="27"/>
      <c r="K588" s="27"/>
      <c r="L588" s="27"/>
      <c r="M588" s="27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</row>
    <row r="589" spans="2:48" ht="15.75" customHeight="1" x14ac:dyDescent="0.2">
      <c r="B589" s="2"/>
      <c r="C589" s="2"/>
      <c r="D589" s="27"/>
      <c r="E589" s="27"/>
      <c r="F589" s="27"/>
      <c r="G589" s="27"/>
      <c r="H589" s="243"/>
      <c r="I589" s="243"/>
      <c r="J589" s="27"/>
      <c r="K589" s="27"/>
      <c r="L589" s="27"/>
      <c r="M589" s="27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</row>
    <row r="590" spans="2:48" ht="15.75" customHeight="1" x14ac:dyDescent="0.2">
      <c r="B590" s="2"/>
      <c r="C590" s="2"/>
      <c r="D590" s="27"/>
      <c r="E590" s="27"/>
      <c r="F590" s="27"/>
      <c r="G590" s="27"/>
      <c r="H590" s="243"/>
      <c r="I590" s="243"/>
      <c r="J590" s="27"/>
      <c r="K590" s="27"/>
      <c r="L590" s="27"/>
      <c r="M590" s="27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</row>
    <row r="591" spans="2:48" ht="15.75" customHeight="1" x14ac:dyDescent="0.2">
      <c r="B591" s="2"/>
      <c r="C591" s="2"/>
      <c r="D591" s="27"/>
      <c r="E591" s="27"/>
      <c r="F591" s="27"/>
      <c r="G591" s="27"/>
      <c r="H591" s="243"/>
      <c r="I591" s="243"/>
      <c r="J591" s="27"/>
      <c r="K591" s="27"/>
      <c r="L591" s="27"/>
      <c r="M591" s="27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</row>
    <row r="592" spans="2:48" ht="15.75" customHeight="1" x14ac:dyDescent="0.2">
      <c r="B592" s="2"/>
      <c r="C592" s="2"/>
      <c r="D592" s="27"/>
      <c r="E592" s="27"/>
      <c r="F592" s="27"/>
      <c r="G592" s="27"/>
      <c r="H592" s="243"/>
      <c r="I592" s="243"/>
      <c r="J592" s="27"/>
      <c r="K592" s="27"/>
      <c r="L592" s="27"/>
      <c r="M592" s="27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</row>
    <row r="593" spans="2:48" ht="15.75" customHeight="1" x14ac:dyDescent="0.2">
      <c r="B593" s="2"/>
      <c r="C593" s="2"/>
      <c r="D593" s="27"/>
      <c r="E593" s="27"/>
      <c r="F593" s="27"/>
      <c r="G593" s="27"/>
      <c r="H593" s="243"/>
      <c r="I593" s="243"/>
      <c r="J593" s="27"/>
      <c r="K593" s="27"/>
      <c r="L593" s="27"/>
      <c r="M593" s="27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</row>
    <row r="594" spans="2:48" ht="15.75" customHeight="1" x14ac:dyDescent="0.2">
      <c r="B594" s="2"/>
      <c r="C594" s="2"/>
      <c r="D594" s="27"/>
      <c r="E594" s="27"/>
      <c r="F594" s="27"/>
      <c r="G594" s="27"/>
      <c r="H594" s="243"/>
      <c r="I594" s="243"/>
      <c r="J594" s="27"/>
      <c r="K594" s="27"/>
      <c r="L594" s="27"/>
      <c r="M594" s="27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</row>
    <row r="595" spans="2:48" ht="15.75" customHeight="1" x14ac:dyDescent="0.2">
      <c r="B595" s="2"/>
      <c r="C595" s="2"/>
      <c r="D595" s="27"/>
      <c r="E595" s="27"/>
      <c r="F595" s="27"/>
      <c r="G595" s="27"/>
      <c r="H595" s="243"/>
      <c r="I595" s="243"/>
      <c r="J595" s="27"/>
      <c r="K595" s="27"/>
      <c r="L595" s="27"/>
      <c r="M595" s="27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</row>
    <row r="596" spans="2:48" ht="15.75" customHeight="1" x14ac:dyDescent="0.2">
      <c r="B596" s="2"/>
      <c r="C596" s="2"/>
      <c r="D596" s="27"/>
      <c r="E596" s="27"/>
      <c r="F596" s="27"/>
      <c r="G596" s="27"/>
      <c r="H596" s="243"/>
      <c r="I596" s="243"/>
      <c r="J596" s="27"/>
      <c r="K596" s="27"/>
      <c r="L596" s="27"/>
      <c r="M596" s="27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</row>
    <row r="597" spans="2:48" ht="15.75" customHeight="1" x14ac:dyDescent="0.2">
      <c r="B597" s="2"/>
      <c r="C597" s="2"/>
      <c r="D597" s="27"/>
      <c r="E597" s="27"/>
      <c r="F597" s="27"/>
      <c r="G597" s="27"/>
      <c r="H597" s="243"/>
      <c r="I597" s="243"/>
      <c r="J597" s="27"/>
      <c r="K597" s="27"/>
      <c r="L597" s="27"/>
      <c r="M597" s="27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</row>
    <row r="598" spans="2:48" ht="15.75" customHeight="1" x14ac:dyDescent="0.2">
      <c r="B598" s="2"/>
      <c r="C598" s="2"/>
      <c r="D598" s="27"/>
      <c r="E598" s="27"/>
      <c r="F598" s="27"/>
      <c r="G598" s="27"/>
      <c r="H598" s="243"/>
      <c r="I598" s="243"/>
      <c r="J598" s="27"/>
      <c r="K598" s="27"/>
      <c r="L598" s="27"/>
      <c r="M598" s="27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</row>
    <row r="599" spans="2:48" ht="15.75" customHeight="1" x14ac:dyDescent="0.2">
      <c r="B599" s="2"/>
      <c r="C599" s="2"/>
      <c r="D599" s="27"/>
      <c r="E599" s="27"/>
      <c r="F599" s="27"/>
      <c r="G599" s="27"/>
      <c r="H599" s="243"/>
      <c r="I599" s="243"/>
      <c r="J599" s="27"/>
      <c r="K599" s="27"/>
      <c r="L599" s="27"/>
      <c r="M599" s="27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</row>
    <row r="600" spans="2:48" ht="15.75" customHeight="1" x14ac:dyDescent="0.2">
      <c r="B600" s="2"/>
      <c r="C600" s="2"/>
      <c r="D600" s="27"/>
      <c r="E600" s="27"/>
      <c r="F600" s="27"/>
      <c r="G600" s="27"/>
      <c r="H600" s="243"/>
      <c r="I600" s="243"/>
      <c r="J600" s="27"/>
      <c r="K600" s="27"/>
      <c r="L600" s="27"/>
      <c r="M600" s="27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</row>
    <row r="601" spans="2:48" ht="15.75" customHeight="1" x14ac:dyDescent="0.2">
      <c r="B601" s="2"/>
      <c r="C601" s="2"/>
      <c r="D601" s="27"/>
      <c r="E601" s="27"/>
      <c r="F601" s="27"/>
      <c r="G601" s="27"/>
      <c r="H601" s="243"/>
      <c r="I601" s="243"/>
      <c r="J601" s="27"/>
      <c r="K601" s="27"/>
      <c r="L601" s="27"/>
      <c r="M601" s="27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</row>
    <row r="602" spans="2:48" ht="15.75" customHeight="1" x14ac:dyDescent="0.2">
      <c r="B602" s="2"/>
      <c r="C602" s="2"/>
      <c r="D602" s="27"/>
      <c r="E602" s="27"/>
      <c r="F602" s="27"/>
      <c r="G602" s="27"/>
      <c r="H602" s="243"/>
      <c r="I602" s="243"/>
      <c r="J602" s="27"/>
      <c r="K602" s="27"/>
      <c r="L602" s="27"/>
      <c r="M602" s="27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</row>
    <row r="603" spans="2:48" ht="15.75" customHeight="1" x14ac:dyDescent="0.2">
      <c r="B603" s="2"/>
      <c r="C603" s="2"/>
      <c r="D603" s="27"/>
      <c r="E603" s="27"/>
      <c r="F603" s="27"/>
      <c r="G603" s="27"/>
      <c r="H603" s="243"/>
      <c r="I603" s="243"/>
      <c r="J603" s="27"/>
      <c r="K603" s="27"/>
      <c r="L603" s="27"/>
      <c r="M603" s="27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</row>
    <row r="604" spans="2:48" ht="15.75" customHeight="1" x14ac:dyDescent="0.2">
      <c r="B604" s="2"/>
      <c r="C604" s="2"/>
      <c r="D604" s="27"/>
      <c r="E604" s="27"/>
      <c r="F604" s="27"/>
      <c r="G604" s="27"/>
      <c r="H604" s="243"/>
      <c r="I604" s="243"/>
      <c r="J604" s="27"/>
      <c r="K604" s="27"/>
      <c r="L604" s="27"/>
      <c r="M604" s="27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</row>
    <row r="605" spans="2:48" ht="15.75" customHeight="1" x14ac:dyDescent="0.2">
      <c r="B605" s="2"/>
      <c r="C605" s="2"/>
      <c r="D605" s="27"/>
      <c r="E605" s="27"/>
      <c r="F605" s="27"/>
      <c r="G605" s="27"/>
      <c r="H605" s="243"/>
      <c r="I605" s="243"/>
      <c r="J605" s="27"/>
      <c r="K605" s="27"/>
      <c r="L605" s="27"/>
      <c r="M605" s="27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</row>
    <row r="606" spans="2:48" ht="15.75" customHeight="1" x14ac:dyDescent="0.2">
      <c r="B606" s="2"/>
      <c r="C606" s="2"/>
      <c r="D606" s="27"/>
      <c r="E606" s="27"/>
      <c r="F606" s="27"/>
      <c r="G606" s="27"/>
      <c r="H606" s="243"/>
      <c r="I606" s="243"/>
      <c r="J606" s="27"/>
      <c r="K606" s="27"/>
      <c r="L606" s="27"/>
      <c r="M606" s="27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</row>
    <row r="607" spans="2:48" ht="15.75" customHeight="1" x14ac:dyDescent="0.2">
      <c r="B607" s="2"/>
      <c r="C607" s="2"/>
      <c r="D607" s="27"/>
      <c r="E607" s="27"/>
      <c r="F607" s="27"/>
      <c r="G607" s="27"/>
      <c r="H607" s="243"/>
      <c r="I607" s="243"/>
      <c r="J607" s="27"/>
      <c r="K607" s="27"/>
      <c r="L607" s="27"/>
      <c r="M607" s="27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</row>
    <row r="608" spans="2:48" ht="15.75" customHeight="1" x14ac:dyDescent="0.2">
      <c r="B608" s="2"/>
      <c r="C608" s="2"/>
      <c r="D608" s="27"/>
      <c r="E608" s="27"/>
      <c r="F608" s="27"/>
      <c r="G608" s="27"/>
      <c r="H608" s="243"/>
      <c r="I608" s="243"/>
      <c r="J608" s="27"/>
      <c r="K608" s="27"/>
      <c r="L608" s="27"/>
      <c r="M608" s="27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</row>
    <row r="609" spans="2:48" ht="15.75" customHeight="1" x14ac:dyDescent="0.2">
      <c r="B609" s="2"/>
      <c r="C609" s="2"/>
      <c r="D609" s="27"/>
      <c r="E609" s="27"/>
      <c r="F609" s="27"/>
      <c r="G609" s="27"/>
      <c r="H609" s="243"/>
      <c r="I609" s="243"/>
      <c r="J609" s="27"/>
      <c r="K609" s="27"/>
      <c r="L609" s="27"/>
      <c r="M609" s="27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</row>
    <row r="610" spans="2:48" ht="15.75" customHeight="1" x14ac:dyDescent="0.2">
      <c r="B610" s="2"/>
      <c r="C610" s="2"/>
      <c r="D610" s="27"/>
      <c r="E610" s="27"/>
      <c r="F610" s="27"/>
      <c r="G610" s="27"/>
      <c r="H610" s="243"/>
      <c r="I610" s="243"/>
      <c r="J610" s="27"/>
      <c r="K610" s="27"/>
      <c r="L610" s="27"/>
      <c r="M610" s="27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</row>
    <row r="611" spans="2:48" ht="15.75" customHeight="1" x14ac:dyDescent="0.2">
      <c r="B611" s="2"/>
      <c r="C611" s="2"/>
      <c r="D611" s="27"/>
      <c r="E611" s="27"/>
      <c r="F611" s="27"/>
      <c r="G611" s="27"/>
      <c r="H611" s="243"/>
      <c r="I611" s="243"/>
      <c r="J611" s="27"/>
      <c r="K611" s="27"/>
      <c r="L611" s="27"/>
      <c r="M611" s="27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</row>
    <row r="612" spans="2:48" ht="15.75" customHeight="1" x14ac:dyDescent="0.2">
      <c r="B612" s="2"/>
      <c r="C612" s="2"/>
      <c r="D612" s="27"/>
      <c r="E612" s="27"/>
      <c r="F612" s="27"/>
      <c r="G612" s="27"/>
      <c r="H612" s="243"/>
      <c r="I612" s="243"/>
      <c r="J612" s="27"/>
      <c r="K612" s="27"/>
      <c r="L612" s="27"/>
      <c r="M612" s="27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</row>
    <row r="613" spans="2:48" ht="15.75" customHeight="1" x14ac:dyDescent="0.2">
      <c r="B613" s="2"/>
      <c r="C613" s="2"/>
      <c r="D613" s="27"/>
      <c r="E613" s="27"/>
      <c r="F613" s="27"/>
      <c r="G613" s="27"/>
      <c r="H613" s="243"/>
      <c r="I613" s="243"/>
      <c r="J613" s="27"/>
      <c r="K613" s="27"/>
      <c r="L613" s="27"/>
      <c r="M613" s="27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</row>
    <row r="614" spans="2:48" ht="15.75" customHeight="1" x14ac:dyDescent="0.2">
      <c r="B614" s="2"/>
      <c r="C614" s="2"/>
      <c r="D614" s="27"/>
      <c r="E614" s="27"/>
      <c r="F614" s="27"/>
      <c r="G614" s="27"/>
      <c r="H614" s="243"/>
      <c r="I614" s="243"/>
      <c r="J614" s="27"/>
      <c r="K614" s="27"/>
      <c r="L614" s="27"/>
      <c r="M614" s="27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</row>
    <row r="615" spans="2:48" ht="15.75" customHeight="1" x14ac:dyDescent="0.2">
      <c r="B615" s="2"/>
      <c r="C615" s="2"/>
      <c r="D615" s="27"/>
      <c r="E615" s="27"/>
      <c r="F615" s="27"/>
      <c r="G615" s="27"/>
      <c r="H615" s="243"/>
      <c r="I615" s="243"/>
      <c r="J615" s="27"/>
      <c r="K615" s="27"/>
      <c r="L615" s="27"/>
      <c r="M615" s="27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</row>
    <row r="616" spans="2:48" ht="15.75" customHeight="1" x14ac:dyDescent="0.2">
      <c r="B616" s="2"/>
      <c r="C616" s="2"/>
      <c r="D616" s="27"/>
      <c r="E616" s="27"/>
      <c r="F616" s="27"/>
      <c r="G616" s="27"/>
      <c r="H616" s="243"/>
      <c r="I616" s="243"/>
      <c r="J616" s="27"/>
      <c r="K616" s="27"/>
      <c r="L616" s="27"/>
      <c r="M616" s="27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</row>
    <row r="617" spans="2:48" ht="15.75" customHeight="1" x14ac:dyDescent="0.2">
      <c r="B617" s="2"/>
      <c r="C617" s="2"/>
      <c r="D617" s="27"/>
      <c r="E617" s="27"/>
      <c r="F617" s="27"/>
      <c r="G617" s="27"/>
      <c r="H617" s="243"/>
      <c r="I617" s="243"/>
      <c r="J617" s="27"/>
      <c r="K617" s="27"/>
      <c r="L617" s="27"/>
      <c r="M617" s="27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</row>
    <row r="618" spans="2:48" ht="15.75" customHeight="1" x14ac:dyDescent="0.2">
      <c r="B618" s="2"/>
      <c r="C618" s="2"/>
      <c r="D618" s="27"/>
      <c r="E618" s="27"/>
      <c r="F618" s="27"/>
      <c r="G618" s="27"/>
      <c r="H618" s="243"/>
      <c r="I618" s="243"/>
      <c r="J618" s="27"/>
      <c r="K618" s="27"/>
      <c r="L618" s="27"/>
      <c r="M618" s="27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</row>
    <row r="619" spans="2:48" ht="15.75" customHeight="1" x14ac:dyDescent="0.2">
      <c r="B619" s="2"/>
      <c r="C619" s="2"/>
      <c r="D619" s="27"/>
      <c r="E619" s="27"/>
      <c r="F619" s="27"/>
      <c r="G619" s="27"/>
      <c r="H619" s="243"/>
      <c r="I619" s="243"/>
      <c r="J619" s="27"/>
      <c r="K619" s="27"/>
      <c r="L619" s="27"/>
      <c r="M619" s="27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</row>
    <row r="620" spans="2:48" ht="15.75" customHeight="1" x14ac:dyDescent="0.2">
      <c r="B620" s="2"/>
      <c r="C620" s="2"/>
      <c r="D620" s="27"/>
      <c r="E620" s="27"/>
      <c r="F620" s="27"/>
      <c r="G620" s="27"/>
      <c r="H620" s="243"/>
      <c r="I620" s="243"/>
      <c r="J620" s="27"/>
      <c r="K620" s="27"/>
      <c r="L620" s="27"/>
      <c r="M620" s="27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</row>
    <row r="621" spans="2:48" ht="15.75" customHeight="1" x14ac:dyDescent="0.2">
      <c r="B621" s="2"/>
      <c r="C621" s="2"/>
      <c r="D621" s="27"/>
      <c r="E621" s="27"/>
      <c r="F621" s="27"/>
      <c r="G621" s="27"/>
      <c r="H621" s="243"/>
      <c r="I621" s="243"/>
      <c r="J621" s="27"/>
      <c r="K621" s="27"/>
      <c r="L621" s="27"/>
      <c r="M621" s="27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</row>
    <row r="622" spans="2:48" ht="15.75" customHeight="1" x14ac:dyDescent="0.2">
      <c r="B622" s="2"/>
      <c r="C622" s="2"/>
      <c r="D622" s="27"/>
      <c r="E622" s="27"/>
      <c r="F622" s="27"/>
      <c r="G622" s="27"/>
      <c r="H622" s="243"/>
      <c r="I622" s="243"/>
      <c r="J622" s="27"/>
      <c r="K622" s="27"/>
      <c r="L622" s="27"/>
      <c r="M622" s="27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</row>
    <row r="623" spans="2:48" ht="15.75" customHeight="1" x14ac:dyDescent="0.2">
      <c r="B623" s="2"/>
      <c r="C623" s="2"/>
      <c r="D623" s="27"/>
      <c r="E623" s="27"/>
      <c r="F623" s="27"/>
      <c r="G623" s="27"/>
      <c r="H623" s="243"/>
      <c r="I623" s="243"/>
      <c r="J623" s="27"/>
      <c r="K623" s="27"/>
      <c r="L623" s="27"/>
      <c r="M623" s="27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</row>
    <row r="624" spans="2:48" ht="15.75" customHeight="1" x14ac:dyDescent="0.2">
      <c r="B624" s="2"/>
      <c r="C624" s="2"/>
      <c r="D624" s="27"/>
      <c r="E624" s="27"/>
      <c r="F624" s="27"/>
      <c r="G624" s="27"/>
      <c r="H624" s="243"/>
      <c r="I624" s="243"/>
      <c r="J624" s="27"/>
      <c r="K624" s="27"/>
      <c r="L624" s="27"/>
      <c r="M624" s="27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</row>
    <row r="625" spans="2:48" ht="15.75" customHeight="1" x14ac:dyDescent="0.2">
      <c r="B625" s="2"/>
      <c r="C625" s="2"/>
      <c r="D625" s="27"/>
      <c r="E625" s="27"/>
      <c r="F625" s="27"/>
      <c r="G625" s="27"/>
      <c r="H625" s="243"/>
      <c r="I625" s="243"/>
      <c r="J625" s="27"/>
      <c r="K625" s="27"/>
      <c r="L625" s="27"/>
      <c r="M625" s="27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</row>
    <row r="626" spans="2:48" ht="15.75" customHeight="1" x14ac:dyDescent="0.2">
      <c r="B626" s="2"/>
      <c r="C626" s="2"/>
      <c r="D626" s="27"/>
      <c r="E626" s="27"/>
      <c r="F626" s="27"/>
      <c r="G626" s="27"/>
      <c r="H626" s="243"/>
      <c r="I626" s="243"/>
      <c r="J626" s="27"/>
      <c r="K626" s="27"/>
      <c r="L626" s="27"/>
      <c r="M626" s="27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</row>
    <row r="627" spans="2:48" ht="15.75" customHeight="1" x14ac:dyDescent="0.2">
      <c r="B627" s="2"/>
      <c r="C627" s="2"/>
      <c r="D627" s="27"/>
      <c r="E627" s="27"/>
      <c r="F627" s="27"/>
      <c r="G627" s="27"/>
      <c r="H627" s="243"/>
      <c r="I627" s="243"/>
      <c r="J627" s="27"/>
      <c r="K627" s="27"/>
      <c r="L627" s="27"/>
      <c r="M627" s="27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</row>
    <row r="628" spans="2:48" ht="15.75" customHeight="1" x14ac:dyDescent="0.2">
      <c r="B628" s="2"/>
      <c r="C628" s="2"/>
      <c r="D628" s="27"/>
      <c r="E628" s="27"/>
      <c r="F628" s="27"/>
      <c r="G628" s="27"/>
      <c r="H628" s="243"/>
      <c r="I628" s="243"/>
      <c r="J628" s="27"/>
      <c r="K628" s="27"/>
      <c r="L628" s="27"/>
      <c r="M628" s="27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</row>
    <row r="629" spans="2:48" ht="15.75" customHeight="1" x14ac:dyDescent="0.2">
      <c r="B629" s="2"/>
      <c r="C629" s="2"/>
      <c r="D629" s="27"/>
      <c r="E629" s="27"/>
      <c r="F629" s="27"/>
      <c r="G629" s="27"/>
      <c r="H629" s="243"/>
      <c r="I629" s="243"/>
      <c r="J629" s="27"/>
      <c r="K629" s="27"/>
      <c r="L629" s="27"/>
      <c r="M629" s="27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</row>
    <row r="630" spans="2:48" ht="15.75" customHeight="1" x14ac:dyDescent="0.2">
      <c r="B630" s="2"/>
      <c r="C630" s="2"/>
      <c r="D630" s="27"/>
      <c r="E630" s="27"/>
      <c r="F630" s="27"/>
      <c r="G630" s="27"/>
      <c r="H630" s="243"/>
      <c r="I630" s="243"/>
      <c r="J630" s="27"/>
      <c r="K630" s="27"/>
      <c r="L630" s="27"/>
      <c r="M630" s="27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</row>
    <row r="631" spans="2:48" ht="15.75" customHeight="1" x14ac:dyDescent="0.2">
      <c r="B631" s="2"/>
      <c r="C631" s="2"/>
      <c r="D631" s="27"/>
      <c r="E631" s="27"/>
      <c r="F631" s="27"/>
      <c r="G631" s="27"/>
      <c r="H631" s="243"/>
      <c r="I631" s="243"/>
      <c r="J631" s="27"/>
      <c r="K631" s="27"/>
      <c r="L631" s="27"/>
      <c r="M631" s="27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</row>
    <row r="632" spans="2:48" ht="15.75" customHeight="1" x14ac:dyDescent="0.2">
      <c r="B632" s="2"/>
      <c r="C632" s="2"/>
      <c r="D632" s="27"/>
      <c r="E632" s="27"/>
      <c r="F632" s="27"/>
      <c r="G632" s="27"/>
      <c r="H632" s="243"/>
      <c r="I632" s="243"/>
      <c r="J632" s="27"/>
      <c r="K632" s="27"/>
      <c r="L632" s="27"/>
      <c r="M632" s="27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</row>
    <row r="633" spans="2:48" ht="15.75" customHeight="1" x14ac:dyDescent="0.2">
      <c r="B633" s="2"/>
      <c r="C633" s="2"/>
      <c r="D633" s="27"/>
      <c r="E633" s="27"/>
      <c r="F633" s="27"/>
      <c r="G633" s="27"/>
      <c r="H633" s="243"/>
      <c r="I633" s="243"/>
      <c r="J633" s="27"/>
      <c r="K633" s="27"/>
      <c r="L633" s="27"/>
      <c r="M633" s="27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</row>
    <row r="634" spans="2:48" ht="15.75" customHeight="1" x14ac:dyDescent="0.2">
      <c r="B634" s="2"/>
      <c r="C634" s="2"/>
      <c r="D634" s="27"/>
      <c r="E634" s="27"/>
      <c r="F634" s="27"/>
      <c r="G634" s="27"/>
      <c r="H634" s="243"/>
      <c r="I634" s="243"/>
      <c r="J634" s="27"/>
      <c r="K634" s="27"/>
      <c r="L634" s="27"/>
      <c r="M634" s="27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</row>
    <row r="635" spans="2:48" ht="15.75" customHeight="1" x14ac:dyDescent="0.2">
      <c r="B635" s="2"/>
      <c r="C635" s="2"/>
      <c r="D635" s="27"/>
      <c r="E635" s="27"/>
      <c r="F635" s="27"/>
      <c r="G635" s="27"/>
      <c r="H635" s="243"/>
      <c r="I635" s="243"/>
      <c r="J635" s="27"/>
      <c r="K635" s="27"/>
      <c r="L635" s="27"/>
      <c r="M635" s="27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</row>
    <row r="636" spans="2:48" ht="15.75" customHeight="1" x14ac:dyDescent="0.2">
      <c r="B636" s="2"/>
      <c r="C636" s="2"/>
      <c r="D636" s="27"/>
      <c r="E636" s="27"/>
      <c r="F636" s="27"/>
      <c r="G636" s="27"/>
      <c r="H636" s="243"/>
      <c r="I636" s="243"/>
      <c r="J636" s="27"/>
      <c r="K636" s="27"/>
      <c r="L636" s="27"/>
      <c r="M636" s="27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</row>
    <row r="637" spans="2:48" ht="15.75" customHeight="1" x14ac:dyDescent="0.2">
      <c r="B637" s="2"/>
      <c r="C637" s="2"/>
      <c r="D637" s="27"/>
      <c r="E637" s="27"/>
      <c r="F637" s="27"/>
      <c r="G637" s="27"/>
      <c r="H637" s="243"/>
      <c r="I637" s="243"/>
      <c r="J637" s="27"/>
      <c r="K637" s="27"/>
      <c r="L637" s="27"/>
      <c r="M637" s="27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</row>
    <row r="638" spans="2:48" ht="15.75" customHeight="1" x14ac:dyDescent="0.2">
      <c r="B638" s="2"/>
      <c r="C638" s="2"/>
      <c r="D638" s="27"/>
      <c r="E638" s="27"/>
      <c r="F638" s="27"/>
      <c r="G638" s="27"/>
      <c r="H638" s="243"/>
      <c r="I638" s="243"/>
      <c r="J638" s="27"/>
      <c r="K638" s="27"/>
      <c r="L638" s="27"/>
      <c r="M638" s="27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</row>
    <row r="639" spans="2:48" ht="15.75" customHeight="1" x14ac:dyDescent="0.2">
      <c r="B639" s="2"/>
      <c r="C639" s="2"/>
      <c r="D639" s="27"/>
      <c r="E639" s="27"/>
      <c r="F639" s="27"/>
      <c r="G639" s="27"/>
      <c r="H639" s="243"/>
      <c r="I639" s="243"/>
      <c r="J639" s="27"/>
      <c r="K639" s="27"/>
      <c r="L639" s="27"/>
      <c r="M639" s="27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</row>
    <row r="640" spans="2:48" ht="15.75" customHeight="1" x14ac:dyDescent="0.2">
      <c r="B640" s="2"/>
      <c r="C640" s="2"/>
      <c r="D640" s="27"/>
      <c r="E640" s="27"/>
      <c r="F640" s="27"/>
      <c r="G640" s="27"/>
      <c r="H640" s="243"/>
      <c r="I640" s="243"/>
      <c r="J640" s="27"/>
      <c r="K640" s="27"/>
      <c r="L640" s="27"/>
      <c r="M640" s="27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</row>
    <row r="641" spans="2:48" ht="15.75" customHeight="1" x14ac:dyDescent="0.2">
      <c r="B641" s="2"/>
      <c r="C641" s="2"/>
      <c r="D641" s="27"/>
      <c r="E641" s="27"/>
      <c r="F641" s="27"/>
      <c r="G641" s="27"/>
      <c r="H641" s="243"/>
      <c r="I641" s="243"/>
      <c r="J641" s="27"/>
      <c r="K641" s="27"/>
      <c r="L641" s="27"/>
      <c r="M641" s="27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</row>
    <row r="642" spans="2:48" ht="15.75" customHeight="1" x14ac:dyDescent="0.2">
      <c r="B642" s="2"/>
      <c r="C642" s="2"/>
      <c r="D642" s="27"/>
      <c r="E642" s="27"/>
      <c r="F642" s="27"/>
      <c r="G642" s="27"/>
      <c r="H642" s="243"/>
      <c r="I642" s="243"/>
      <c r="J642" s="27"/>
      <c r="K642" s="27"/>
      <c r="L642" s="27"/>
      <c r="M642" s="27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</row>
    <row r="643" spans="2:48" ht="15.75" customHeight="1" x14ac:dyDescent="0.2">
      <c r="B643" s="2"/>
      <c r="C643" s="2"/>
      <c r="D643" s="27"/>
      <c r="E643" s="27"/>
      <c r="F643" s="27"/>
      <c r="G643" s="27"/>
      <c r="H643" s="243"/>
      <c r="I643" s="243"/>
      <c r="J643" s="27"/>
      <c r="K643" s="27"/>
      <c r="L643" s="27"/>
      <c r="M643" s="27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</row>
    <row r="644" spans="2:48" ht="15.75" customHeight="1" x14ac:dyDescent="0.2">
      <c r="B644" s="2"/>
      <c r="C644" s="2"/>
      <c r="D644" s="27"/>
      <c r="E644" s="27"/>
      <c r="F644" s="27"/>
      <c r="G644" s="27"/>
      <c r="H644" s="243"/>
      <c r="I644" s="243"/>
      <c r="J644" s="27"/>
      <c r="K644" s="27"/>
      <c r="L644" s="27"/>
      <c r="M644" s="27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</row>
    <row r="645" spans="2:48" ht="15.75" customHeight="1" x14ac:dyDescent="0.2">
      <c r="B645" s="2"/>
      <c r="C645" s="2"/>
      <c r="D645" s="27"/>
      <c r="E645" s="27"/>
      <c r="F645" s="27"/>
      <c r="G645" s="27"/>
      <c r="H645" s="243"/>
      <c r="I645" s="243"/>
      <c r="J645" s="27"/>
      <c r="K645" s="27"/>
      <c r="L645" s="27"/>
      <c r="M645" s="27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</row>
    <row r="646" spans="2:48" ht="15.75" customHeight="1" x14ac:dyDescent="0.2">
      <c r="B646" s="2"/>
      <c r="C646" s="2"/>
      <c r="D646" s="27"/>
      <c r="E646" s="27"/>
      <c r="F646" s="27"/>
      <c r="G646" s="27"/>
      <c r="H646" s="243"/>
      <c r="I646" s="243"/>
      <c r="J646" s="27"/>
      <c r="K646" s="27"/>
      <c r="L646" s="27"/>
      <c r="M646" s="27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</row>
    <row r="647" spans="2:48" ht="15.75" customHeight="1" x14ac:dyDescent="0.2">
      <c r="B647" s="2"/>
      <c r="C647" s="2"/>
      <c r="D647" s="27"/>
      <c r="E647" s="27"/>
      <c r="F647" s="27"/>
      <c r="G647" s="27"/>
      <c r="H647" s="243"/>
      <c r="I647" s="243"/>
      <c r="J647" s="27"/>
      <c r="K647" s="27"/>
      <c r="L647" s="27"/>
      <c r="M647" s="27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</row>
    <row r="648" spans="2:48" ht="15.75" customHeight="1" x14ac:dyDescent="0.2">
      <c r="B648" s="2"/>
      <c r="C648" s="2"/>
      <c r="D648" s="27"/>
      <c r="E648" s="27"/>
      <c r="F648" s="27"/>
      <c r="G648" s="27"/>
      <c r="H648" s="243"/>
      <c r="I648" s="243"/>
      <c r="J648" s="27"/>
      <c r="K648" s="27"/>
      <c r="L648" s="27"/>
      <c r="M648" s="27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</row>
    <row r="649" spans="2:48" ht="15.75" customHeight="1" x14ac:dyDescent="0.2">
      <c r="B649" s="2"/>
      <c r="C649" s="2"/>
      <c r="D649" s="27"/>
      <c r="E649" s="27"/>
      <c r="F649" s="27"/>
      <c r="G649" s="27"/>
      <c r="H649" s="243"/>
      <c r="I649" s="243"/>
      <c r="J649" s="27"/>
      <c r="K649" s="27"/>
      <c r="L649" s="27"/>
      <c r="M649" s="27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</row>
    <row r="650" spans="2:48" ht="15.75" customHeight="1" x14ac:dyDescent="0.2"/>
    <row r="651" spans="2:48" ht="15.75" customHeight="1" x14ac:dyDescent="0.2"/>
    <row r="652" spans="2:48" ht="15.75" customHeight="1" x14ac:dyDescent="0.2"/>
    <row r="653" spans="2:48" ht="15.75" customHeight="1" x14ac:dyDescent="0.2"/>
    <row r="654" spans="2:48" ht="15.75" customHeight="1" x14ac:dyDescent="0.2"/>
    <row r="655" spans="2:48" ht="15.75" customHeight="1" x14ac:dyDescent="0.2"/>
    <row r="656" spans="2:48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</sheetData>
  <mergeCells count="2">
    <mergeCell ref="A5:M5"/>
    <mergeCell ref="A6:M6"/>
  </mergeCells>
  <phoneticPr fontId="14" type="noConversion"/>
  <pageMargins left="0.31496062992125984" right="0.15748031496062992" top="0.15748031496062992" bottom="0.15748031496062992" header="0.15748031496062992" footer="0.15748031496062992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811"/>
  <sheetViews>
    <sheetView zoomScale="80" zoomScaleNormal="80" zoomScaleSheetLayoutView="90" workbookViewId="0">
      <selection activeCell="A7" sqref="A7"/>
    </sheetView>
  </sheetViews>
  <sheetFormatPr defaultRowHeight="12.75" x14ac:dyDescent="0.2"/>
  <cols>
    <col min="1" max="1" width="6.28515625" style="2" customWidth="1"/>
    <col min="2" max="2" width="90.140625" customWidth="1"/>
    <col min="3" max="3" width="10.85546875" style="9" customWidth="1"/>
    <col min="4" max="4" width="19.7109375" style="35" customWidth="1"/>
    <col min="5" max="5" width="10.5703125" style="35" customWidth="1"/>
    <col min="6" max="6" width="17.42578125" style="35" customWidth="1"/>
    <col min="7" max="7" width="11.140625" style="35" hidden="1" customWidth="1"/>
    <col min="8" max="8" width="16.7109375" style="159" hidden="1" customWidth="1"/>
    <col min="9" max="9" width="11.140625" style="35" hidden="1" customWidth="1"/>
    <col min="10" max="10" width="15.140625" style="35" hidden="1" customWidth="1"/>
    <col min="11" max="11" width="11.140625" style="35" hidden="1" customWidth="1"/>
    <col min="12" max="12" width="15.140625" style="35" hidden="1" customWidth="1"/>
    <col min="13" max="13" width="13.5703125" style="35" hidden="1" customWidth="1"/>
    <col min="14" max="14" width="14.28515625" customWidth="1"/>
    <col min="15" max="15" width="9.85546875" hidden="1" customWidth="1"/>
    <col min="16" max="17" width="9.140625" hidden="1" customWidth="1"/>
    <col min="18" max="18" width="14.28515625" hidden="1" customWidth="1"/>
    <col min="19" max="26" width="9.140625" hidden="1" customWidth="1"/>
  </cols>
  <sheetData>
    <row r="1" spans="1:18" ht="13.5" customHeight="1" x14ac:dyDescent="0.3">
      <c r="A1" s="54"/>
      <c r="B1" s="32"/>
      <c r="C1" s="536"/>
      <c r="E1" s="171"/>
      <c r="F1" s="171" t="s">
        <v>500</v>
      </c>
    </row>
    <row r="2" spans="1:18" ht="15.75" customHeight="1" x14ac:dyDescent="0.3">
      <c r="A2" s="54"/>
      <c r="B2" s="32"/>
      <c r="C2" s="536"/>
      <c r="E2" s="171"/>
      <c r="F2" s="171" t="str">
        <f>'1.Bev-kiad.'!F2</f>
        <v>a 12/2026.(X.2.) önkormányzati rendelethez</v>
      </c>
    </row>
    <row r="3" spans="1:18" ht="13.5" customHeight="1" x14ac:dyDescent="0.3">
      <c r="A3" s="54"/>
      <c r="B3" s="32"/>
      <c r="C3" s="536"/>
      <c r="E3" s="171"/>
      <c r="F3" s="171" t="s">
        <v>1136</v>
      </c>
      <c r="L3" s="171"/>
    </row>
    <row r="4" spans="1:18" ht="16.5" customHeight="1" x14ac:dyDescent="0.35">
      <c r="A4" s="759" t="s">
        <v>23</v>
      </c>
      <c r="B4" s="759"/>
      <c r="C4" s="759"/>
      <c r="D4" s="759"/>
      <c r="E4" s="759"/>
      <c r="F4" s="759"/>
      <c r="G4" s="759"/>
      <c r="H4" s="759"/>
      <c r="I4" s="759"/>
      <c r="J4" s="759"/>
      <c r="K4" s="759"/>
      <c r="L4" s="759"/>
      <c r="M4"/>
    </row>
    <row r="5" spans="1:18" ht="19.5" x14ac:dyDescent="0.35">
      <c r="A5" s="759" t="s">
        <v>1022</v>
      </c>
      <c r="B5" s="759"/>
      <c r="C5" s="759"/>
      <c r="D5" s="759"/>
      <c r="E5" s="759"/>
      <c r="F5" s="759"/>
      <c r="G5" s="759"/>
      <c r="H5" s="759"/>
      <c r="I5" s="759"/>
      <c r="J5" s="759"/>
      <c r="K5" s="759"/>
      <c r="L5" s="759"/>
      <c r="M5"/>
    </row>
    <row r="6" spans="1:18" ht="13.5" thickBot="1" x14ac:dyDescent="0.25">
      <c r="A6" s="54"/>
      <c r="B6" s="1"/>
      <c r="C6" s="537"/>
      <c r="E6" s="171"/>
      <c r="F6" s="171" t="s">
        <v>0</v>
      </c>
    </row>
    <row r="7" spans="1:18" ht="54.75" customHeight="1" thickBot="1" x14ac:dyDescent="0.25">
      <c r="A7" s="207" t="s">
        <v>108</v>
      </c>
      <c r="B7" s="43" t="s">
        <v>197</v>
      </c>
      <c r="C7" s="538" t="str">
        <f>'1.Bev-kiad.'!C8</f>
        <v>2025. évi teljesítés</v>
      </c>
      <c r="D7" s="43" t="str">
        <f>'1.Bev-kiad.'!D8</f>
        <v xml:space="preserve">2026. évi eredeti előirányzat </v>
      </c>
      <c r="E7" s="532" t="s">
        <v>903</v>
      </c>
      <c r="F7" s="43" t="str">
        <f>'1.Bev-kiad.'!F8</f>
        <v>Módosított előirányzat 2026.10.havi</v>
      </c>
      <c r="G7" s="532" t="s">
        <v>903</v>
      </c>
      <c r="H7" s="43">
        <f>'1.Bev-kiad.'!H8</f>
        <v>0</v>
      </c>
      <c r="I7" s="532" t="s">
        <v>903</v>
      </c>
      <c r="J7" s="43">
        <f>'1.Bev-kiad.'!J8</f>
        <v>0</v>
      </c>
      <c r="K7" s="532" t="s">
        <v>903</v>
      </c>
      <c r="L7" s="43">
        <f>'1.Bev-kiad.'!L8</f>
        <v>0</v>
      </c>
      <c r="M7" s="44">
        <f>'1.Bev-kiad.'!M8</f>
        <v>0</v>
      </c>
    </row>
    <row r="8" spans="1:18" ht="17.25" customHeight="1" x14ac:dyDescent="0.2">
      <c r="A8" s="140" t="s">
        <v>314</v>
      </c>
      <c r="B8" s="215" t="s">
        <v>309</v>
      </c>
      <c r="C8" s="539">
        <f>SUM(C9+C76+C93+C105)</f>
        <v>1589734</v>
      </c>
      <c r="D8" s="163">
        <f>SUM(D9+D76+D93+D105)</f>
        <v>2017268</v>
      </c>
      <c r="E8" s="533">
        <f>F8-D8</f>
        <v>-132300</v>
      </c>
      <c r="F8" s="163">
        <f>SUM(F9+F76+F93+F105)</f>
        <v>1884968</v>
      </c>
      <c r="G8" s="533">
        <f>H8-F8</f>
        <v>-1884968</v>
      </c>
      <c r="H8" s="163">
        <f>SUM(H9+H76+H93+H105)</f>
        <v>0</v>
      </c>
      <c r="I8" s="533">
        <f>J8-H8</f>
        <v>0</v>
      </c>
      <c r="J8" s="163">
        <f>SUM(J9+J76+J93+J105)</f>
        <v>0</v>
      </c>
      <c r="K8" s="533">
        <f>L8-J8</f>
        <v>0</v>
      </c>
      <c r="L8" s="163">
        <f>SUM(L9+L76+L93+L105)</f>
        <v>0</v>
      </c>
      <c r="M8" s="163">
        <f>SUM(M9+M76+M93+M105)</f>
        <v>0</v>
      </c>
      <c r="N8" s="73"/>
      <c r="R8" s="73"/>
    </row>
    <row r="9" spans="1:18" ht="18" customHeight="1" x14ac:dyDescent="0.25">
      <c r="A9" s="8" t="s">
        <v>110</v>
      </c>
      <c r="B9" s="18" t="s">
        <v>854</v>
      </c>
      <c r="C9" s="540">
        <f>C10+C62</f>
        <v>769186</v>
      </c>
      <c r="D9" s="150">
        <f>D10+D62</f>
        <v>895072</v>
      </c>
      <c r="E9" s="533">
        <f t="shared" ref="E9:E72" si="0">F9-D9</f>
        <v>9087</v>
      </c>
      <c r="F9" s="150">
        <f>F10+F62</f>
        <v>904159</v>
      </c>
      <c r="G9" s="533">
        <f t="shared" ref="G9:K74" si="1">H9-F9</f>
        <v>-904159</v>
      </c>
      <c r="H9" s="150">
        <f>H10+H62</f>
        <v>0</v>
      </c>
      <c r="I9" s="533">
        <f t="shared" si="1"/>
        <v>0</v>
      </c>
      <c r="J9" s="150">
        <f>J10+J62</f>
        <v>0</v>
      </c>
      <c r="K9" s="533">
        <f t="shared" si="1"/>
        <v>0</v>
      </c>
      <c r="L9" s="150">
        <f>L10+L62</f>
        <v>0</v>
      </c>
      <c r="M9" s="150">
        <f>M10+M62</f>
        <v>0</v>
      </c>
      <c r="N9" s="73"/>
      <c r="R9" s="150">
        <f>R10+R62</f>
        <v>902833000</v>
      </c>
    </row>
    <row r="10" spans="1:18" ht="13.5" customHeight="1" x14ac:dyDescent="0.2">
      <c r="A10" s="8" t="s">
        <v>111</v>
      </c>
      <c r="B10" s="560" t="s">
        <v>514</v>
      </c>
      <c r="C10" s="541">
        <f>C11+C25+C26+C37+C43+C47+C61</f>
        <v>716735</v>
      </c>
      <c r="D10" s="5">
        <f>D11+D25+D26+D37+D43+D47+D61</f>
        <v>825291</v>
      </c>
      <c r="E10" s="533">
        <f t="shared" si="0"/>
        <v>9106</v>
      </c>
      <c r="F10" s="5">
        <f>F11+F25+F26+F37+F43+F47+F61</f>
        <v>834397</v>
      </c>
      <c r="G10" s="533">
        <f t="shared" si="1"/>
        <v>-834397</v>
      </c>
      <c r="H10" s="5">
        <f>H11+H25+H26+H37+H43+H47+H61</f>
        <v>0</v>
      </c>
      <c r="I10" s="533">
        <f t="shared" si="1"/>
        <v>0</v>
      </c>
      <c r="J10" s="5">
        <f>J11+J25+J26+J37+J43+J47+J61</f>
        <v>0</v>
      </c>
      <c r="K10" s="533">
        <f t="shared" si="1"/>
        <v>0</v>
      </c>
      <c r="L10" s="5">
        <f>L11+L25+L26+L37+L43+L47+L61</f>
        <v>0</v>
      </c>
      <c r="M10" s="5">
        <f>M11+M25+M26+M37+M43+M47+M61</f>
        <v>0</v>
      </c>
      <c r="N10" s="73"/>
      <c r="O10" s="73"/>
      <c r="R10" s="5">
        <f>R11+R25+R26+R37+R43+R47+R61</f>
        <v>831499478</v>
      </c>
    </row>
    <row r="11" spans="1:18" ht="13.5" customHeight="1" x14ac:dyDescent="0.2">
      <c r="A11" s="8" t="s">
        <v>199</v>
      </c>
      <c r="B11" s="14" t="s">
        <v>515</v>
      </c>
      <c r="C11" s="541">
        <f>C12+C21+C22+C24+C23</f>
        <v>253473</v>
      </c>
      <c r="D11" s="5">
        <f>D12+D21+D22+D24+D23</f>
        <v>285807</v>
      </c>
      <c r="E11" s="533">
        <f t="shared" si="0"/>
        <v>13589</v>
      </c>
      <c r="F11" s="5">
        <f>F12+F21+F22+F24+F23</f>
        <v>299396</v>
      </c>
      <c r="G11" s="533">
        <f t="shared" si="1"/>
        <v>-299396</v>
      </c>
      <c r="H11" s="5">
        <f>H12+H21+H22+H24+H23</f>
        <v>0</v>
      </c>
      <c r="I11" s="533">
        <f t="shared" si="1"/>
        <v>0</v>
      </c>
      <c r="J11" s="5">
        <f>J12+J21+J22+J24+J23</f>
        <v>0</v>
      </c>
      <c r="K11" s="533">
        <f t="shared" si="1"/>
        <v>0</v>
      </c>
      <c r="L11" s="5">
        <f>L12+L21+L22+L24+L23</f>
        <v>0</v>
      </c>
      <c r="M11" s="5">
        <f>M12+M21+M22+M24+M23</f>
        <v>0</v>
      </c>
      <c r="N11" s="73"/>
      <c r="R11" s="5">
        <f>R12+R21+R22+R24+R23</f>
        <v>299396837</v>
      </c>
    </row>
    <row r="12" spans="1:18" ht="13.5" customHeight="1" x14ac:dyDescent="0.2">
      <c r="A12" s="8"/>
      <c r="B12" s="8" t="s">
        <v>516</v>
      </c>
      <c r="C12" s="166">
        <f>SUM(C13:C20)</f>
        <v>238794</v>
      </c>
      <c r="D12" s="13">
        <f>SUM(D13:D20)</f>
        <v>285807</v>
      </c>
      <c r="E12" s="533">
        <f t="shared" si="0"/>
        <v>0</v>
      </c>
      <c r="F12" s="13">
        <f>SUM(F13:F20)</f>
        <v>285807</v>
      </c>
      <c r="G12" s="533">
        <f t="shared" si="1"/>
        <v>-285807</v>
      </c>
      <c r="H12" s="13">
        <f>SUM(H13:H20)</f>
        <v>0</v>
      </c>
      <c r="I12" s="533">
        <f t="shared" si="1"/>
        <v>0</v>
      </c>
      <c r="J12" s="13">
        <f>SUM(J13:J20)</f>
        <v>0</v>
      </c>
      <c r="K12" s="533">
        <f t="shared" si="1"/>
        <v>0</v>
      </c>
      <c r="L12" s="13">
        <f>SUM(L13:L20)</f>
        <v>0</v>
      </c>
      <c r="M12" s="13">
        <f>SUM(M13:M20)</f>
        <v>0</v>
      </c>
      <c r="N12" s="73"/>
      <c r="R12" s="13">
        <f>SUM(R13:R20)</f>
        <v>285807229</v>
      </c>
    </row>
    <row r="13" spans="1:18" ht="13.5" customHeight="1" x14ac:dyDescent="0.2">
      <c r="A13" s="8"/>
      <c r="B13" s="8" t="s">
        <v>517</v>
      </c>
      <c r="C13" s="166">
        <f>152912+1860+11783</f>
        <v>166555</v>
      </c>
      <c r="D13" s="70">
        <v>217134</v>
      </c>
      <c r="E13" s="533">
        <f t="shared" si="0"/>
        <v>0</v>
      </c>
      <c r="F13" s="70">
        <v>217134</v>
      </c>
      <c r="G13" s="533">
        <f t="shared" si="1"/>
        <v>-217134</v>
      </c>
      <c r="H13" s="70"/>
      <c r="I13" s="533">
        <f t="shared" si="1"/>
        <v>0</v>
      </c>
      <c r="J13" s="70"/>
      <c r="K13" s="533">
        <f t="shared" si="1"/>
        <v>0</v>
      </c>
      <c r="L13" s="70"/>
      <c r="M13" s="70"/>
      <c r="N13" s="73"/>
      <c r="R13" s="73">
        <v>217133934</v>
      </c>
    </row>
    <row r="14" spans="1:18" x14ac:dyDescent="0.2">
      <c r="A14" s="8"/>
      <c r="B14" s="8" t="s">
        <v>536</v>
      </c>
      <c r="C14" s="166">
        <f>8988</f>
        <v>8988</v>
      </c>
      <c r="D14" s="70">
        <f>8988</f>
        <v>8988</v>
      </c>
      <c r="E14" s="533">
        <f t="shared" si="0"/>
        <v>0</v>
      </c>
      <c r="F14" s="70">
        <f>8988</f>
        <v>8988</v>
      </c>
      <c r="G14" s="533">
        <f t="shared" si="1"/>
        <v>-8988</v>
      </c>
      <c r="H14" s="70"/>
      <c r="I14" s="533">
        <f t="shared" si="1"/>
        <v>0</v>
      </c>
      <c r="J14" s="70"/>
      <c r="K14" s="533">
        <f t="shared" si="1"/>
        <v>0</v>
      </c>
      <c r="L14" s="70"/>
      <c r="M14" s="70"/>
      <c r="N14" s="73"/>
      <c r="R14" s="73">
        <v>8988200</v>
      </c>
    </row>
    <row r="15" spans="1:18" ht="13.5" customHeight="1" x14ac:dyDescent="0.2">
      <c r="A15" s="8"/>
      <c r="B15" s="8" t="s">
        <v>1091</v>
      </c>
      <c r="C15" s="166">
        <v>24120</v>
      </c>
      <c r="D15" s="70">
        <v>44944</v>
      </c>
      <c r="E15" s="533">
        <f t="shared" si="0"/>
        <v>0</v>
      </c>
      <c r="F15" s="70">
        <v>44944</v>
      </c>
      <c r="G15" s="533">
        <f t="shared" si="1"/>
        <v>-44944</v>
      </c>
      <c r="H15" s="70"/>
      <c r="I15" s="533">
        <f t="shared" si="1"/>
        <v>0</v>
      </c>
      <c r="J15" s="70"/>
      <c r="K15" s="533">
        <f t="shared" si="1"/>
        <v>0</v>
      </c>
      <c r="L15" s="70"/>
      <c r="M15" s="70"/>
      <c r="N15" s="73"/>
      <c r="R15" s="73">
        <v>44944000</v>
      </c>
    </row>
    <row r="16" spans="1:18" ht="13.5" customHeight="1" x14ac:dyDescent="0.2">
      <c r="A16" s="8"/>
      <c r="B16" s="8" t="s">
        <v>742</v>
      </c>
      <c r="C16" s="166">
        <v>24480</v>
      </c>
      <c r="D16" s="70">
        <v>0</v>
      </c>
      <c r="E16" s="533">
        <f t="shared" si="0"/>
        <v>0</v>
      </c>
      <c r="F16" s="70">
        <v>0</v>
      </c>
      <c r="G16" s="533">
        <f t="shared" si="1"/>
        <v>0</v>
      </c>
      <c r="H16" s="70"/>
      <c r="I16" s="533">
        <f t="shared" si="1"/>
        <v>0</v>
      </c>
      <c r="J16" s="70"/>
      <c r="K16" s="533">
        <f t="shared" si="1"/>
        <v>0</v>
      </c>
      <c r="L16" s="70"/>
      <c r="M16" s="70"/>
      <c r="N16" s="73"/>
      <c r="R16" s="73"/>
    </row>
    <row r="17" spans="1:18" ht="13.5" customHeight="1" x14ac:dyDescent="0.2">
      <c r="A17" s="8"/>
      <c r="B17" s="8" t="s">
        <v>537</v>
      </c>
      <c r="C17" s="166">
        <f>100</f>
        <v>100</v>
      </c>
      <c r="D17" s="70">
        <f>100</f>
        <v>100</v>
      </c>
      <c r="E17" s="533">
        <f t="shared" si="0"/>
        <v>0</v>
      </c>
      <c r="F17" s="70">
        <f>100</f>
        <v>100</v>
      </c>
      <c r="G17" s="533">
        <f t="shared" si="1"/>
        <v>-100</v>
      </c>
      <c r="H17" s="70"/>
      <c r="I17" s="533">
        <f t="shared" si="1"/>
        <v>0</v>
      </c>
      <c r="J17" s="70"/>
      <c r="K17" s="533">
        <f t="shared" si="1"/>
        <v>0</v>
      </c>
      <c r="L17" s="70"/>
      <c r="M17" s="70"/>
      <c r="N17" s="73"/>
      <c r="R17" s="73">
        <v>100000</v>
      </c>
    </row>
    <row r="18" spans="1:18" ht="13.5" customHeight="1" x14ac:dyDescent="0.2">
      <c r="A18" s="8"/>
      <c r="B18" s="8" t="s">
        <v>538</v>
      </c>
      <c r="C18" s="166">
        <v>8058</v>
      </c>
      <c r="D18" s="70">
        <v>8058</v>
      </c>
      <c r="E18" s="533">
        <f t="shared" si="0"/>
        <v>0</v>
      </c>
      <c r="F18" s="70">
        <v>8058</v>
      </c>
      <c r="G18" s="533">
        <f t="shared" si="1"/>
        <v>-8058</v>
      </c>
      <c r="H18" s="70"/>
      <c r="I18" s="533">
        <f t="shared" si="1"/>
        <v>0</v>
      </c>
      <c r="J18" s="70"/>
      <c r="K18" s="533">
        <f t="shared" si="1"/>
        <v>0</v>
      </c>
      <c r="L18" s="70"/>
      <c r="M18" s="70"/>
      <c r="N18" s="73"/>
      <c r="R18" s="73">
        <v>8058295</v>
      </c>
    </row>
    <row r="19" spans="1:18" ht="12.75" customHeight="1" x14ac:dyDescent="0.2">
      <c r="A19" s="8"/>
      <c r="B19" s="8" t="s">
        <v>518</v>
      </c>
      <c r="C19" s="166">
        <v>6493</v>
      </c>
      <c r="D19" s="70">
        <v>6583</v>
      </c>
      <c r="E19" s="533">
        <f t="shared" si="0"/>
        <v>0</v>
      </c>
      <c r="F19" s="70">
        <v>6583</v>
      </c>
      <c r="G19" s="533">
        <f t="shared" si="1"/>
        <v>-6583</v>
      </c>
      <c r="H19" s="70"/>
      <c r="I19" s="533">
        <f t="shared" si="1"/>
        <v>0</v>
      </c>
      <c r="J19" s="70"/>
      <c r="K19" s="533">
        <f t="shared" si="1"/>
        <v>0</v>
      </c>
      <c r="L19" s="70"/>
      <c r="M19" s="70"/>
      <c r="N19" s="73"/>
      <c r="R19" s="73">
        <v>6582800</v>
      </c>
    </row>
    <row r="20" spans="1:18" ht="12.75" customHeight="1" x14ac:dyDescent="0.2">
      <c r="A20" s="8"/>
      <c r="B20" s="8" t="s">
        <v>519</v>
      </c>
      <c r="C20" s="217">
        <v>0</v>
      </c>
      <c r="D20" s="13">
        <v>0</v>
      </c>
      <c r="E20" s="533">
        <f t="shared" si="0"/>
        <v>0</v>
      </c>
      <c r="F20" s="13">
        <v>0</v>
      </c>
      <c r="G20" s="533">
        <f t="shared" si="1"/>
        <v>0</v>
      </c>
      <c r="H20" s="13">
        <v>0</v>
      </c>
      <c r="I20" s="533">
        <f t="shared" si="1"/>
        <v>0</v>
      </c>
      <c r="J20" s="13">
        <v>0</v>
      </c>
      <c r="K20" s="533">
        <f t="shared" si="1"/>
        <v>0</v>
      </c>
      <c r="L20" s="13">
        <v>0</v>
      </c>
      <c r="M20" s="13">
        <v>0</v>
      </c>
      <c r="N20" s="73"/>
      <c r="R20" s="73"/>
    </row>
    <row r="21" spans="1:18" x14ac:dyDescent="0.2">
      <c r="A21" s="8"/>
      <c r="B21" s="8" t="s">
        <v>520</v>
      </c>
      <c r="C21" s="217">
        <v>0</v>
      </c>
      <c r="D21" s="13">
        <v>0</v>
      </c>
      <c r="E21" s="533">
        <f t="shared" si="0"/>
        <v>0</v>
      </c>
      <c r="F21" s="13">
        <v>0</v>
      </c>
      <c r="G21" s="533">
        <f t="shared" si="1"/>
        <v>0</v>
      </c>
      <c r="H21" s="13">
        <v>0</v>
      </c>
      <c r="I21" s="533">
        <f t="shared" si="1"/>
        <v>0</v>
      </c>
      <c r="J21" s="13">
        <v>0</v>
      </c>
      <c r="K21" s="533">
        <f t="shared" si="1"/>
        <v>0</v>
      </c>
      <c r="L21" s="13">
        <v>0</v>
      </c>
      <c r="M21" s="13">
        <v>0</v>
      </c>
      <c r="N21" s="73"/>
      <c r="R21" s="73"/>
    </row>
    <row r="22" spans="1:18" x14ac:dyDescent="0.2">
      <c r="A22" s="8"/>
      <c r="B22" s="8" t="s">
        <v>521</v>
      </c>
      <c r="C22" s="217">
        <v>0</v>
      </c>
      <c r="D22" s="13">
        <v>0</v>
      </c>
      <c r="E22" s="533">
        <f t="shared" si="0"/>
        <v>0</v>
      </c>
      <c r="F22" s="13">
        <v>0</v>
      </c>
      <c r="G22" s="533">
        <f t="shared" si="1"/>
        <v>0</v>
      </c>
      <c r="H22" s="13">
        <v>0</v>
      </c>
      <c r="I22" s="533">
        <f t="shared" si="1"/>
        <v>0</v>
      </c>
      <c r="J22" s="13">
        <v>0</v>
      </c>
      <c r="K22" s="533">
        <f t="shared" si="1"/>
        <v>0</v>
      </c>
      <c r="L22" s="13">
        <v>0</v>
      </c>
      <c r="M22" s="13">
        <v>0</v>
      </c>
      <c r="N22" s="73"/>
      <c r="R22" s="73"/>
    </row>
    <row r="23" spans="1:18" x14ac:dyDescent="0.2">
      <c r="A23" s="8"/>
      <c r="B23" s="8" t="s">
        <v>706</v>
      </c>
      <c r="C23" s="166">
        <v>14679</v>
      </c>
      <c r="D23" s="13">
        <v>0</v>
      </c>
      <c r="E23" s="533">
        <f t="shared" si="0"/>
        <v>13589</v>
      </c>
      <c r="F23" s="13">
        <v>13589</v>
      </c>
      <c r="G23" s="533">
        <f t="shared" si="1"/>
        <v>-13589</v>
      </c>
      <c r="H23" s="13">
        <v>0</v>
      </c>
      <c r="I23" s="533">
        <f t="shared" si="1"/>
        <v>0</v>
      </c>
      <c r="J23" s="13">
        <v>0</v>
      </c>
      <c r="K23" s="533">
        <f t="shared" si="1"/>
        <v>0</v>
      </c>
      <c r="L23" s="13">
        <v>0</v>
      </c>
      <c r="M23" s="13">
        <v>0</v>
      </c>
      <c r="N23" s="73"/>
      <c r="R23" s="73">
        <v>13589608</v>
      </c>
    </row>
    <row r="24" spans="1:18" hidden="1" x14ac:dyDescent="0.2">
      <c r="A24" s="8"/>
      <c r="B24" s="143" t="s">
        <v>707</v>
      </c>
      <c r="C24" s="217">
        <v>0</v>
      </c>
      <c r="D24" s="13">
        <v>0</v>
      </c>
      <c r="E24" s="533">
        <f t="shared" si="0"/>
        <v>0</v>
      </c>
      <c r="F24" s="13">
        <v>0</v>
      </c>
      <c r="G24" s="533">
        <f t="shared" si="1"/>
        <v>0</v>
      </c>
      <c r="H24" s="13">
        <v>0</v>
      </c>
      <c r="I24" s="533">
        <f t="shared" si="1"/>
        <v>0</v>
      </c>
      <c r="J24" s="13">
        <v>0</v>
      </c>
      <c r="K24" s="533">
        <f t="shared" si="1"/>
        <v>0</v>
      </c>
      <c r="L24" s="13">
        <v>0</v>
      </c>
      <c r="M24" s="13">
        <v>0</v>
      </c>
      <c r="N24" s="73"/>
      <c r="R24" s="73"/>
    </row>
    <row r="25" spans="1:18" ht="13.5" customHeight="1" x14ac:dyDescent="0.25">
      <c r="A25" s="8" t="s">
        <v>200</v>
      </c>
      <c r="B25" s="560" t="s">
        <v>906</v>
      </c>
      <c r="C25" s="541">
        <v>160596</v>
      </c>
      <c r="D25" s="5">
        <v>168962</v>
      </c>
      <c r="E25" s="533">
        <f t="shared" si="0"/>
        <v>6502</v>
      </c>
      <c r="F25" s="5">
        <f>168962+841+404+5257</f>
        <v>175464</v>
      </c>
      <c r="G25" s="533">
        <f t="shared" si="1"/>
        <v>-175464</v>
      </c>
      <c r="H25" s="5">
        <v>0</v>
      </c>
      <c r="I25" s="533">
        <f t="shared" si="1"/>
        <v>0</v>
      </c>
      <c r="J25" s="5">
        <v>0</v>
      </c>
      <c r="K25" s="533">
        <f t="shared" si="1"/>
        <v>0</v>
      </c>
      <c r="L25" s="5">
        <v>0</v>
      </c>
      <c r="M25" s="5">
        <v>0</v>
      </c>
      <c r="N25" s="73"/>
      <c r="R25" s="73">
        <f>168961710+841200+404000+5257000</f>
        <v>175463910</v>
      </c>
    </row>
    <row r="26" spans="1:18" ht="13.5" customHeight="1" x14ac:dyDescent="0.2">
      <c r="A26" s="8" t="s">
        <v>201</v>
      </c>
      <c r="B26" s="560" t="s">
        <v>904</v>
      </c>
      <c r="C26" s="541">
        <f>C27+C28+C35+C36</f>
        <v>191133</v>
      </c>
      <c r="D26" s="5">
        <f>D27+D28+D35+D36</f>
        <v>193749</v>
      </c>
      <c r="E26" s="533">
        <f t="shared" si="0"/>
        <v>34719</v>
      </c>
      <c r="F26" s="5">
        <f>F27+F28+F35+F36</f>
        <v>228468</v>
      </c>
      <c r="G26" s="533">
        <f t="shared" si="1"/>
        <v>-228468</v>
      </c>
      <c r="H26" s="5">
        <f>H27+H28+H35+H36</f>
        <v>0</v>
      </c>
      <c r="I26" s="533">
        <f t="shared" si="1"/>
        <v>0</v>
      </c>
      <c r="J26" s="5">
        <f>J27+J28+J35+J36</f>
        <v>0</v>
      </c>
      <c r="K26" s="533">
        <f t="shared" si="1"/>
        <v>0</v>
      </c>
      <c r="L26" s="5">
        <f>L27+L28+L35+L36</f>
        <v>0</v>
      </c>
      <c r="M26" s="5">
        <f>M27+M28+M35+M36</f>
        <v>0</v>
      </c>
      <c r="N26" s="73"/>
      <c r="R26" s="5">
        <f>R27+R28+R35+R36</f>
        <v>228468440</v>
      </c>
    </row>
    <row r="27" spans="1:18" ht="13.5" customHeight="1" x14ac:dyDescent="0.2">
      <c r="A27" s="8"/>
      <c r="B27" s="8" t="s">
        <v>522</v>
      </c>
      <c r="C27" s="217">
        <v>0</v>
      </c>
      <c r="D27" s="13">
        <v>0</v>
      </c>
      <c r="E27" s="533">
        <f t="shared" si="0"/>
        <v>0</v>
      </c>
      <c r="F27" s="13">
        <v>0</v>
      </c>
      <c r="G27" s="533">
        <f t="shared" si="1"/>
        <v>0</v>
      </c>
      <c r="H27" s="13">
        <v>0</v>
      </c>
      <c r="I27" s="533">
        <f t="shared" si="1"/>
        <v>0</v>
      </c>
      <c r="J27" s="13">
        <v>0</v>
      </c>
      <c r="K27" s="533">
        <f t="shared" si="1"/>
        <v>0</v>
      </c>
      <c r="L27" s="13">
        <v>0</v>
      </c>
      <c r="M27" s="13">
        <v>0</v>
      </c>
      <c r="N27" s="73"/>
      <c r="R27" s="13">
        <v>0</v>
      </c>
    </row>
    <row r="28" spans="1:18" ht="13.5" customHeight="1" x14ac:dyDescent="0.2">
      <c r="A28" s="8"/>
      <c r="B28" s="8" t="s">
        <v>523</v>
      </c>
      <c r="C28" s="166">
        <f>C29+C30+C32+C34</f>
        <v>139897</v>
      </c>
      <c r="D28" s="13">
        <f>D29+D30+D32+D34</f>
        <v>153837</v>
      </c>
      <c r="E28" s="533">
        <f t="shared" si="0"/>
        <v>6125</v>
      </c>
      <c r="F28" s="13">
        <f>F29+F30+F32+F34</f>
        <v>159962</v>
      </c>
      <c r="G28" s="533">
        <f t="shared" si="1"/>
        <v>-159962</v>
      </c>
      <c r="H28" s="13">
        <f>H29+H30+H32+H34</f>
        <v>0</v>
      </c>
      <c r="I28" s="533">
        <f t="shared" si="1"/>
        <v>0</v>
      </c>
      <c r="J28" s="13">
        <f>J29+J30+J32+J34</f>
        <v>0</v>
      </c>
      <c r="K28" s="533">
        <f t="shared" si="1"/>
        <v>0</v>
      </c>
      <c r="L28" s="13">
        <f>L29+L30+L32+L34</f>
        <v>0</v>
      </c>
      <c r="M28" s="13">
        <f>M29+M30+M32+M34</f>
        <v>0</v>
      </c>
      <c r="N28" s="73"/>
      <c r="R28" s="13">
        <f>R29+R30+R32+R34</f>
        <v>159962040</v>
      </c>
    </row>
    <row r="29" spans="1:18" ht="13.5" customHeight="1" x14ac:dyDescent="0.2">
      <c r="A29" s="8"/>
      <c r="B29" s="8" t="s">
        <v>907</v>
      </c>
      <c r="C29" s="166">
        <v>28560</v>
      </c>
      <c r="D29" s="13">
        <v>31420</v>
      </c>
      <c r="E29" s="533">
        <f t="shared" si="0"/>
        <v>0</v>
      </c>
      <c r="F29" s="13">
        <v>31420</v>
      </c>
      <c r="G29" s="533">
        <f t="shared" si="1"/>
        <v>-31420</v>
      </c>
      <c r="H29" s="13">
        <v>0</v>
      </c>
      <c r="I29" s="533">
        <f t="shared" si="1"/>
        <v>0</v>
      </c>
      <c r="J29" s="13">
        <v>0</v>
      </c>
      <c r="K29" s="533">
        <f t="shared" si="1"/>
        <v>0</v>
      </c>
      <c r="L29" s="13">
        <v>0</v>
      </c>
      <c r="M29" s="13">
        <v>0</v>
      </c>
      <c r="N29" s="73"/>
      <c r="R29" s="73">
        <v>31420000</v>
      </c>
    </row>
    <row r="30" spans="1:18" ht="13.5" customHeight="1" x14ac:dyDescent="0.2">
      <c r="A30" s="8"/>
      <c r="B30" s="8" t="s">
        <v>524</v>
      </c>
      <c r="C30" s="166">
        <f>C31</f>
        <v>9382</v>
      </c>
      <c r="D30" s="13">
        <f>D31</f>
        <v>10017</v>
      </c>
      <c r="E30" s="533">
        <f t="shared" si="0"/>
        <v>-378</v>
      </c>
      <c r="F30" s="13">
        <f>F31</f>
        <v>9639</v>
      </c>
      <c r="G30" s="533">
        <f t="shared" si="1"/>
        <v>-9639</v>
      </c>
      <c r="H30" s="13">
        <f>H31</f>
        <v>0</v>
      </c>
      <c r="I30" s="533">
        <f t="shared" si="1"/>
        <v>0</v>
      </c>
      <c r="J30" s="13">
        <f>J31</f>
        <v>0</v>
      </c>
      <c r="K30" s="533">
        <f t="shared" si="1"/>
        <v>0</v>
      </c>
      <c r="L30" s="13">
        <f>L31</f>
        <v>0</v>
      </c>
      <c r="M30" s="13">
        <f>M31</f>
        <v>0</v>
      </c>
      <c r="N30" s="73"/>
      <c r="R30" s="13">
        <f>R31</f>
        <v>9639000</v>
      </c>
    </row>
    <row r="31" spans="1:18" ht="13.5" customHeight="1" x14ac:dyDescent="0.2">
      <c r="A31" s="8"/>
      <c r="B31" s="8" t="s">
        <v>535</v>
      </c>
      <c r="C31" s="166">
        <v>9382</v>
      </c>
      <c r="D31" s="13">
        <v>10017</v>
      </c>
      <c r="E31" s="533">
        <f t="shared" si="0"/>
        <v>-378</v>
      </c>
      <c r="F31" s="13">
        <f>10017-378</f>
        <v>9639</v>
      </c>
      <c r="G31" s="533">
        <f t="shared" si="1"/>
        <v>-9639</v>
      </c>
      <c r="H31" s="13">
        <v>0</v>
      </c>
      <c r="I31" s="533">
        <f t="shared" si="1"/>
        <v>0</v>
      </c>
      <c r="J31" s="13">
        <v>0</v>
      </c>
      <c r="K31" s="533">
        <f t="shared" si="1"/>
        <v>0</v>
      </c>
      <c r="L31" s="13">
        <v>0</v>
      </c>
      <c r="M31" s="13">
        <v>0</v>
      </c>
      <c r="N31" s="73"/>
      <c r="R31" s="73">
        <f>10017000-378000</f>
        <v>9639000</v>
      </c>
    </row>
    <row r="32" spans="1:18" ht="13.5" customHeight="1" x14ac:dyDescent="0.2">
      <c r="A32" s="8"/>
      <c r="B32" s="8" t="s">
        <v>525</v>
      </c>
      <c r="C32" s="166">
        <f>C33</f>
        <v>101955</v>
      </c>
      <c r="D32" s="13">
        <f>D33</f>
        <v>112400</v>
      </c>
      <c r="E32" s="533">
        <f t="shared" si="0"/>
        <v>6503</v>
      </c>
      <c r="F32" s="13">
        <f>F33</f>
        <v>118903</v>
      </c>
      <c r="G32" s="533">
        <f t="shared" si="1"/>
        <v>-118903</v>
      </c>
      <c r="H32" s="13">
        <f>H33</f>
        <v>0</v>
      </c>
      <c r="I32" s="533">
        <f t="shared" si="1"/>
        <v>0</v>
      </c>
      <c r="J32" s="13">
        <f>J33</f>
        <v>0</v>
      </c>
      <c r="K32" s="533">
        <f t="shared" si="1"/>
        <v>0</v>
      </c>
      <c r="L32" s="13">
        <f>L33</f>
        <v>0</v>
      </c>
      <c r="M32" s="13">
        <f>M33</f>
        <v>0</v>
      </c>
      <c r="N32" s="73"/>
      <c r="R32" s="13">
        <f>R33</f>
        <v>118903040</v>
      </c>
    </row>
    <row r="33" spans="1:18" ht="13.5" customHeight="1" x14ac:dyDescent="0.2">
      <c r="A33" s="8"/>
      <c r="B33" s="8" t="s">
        <v>908</v>
      </c>
      <c r="C33" s="166">
        <v>101955</v>
      </c>
      <c r="D33" s="13">
        <v>112400</v>
      </c>
      <c r="E33" s="533">
        <f t="shared" si="0"/>
        <v>6503</v>
      </c>
      <c r="F33" s="13">
        <f>112400+6503</f>
        <v>118903</v>
      </c>
      <c r="G33" s="533">
        <f t="shared" si="1"/>
        <v>-118903</v>
      </c>
      <c r="H33" s="13">
        <v>0</v>
      </c>
      <c r="I33" s="533">
        <f t="shared" si="1"/>
        <v>0</v>
      </c>
      <c r="J33" s="13">
        <v>0</v>
      </c>
      <c r="K33" s="533">
        <f t="shared" si="1"/>
        <v>0</v>
      </c>
      <c r="L33" s="13">
        <v>0</v>
      </c>
      <c r="M33" s="13">
        <v>0</v>
      </c>
      <c r="N33" s="73"/>
      <c r="R33" s="73">
        <f>112400530+6502510</f>
        <v>118903040</v>
      </c>
    </row>
    <row r="34" spans="1:18" ht="13.5" customHeight="1" x14ac:dyDescent="0.2">
      <c r="A34" s="8"/>
      <c r="B34" s="8" t="s">
        <v>526</v>
      </c>
      <c r="C34" s="217">
        <v>0</v>
      </c>
      <c r="D34" s="13">
        <v>0</v>
      </c>
      <c r="E34" s="533">
        <f t="shared" si="0"/>
        <v>0</v>
      </c>
      <c r="F34" s="13">
        <v>0</v>
      </c>
      <c r="G34" s="533">
        <f t="shared" si="1"/>
        <v>0</v>
      </c>
      <c r="H34" s="13">
        <v>0</v>
      </c>
      <c r="I34" s="533">
        <f t="shared" si="1"/>
        <v>0</v>
      </c>
      <c r="J34" s="13">
        <v>0</v>
      </c>
      <c r="K34" s="533">
        <f t="shared" si="1"/>
        <v>0</v>
      </c>
      <c r="L34" s="13">
        <v>0</v>
      </c>
      <c r="M34" s="13">
        <v>0</v>
      </c>
      <c r="N34" s="73"/>
      <c r="R34" s="73"/>
    </row>
    <row r="35" spans="1:18" ht="13.5" customHeight="1" x14ac:dyDescent="0.2">
      <c r="A35" s="8"/>
      <c r="B35" s="8" t="s">
        <v>828</v>
      </c>
      <c r="C35" s="166">
        <v>34834</v>
      </c>
      <c r="D35" s="13">
        <v>39912</v>
      </c>
      <c r="E35" s="533">
        <f t="shared" si="0"/>
        <v>111</v>
      </c>
      <c r="F35" s="13">
        <f>39912-61+172</f>
        <v>40023</v>
      </c>
      <c r="G35" s="533">
        <f t="shared" si="1"/>
        <v>-40023</v>
      </c>
      <c r="H35" s="13">
        <v>0</v>
      </c>
      <c r="I35" s="533">
        <f t="shared" si="1"/>
        <v>0</v>
      </c>
      <c r="J35" s="13">
        <v>0</v>
      </c>
      <c r="K35" s="533">
        <f t="shared" si="1"/>
        <v>0</v>
      </c>
      <c r="L35" s="13">
        <v>0</v>
      </c>
      <c r="M35" s="13">
        <v>0</v>
      </c>
      <c r="N35" s="73"/>
      <c r="R35" s="73">
        <f>(11312000+40000)+25614000+(2986000-100800)+172200</f>
        <v>40023400</v>
      </c>
    </row>
    <row r="36" spans="1:18" ht="13.5" customHeight="1" x14ac:dyDescent="0.2">
      <c r="A36" s="8"/>
      <c r="B36" s="8" t="s">
        <v>1262</v>
      </c>
      <c r="C36" s="166">
        <v>16402</v>
      </c>
      <c r="D36" s="13">
        <v>0</v>
      </c>
      <c r="E36" s="533">
        <f t="shared" si="0"/>
        <v>28483</v>
      </c>
      <c r="F36" s="13">
        <v>28483</v>
      </c>
      <c r="G36" s="533">
        <f t="shared" si="1"/>
        <v>-28483</v>
      </c>
      <c r="H36" s="13">
        <v>0</v>
      </c>
      <c r="I36" s="533">
        <f t="shared" si="1"/>
        <v>0</v>
      </c>
      <c r="J36" s="13">
        <v>0</v>
      </c>
      <c r="K36" s="533">
        <f t="shared" si="1"/>
        <v>0</v>
      </c>
      <c r="L36" s="13">
        <v>0</v>
      </c>
      <c r="M36" s="13">
        <v>0</v>
      </c>
      <c r="N36" s="73"/>
      <c r="R36" s="73">
        <v>28483000</v>
      </c>
    </row>
    <row r="37" spans="1:18" ht="13.5" customHeight="1" x14ac:dyDescent="0.2">
      <c r="A37" s="8"/>
      <c r="B37" s="14" t="s">
        <v>527</v>
      </c>
      <c r="C37" s="541">
        <f>C38+C41+C42</f>
        <v>72913</v>
      </c>
      <c r="D37" s="5">
        <f>D38+D41+D42</f>
        <v>85244</v>
      </c>
      <c r="E37" s="533">
        <f t="shared" si="0"/>
        <v>0</v>
      </c>
      <c r="F37" s="5">
        <f>F38+F41+F42</f>
        <v>85244</v>
      </c>
      <c r="G37" s="533">
        <f t="shared" si="1"/>
        <v>-85244</v>
      </c>
      <c r="H37" s="5">
        <f>H38+H41+H42</f>
        <v>0</v>
      </c>
      <c r="I37" s="533">
        <f t="shared" si="1"/>
        <v>0</v>
      </c>
      <c r="J37" s="5">
        <f>J38+J41+J42</f>
        <v>0</v>
      </c>
      <c r="K37" s="533">
        <f t="shared" si="1"/>
        <v>0</v>
      </c>
      <c r="L37" s="5">
        <f>L38+L41+L42</f>
        <v>0</v>
      </c>
      <c r="M37" s="5">
        <f>M38+M41+M42</f>
        <v>0</v>
      </c>
      <c r="N37" s="73"/>
      <c r="R37" s="5">
        <f>R38+R41+R42</f>
        <v>85243702</v>
      </c>
    </row>
    <row r="38" spans="1:18" ht="13.5" customHeight="1" x14ac:dyDescent="0.2">
      <c r="A38" s="8"/>
      <c r="B38" s="8" t="s">
        <v>528</v>
      </c>
      <c r="C38" s="166">
        <f>C39+C40</f>
        <v>72913</v>
      </c>
      <c r="D38" s="13">
        <f>D39+D40</f>
        <v>85244</v>
      </c>
      <c r="E38" s="533">
        <f t="shared" si="0"/>
        <v>0</v>
      </c>
      <c r="F38" s="13">
        <f>F39+F40</f>
        <v>85244</v>
      </c>
      <c r="G38" s="533">
        <f t="shared" si="1"/>
        <v>-85244</v>
      </c>
      <c r="H38" s="13">
        <f>H39+H40</f>
        <v>0</v>
      </c>
      <c r="I38" s="533">
        <f t="shared" si="1"/>
        <v>0</v>
      </c>
      <c r="J38" s="13">
        <f>J39+J40</f>
        <v>0</v>
      </c>
      <c r="K38" s="533">
        <f t="shared" si="1"/>
        <v>0</v>
      </c>
      <c r="L38" s="13">
        <f>L39+L40</f>
        <v>0</v>
      </c>
      <c r="M38" s="13">
        <f>M39+M40</f>
        <v>0</v>
      </c>
      <c r="N38" s="73"/>
      <c r="R38" s="13">
        <f>R39+R40</f>
        <v>85243702</v>
      </c>
    </row>
    <row r="39" spans="1:18" ht="13.5" customHeight="1" x14ac:dyDescent="0.2">
      <c r="A39" s="8"/>
      <c r="B39" s="8" t="s">
        <v>529</v>
      </c>
      <c r="C39" s="166">
        <v>43360</v>
      </c>
      <c r="D39" s="13">
        <v>50512</v>
      </c>
      <c r="E39" s="533">
        <f t="shared" si="0"/>
        <v>0</v>
      </c>
      <c r="F39" s="13">
        <v>50512</v>
      </c>
      <c r="G39" s="533">
        <f t="shared" si="1"/>
        <v>-50512</v>
      </c>
      <c r="H39" s="13">
        <v>0</v>
      </c>
      <c r="I39" s="533">
        <f t="shared" si="1"/>
        <v>0</v>
      </c>
      <c r="J39" s="13">
        <v>0</v>
      </c>
      <c r="K39" s="533">
        <f t="shared" si="1"/>
        <v>0</v>
      </c>
      <c r="L39" s="13">
        <v>0</v>
      </c>
      <c r="M39" s="13">
        <v>0</v>
      </c>
      <c r="N39" s="73"/>
      <c r="R39" s="73">
        <v>50512000</v>
      </c>
    </row>
    <row r="40" spans="1:18" ht="13.5" customHeight="1" x14ac:dyDescent="0.2">
      <c r="A40" s="8"/>
      <c r="B40" s="8" t="s">
        <v>530</v>
      </c>
      <c r="C40" s="166">
        <v>29553</v>
      </c>
      <c r="D40" s="13">
        <v>34732</v>
      </c>
      <c r="E40" s="533">
        <f t="shared" si="0"/>
        <v>0</v>
      </c>
      <c r="F40" s="13">
        <v>34732</v>
      </c>
      <c r="G40" s="533">
        <f t="shared" si="1"/>
        <v>-34732</v>
      </c>
      <c r="H40" s="13">
        <v>0</v>
      </c>
      <c r="I40" s="533">
        <f t="shared" si="1"/>
        <v>0</v>
      </c>
      <c r="J40" s="13">
        <v>0</v>
      </c>
      <c r="K40" s="533">
        <f t="shared" si="1"/>
        <v>0</v>
      </c>
      <c r="L40" s="13">
        <v>0</v>
      </c>
      <c r="M40" s="13">
        <v>0</v>
      </c>
      <c r="N40" s="73"/>
      <c r="R40" s="73">
        <v>34731702</v>
      </c>
    </row>
    <row r="41" spans="1:18" ht="13.5" hidden="1" customHeight="1" x14ac:dyDescent="0.2">
      <c r="A41" s="8"/>
      <c r="B41" s="143" t="s">
        <v>531</v>
      </c>
      <c r="C41" s="217">
        <v>0</v>
      </c>
      <c r="D41" s="13">
        <v>0</v>
      </c>
      <c r="E41" s="533">
        <f t="shared" si="0"/>
        <v>0</v>
      </c>
      <c r="F41" s="13">
        <v>0</v>
      </c>
      <c r="G41" s="533">
        <f t="shared" si="1"/>
        <v>0</v>
      </c>
      <c r="H41" s="13">
        <v>0</v>
      </c>
      <c r="I41" s="533">
        <f t="shared" si="1"/>
        <v>0</v>
      </c>
      <c r="J41" s="13">
        <v>0</v>
      </c>
      <c r="K41" s="533">
        <f t="shared" si="1"/>
        <v>0</v>
      </c>
      <c r="L41" s="13">
        <v>0</v>
      </c>
      <c r="M41" s="13">
        <v>0</v>
      </c>
      <c r="N41" s="73"/>
      <c r="R41" s="73"/>
    </row>
    <row r="42" spans="1:18" ht="13.5" hidden="1" customHeight="1" x14ac:dyDescent="0.2">
      <c r="A42" s="8"/>
      <c r="B42" s="143" t="s">
        <v>579</v>
      </c>
      <c r="C42" s="217"/>
      <c r="D42" s="13"/>
      <c r="E42" s="533">
        <f t="shared" si="0"/>
        <v>0</v>
      </c>
      <c r="F42" s="13"/>
      <c r="G42" s="533">
        <f t="shared" si="1"/>
        <v>0</v>
      </c>
      <c r="H42" s="13"/>
      <c r="I42" s="533">
        <f t="shared" si="1"/>
        <v>0</v>
      </c>
      <c r="J42" s="13"/>
      <c r="K42" s="533">
        <f t="shared" si="1"/>
        <v>0</v>
      </c>
      <c r="L42" s="13"/>
      <c r="M42" s="13"/>
      <c r="N42" s="73"/>
      <c r="R42" s="73"/>
    </row>
    <row r="43" spans="1:18" ht="13.5" customHeight="1" x14ac:dyDescent="0.2">
      <c r="A43" s="8" t="s">
        <v>202</v>
      </c>
      <c r="B43" s="560" t="s">
        <v>532</v>
      </c>
      <c r="C43" s="542">
        <f>SUM(C44:C46)</f>
        <v>36193</v>
      </c>
      <c r="D43" s="6">
        <f>SUM(D44:D46)</f>
        <v>5203</v>
      </c>
      <c r="E43" s="533">
        <f t="shared" si="0"/>
        <v>35429</v>
      </c>
      <c r="F43" s="6">
        <f>SUM(F44:F46)</f>
        <v>40632</v>
      </c>
      <c r="G43" s="533">
        <f t="shared" si="1"/>
        <v>-40632</v>
      </c>
      <c r="H43" s="6">
        <f>SUM(H44:H46)</f>
        <v>0</v>
      </c>
      <c r="I43" s="533">
        <f t="shared" si="1"/>
        <v>0</v>
      </c>
      <c r="J43" s="6">
        <f>SUM(J44:J46)</f>
        <v>0</v>
      </c>
      <c r="K43" s="533">
        <f t="shared" si="1"/>
        <v>0</v>
      </c>
      <c r="L43" s="6">
        <f>SUM(L44:L46)</f>
        <v>0</v>
      </c>
      <c r="M43" s="6">
        <f>SUM(M44:M46)</f>
        <v>0</v>
      </c>
      <c r="N43" s="73"/>
      <c r="R43" s="6">
        <f>SUM(R44:R46)</f>
        <v>40631589</v>
      </c>
    </row>
    <row r="44" spans="1:18" ht="13.5" customHeight="1" x14ac:dyDescent="0.2">
      <c r="A44" s="8"/>
      <c r="B44" s="8" t="s">
        <v>833</v>
      </c>
      <c r="C44" s="166">
        <v>5132</v>
      </c>
      <c r="D44" s="70">
        <v>5203</v>
      </c>
      <c r="E44" s="533">
        <f t="shared" si="0"/>
        <v>0</v>
      </c>
      <c r="F44" s="70">
        <v>5203</v>
      </c>
      <c r="G44" s="533">
        <f t="shared" si="1"/>
        <v>-5203</v>
      </c>
      <c r="H44" s="70">
        <v>0</v>
      </c>
      <c r="I44" s="533">
        <f t="shared" si="1"/>
        <v>0</v>
      </c>
      <c r="J44" s="70">
        <v>0</v>
      </c>
      <c r="K44" s="533">
        <f t="shared" si="1"/>
        <v>0</v>
      </c>
      <c r="L44" s="70">
        <v>0</v>
      </c>
      <c r="M44" s="70">
        <v>0</v>
      </c>
      <c r="N44" s="73"/>
      <c r="R44" s="73">
        <v>5202763</v>
      </c>
    </row>
    <row r="45" spans="1:18" ht="13.5" customHeight="1" x14ac:dyDescent="0.2">
      <c r="A45" s="8"/>
      <c r="B45" s="8" t="s">
        <v>580</v>
      </c>
      <c r="C45" s="166">
        <v>26763</v>
      </c>
      <c r="D45" s="70">
        <v>0</v>
      </c>
      <c r="E45" s="533">
        <f t="shared" si="0"/>
        <v>26763</v>
      </c>
      <c r="F45" s="70">
        <v>26763</v>
      </c>
      <c r="G45" s="533">
        <f t="shared" si="1"/>
        <v>-26763</v>
      </c>
      <c r="H45" s="70">
        <v>0</v>
      </c>
      <c r="I45" s="533">
        <f t="shared" si="1"/>
        <v>0</v>
      </c>
      <c r="J45" s="70">
        <v>0</v>
      </c>
      <c r="K45" s="533">
        <f t="shared" si="1"/>
        <v>0</v>
      </c>
      <c r="L45" s="70">
        <v>0</v>
      </c>
      <c r="M45" s="70">
        <v>0</v>
      </c>
      <c r="N45" s="73"/>
      <c r="R45" s="73">
        <v>26762800</v>
      </c>
    </row>
    <row r="46" spans="1:18" ht="13.5" customHeight="1" x14ac:dyDescent="0.2">
      <c r="A46" s="8"/>
      <c r="B46" s="8" t="s">
        <v>715</v>
      </c>
      <c r="C46" s="166">
        <v>4298</v>
      </c>
      <c r="D46" s="70">
        <v>0</v>
      </c>
      <c r="E46" s="533">
        <f t="shared" si="0"/>
        <v>8666</v>
      </c>
      <c r="F46" s="70">
        <v>8666</v>
      </c>
      <c r="G46" s="533">
        <f t="shared" si="1"/>
        <v>-8666</v>
      </c>
      <c r="H46" s="70">
        <v>0</v>
      </c>
      <c r="I46" s="533">
        <f t="shared" si="1"/>
        <v>0</v>
      </c>
      <c r="J46" s="70">
        <v>0</v>
      </c>
      <c r="K46" s="533">
        <f t="shared" si="1"/>
        <v>0</v>
      </c>
      <c r="L46" s="70">
        <v>0</v>
      </c>
      <c r="M46" s="70">
        <v>0</v>
      </c>
      <c r="N46" s="73"/>
      <c r="R46" s="73">
        <v>8666026</v>
      </c>
    </row>
    <row r="47" spans="1:18" ht="16.5" customHeight="1" x14ac:dyDescent="0.2">
      <c r="A47" s="8" t="s">
        <v>203</v>
      </c>
      <c r="B47" s="560" t="s">
        <v>834</v>
      </c>
      <c r="C47" s="541">
        <f>C48+C53+C55+C58</f>
        <v>2427</v>
      </c>
      <c r="D47" s="5">
        <f>D48+D53+D55+D58</f>
        <v>84031</v>
      </c>
      <c r="E47" s="533">
        <f t="shared" si="0"/>
        <v>-81133</v>
      </c>
      <c r="F47" s="5">
        <f>F48+F53+F55+F58</f>
        <v>2898</v>
      </c>
      <c r="G47" s="533">
        <f t="shared" si="1"/>
        <v>-2898</v>
      </c>
      <c r="H47" s="5">
        <f>H48+H53+H55+H58</f>
        <v>0</v>
      </c>
      <c r="I47" s="533">
        <f t="shared" si="1"/>
        <v>0</v>
      </c>
      <c r="J47" s="5">
        <f>J48+J53+J55+J58</f>
        <v>0</v>
      </c>
      <c r="K47" s="533">
        <f t="shared" si="1"/>
        <v>0</v>
      </c>
      <c r="L47" s="5">
        <f>L48+L53+L55+L58</f>
        <v>0</v>
      </c>
      <c r="M47" s="5">
        <f>M48+M53+M55+M58</f>
        <v>0</v>
      </c>
      <c r="N47" s="73"/>
      <c r="R47" s="5">
        <f>R48+R53+R55+R58</f>
        <v>0</v>
      </c>
    </row>
    <row r="48" spans="1:18" ht="14.25" customHeight="1" x14ac:dyDescent="0.2">
      <c r="A48" s="8"/>
      <c r="B48" s="364" t="s">
        <v>835</v>
      </c>
      <c r="C48" s="541">
        <f>C49+C50+C51+C52</f>
        <v>0</v>
      </c>
      <c r="D48" s="5">
        <f>D49+D50+D51+D52</f>
        <v>14862</v>
      </c>
      <c r="E48" s="533">
        <f t="shared" si="0"/>
        <v>-14862</v>
      </c>
      <c r="F48" s="5">
        <f>F49+F50+F51+F52</f>
        <v>0</v>
      </c>
      <c r="G48" s="533">
        <f t="shared" si="1"/>
        <v>0</v>
      </c>
      <c r="H48" s="5">
        <f>H49+H50+H51+H52</f>
        <v>0</v>
      </c>
      <c r="I48" s="533">
        <f t="shared" si="1"/>
        <v>0</v>
      </c>
      <c r="J48" s="5">
        <f>J49+J50+J51+J52</f>
        <v>0</v>
      </c>
      <c r="K48" s="533">
        <f t="shared" si="1"/>
        <v>0</v>
      </c>
      <c r="L48" s="5">
        <f>L49+L50+L51+L52</f>
        <v>0</v>
      </c>
      <c r="M48" s="5">
        <f>M49+M50+M51+M52</f>
        <v>0</v>
      </c>
      <c r="N48" s="73"/>
      <c r="R48" s="5">
        <f>R49+R50+R51+R52</f>
        <v>0</v>
      </c>
    </row>
    <row r="49" spans="1:18" ht="13.5" customHeight="1" x14ac:dyDescent="0.2">
      <c r="A49" s="8"/>
      <c r="B49" s="364" t="s">
        <v>836</v>
      </c>
      <c r="C49" s="166">
        <f>14135-14135</f>
        <v>0</v>
      </c>
      <c r="D49" s="13">
        <v>14862</v>
      </c>
      <c r="E49" s="533">
        <f t="shared" si="0"/>
        <v>-14862</v>
      </c>
      <c r="F49" s="13">
        <f>14862-14862</f>
        <v>0</v>
      </c>
      <c r="G49" s="533">
        <f t="shared" si="1"/>
        <v>0</v>
      </c>
      <c r="H49" s="13">
        <f>14135-14135</f>
        <v>0</v>
      </c>
      <c r="I49" s="533">
        <f t="shared" si="1"/>
        <v>0</v>
      </c>
      <c r="J49" s="13">
        <f>14135-14135</f>
        <v>0</v>
      </c>
      <c r="K49" s="533">
        <f t="shared" si="1"/>
        <v>0</v>
      </c>
      <c r="L49" s="13">
        <f>14135-14135</f>
        <v>0</v>
      </c>
      <c r="M49" s="13">
        <f>14135-14135</f>
        <v>0</v>
      </c>
      <c r="N49" s="73"/>
      <c r="O49">
        <f>1238516*12</f>
        <v>14862192</v>
      </c>
      <c r="R49" s="73">
        <f>14862192-14862192</f>
        <v>0</v>
      </c>
    </row>
    <row r="50" spans="1:18" ht="11.25" hidden="1" customHeight="1" x14ac:dyDescent="0.2">
      <c r="A50" s="8"/>
      <c r="B50" s="374" t="s">
        <v>533</v>
      </c>
      <c r="C50" s="544">
        <v>0</v>
      </c>
      <c r="D50" s="13">
        <v>0</v>
      </c>
      <c r="E50" s="533">
        <f t="shared" si="0"/>
        <v>0</v>
      </c>
      <c r="F50" s="13">
        <v>0</v>
      </c>
      <c r="G50" s="533">
        <f t="shared" si="1"/>
        <v>0</v>
      </c>
      <c r="H50" s="13">
        <v>0</v>
      </c>
      <c r="I50" s="533">
        <f t="shared" si="1"/>
        <v>0</v>
      </c>
      <c r="J50" s="13">
        <v>0</v>
      </c>
      <c r="K50" s="533">
        <f t="shared" si="1"/>
        <v>0</v>
      </c>
      <c r="L50" s="13">
        <v>0</v>
      </c>
      <c r="M50" s="13">
        <v>0</v>
      </c>
      <c r="N50" s="73"/>
      <c r="R50" s="73"/>
    </row>
    <row r="51" spans="1:18" ht="14.25" customHeight="1" x14ac:dyDescent="0.2">
      <c r="A51" s="8"/>
      <c r="B51" s="364" t="s">
        <v>1092</v>
      </c>
      <c r="C51" s="543">
        <v>0</v>
      </c>
      <c r="D51" s="13">
        <v>0</v>
      </c>
      <c r="E51" s="533">
        <f t="shared" si="0"/>
        <v>0</v>
      </c>
      <c r="F51" s="13">
        <v>0</v>
      </c>
      <c r="G51" s="533">
        <f t="shared" si="1"/>
        <v>0</v>
      </c>
      <c r="H51" s="13">
        <v>0</v>
      </c>
      <c r="I51" s="533">
        <f t="shared" si="1"/>
        <v>0</v>
      </c>
      <c r="J51" s="13">
        <v>0</v>
      </c>
      <c r="K51" s="533">
        <f t="shared" si="1"/>
        <v>0</v>
      </c>
      <c r="L51" s="13">
        <v>0</v>
      </c>
      <c r="M51" s="13">
        <v>0</v>
      </c>
      <c r="N51" s="73"/>
      <c r="R51" s="73"/>
    </row>
    <row r="52" spans="1:18" ht="13.5" customHeight="1" x14ac:dyDescent="0.2">
      <c r="A52" s="8"/>
      <c r="B52" s="364" t="s">
        <v>1093</v>
      </c>
      <c r="C52" s="543">
        <v>0</v>
      </c>
      <c r="D52" s="13">
        <v>0</v>
      </c>
      <c r="E52" s="533">
        <f t="shared" si="0"/>
        <v>0</v>
      </c>
      <c r="F52" s="13">
        <v>0</v>
      </c>
      <c r="G52" s="533">
        <f t="shared" si="1"/>
        <v>0</v>
      </c>
      <c r="H52" s="13">
        <v>0</v>
      </c>
      <c r="I52" s="533">
        <f t="shared" si="1"/>
        <v>0</v>
      </c>
      <c r="J52" s="13">
        <v>0</v>
      </c>
      <c r="K52" s="533">
        <f t="shared" si="1"/>
        <v>0</v>
      </c>
      <c r="L52" s="13">
        <v>0</v>
      </c>
      <c r="M52" s="13">
        <v>0</v>
      </c>
      <c r="N52" s="73"/>
      <c r="R52" s="73"/>
    </row>
    <row r="53" spans="1:18" ht="12" customHeight="1" x14ac:dyDescent="0.2">
      <c r="A53" s="8"/>
      <c r="B53" s="364" t="s">
        <v>837</v>
      </c>
      <c r="C53" s="541">
        <f>C54</f>
        <v>0</v>
      </c>
      <c r="D53" s="5">
        <f>D54</f>
        <v>5257</v>
      </c>
      <c r="E53" s="533">
        <f t="shared" si="0"/>
        <v>-5257</v>
      </c>
      <c r="F53" s="5">
        <f>F54</f>
        <v>0</v>
      </c>
      <c r="G53" s="533">
        <f t="shared" si="1"/>
        <v>0</v>
      </c>
      <c r="H53" s="5">
        <f>H54</f>
        <v>0</v>
      </c>
      <c r="I53" s="533">
        <f t="shared" si="1"/>
        <v>0</v>
      </c>
      <c r="J53" s="5">
        <f>J54</f>
        <v>0</v>
      </c>
      <c r="K53" s="533">
        <f t="shared" si="1"/>
        <v>0</v>
      </c>
      <c r="L53" s="5">
        <f>L54</f>
        <v>0</v>
      </c>
      <c r="M53" s="5">
        <f>M54</f>
        <v>0</v>
      </c>
      <c r="N53" s="73"/>
      <c r="R53" s="5">
        <f>R54</f>
        <v>0</v>
      </c>
    </row>
    <row r="54" spans="1:18" x14ac:dyDescent="0.2">
      <c r="A54" s="8"/>
      <c r="B54" s="364" t="s">
        <v>853</v>
      </c>
      <c r="C54" s="543">
        <f>3783-3783</f>
        <v>0</v>
      </c>
      <c r="D54" s="13">
        <v>5257</v>
      </c>
      <c r="E54" s="533">
        <f t="shared" si="0"/>
        <v>-5257</v>
      </c>
      <c r="F54" s="13">
        <f>5257-5257</f>
        <v>0</v>
      </c>
      <c r="G54" s="533">
        <f t="shared" si="1"/>
        <v>0</v>
      </c>
      <c r="H54" s="13">
        <f>3783-3783</f>
        <v>0</v>
      </c>
      <c r="I54" s="533">
        <f t="shared" si="1"/>
        <v>0</v>
      </c>
      <c r="J54" s="13">
        <f>3783-3783</f>
        <v>0</v>
      </c>
      <c r="K54" s="533">
        <f t="shared" si="1"/>
        <v>0</v>
      </c>
      <c r="L54" s="13">
        <f>3783-3783</f>
        <v>0</v>
      </c>
      <c r="M54" s="13">
        <f>3783-3783</f>
        <v>0</v>
      </c>
      <c r="N54" s="73"/>
      <c r="R54" s="73">
        <f>5257000-5257000</f>
        <v>0</v>
      </c>
    </row>
    <row r="55" spans="1:18" x14ac:dyDescent="0.2">
      <c r="A55" s="8"/>
      <c r="B55" s="364" t="s">
        <v>905</v>
      </c>
      <c r="C55" s="541">
        <f>C56+C57</f>
        <v>2427</v>
      </c>
      <c r="D55" s="5">
        <f>D56+D57</f>
        <v>28483</v>
      </c>
      <c r="E55" s="533">
        <f t="shared" si="0"/>
        <v>-25585</v>
      </c>
      <c r="F55" s="5">
        <f>F56+F57</f>
        <v>2898</v>
      </c>
      <c r="G55" s="533">
        <f t="shared" si="1"/>
        <v>-2898</v>
      </c>
      <c r="H55" s="5">
        <f>H56+H57</f>
        <v>0</v>
      </c>
      <c r="I55" s="533">
        <f t="shared" si="1"/>
        <v>0</v>
      </c>
      <c r="J55" s="5">
        <f>J56+J57</f>
        <v>0</v>
      </c>
      <c r="K55" s="533">
        <f t="shared" si="1"/>
        <v>0</v>
      </c>
      <c r="L55" s="5">
        <f>L56+L57</f>
        <v>0</v>
      </c>
      <c r="M55" s="5">
        <f>M56+M57</f>
        <v>0</v>
      </c>
      <c r="N55" s="73"/>
      <c r="R55" s="5">
        <f>R56+R57</f>
        <v>0</v>
      </c>
    </row>
    <row r="56" spans="1:18" x14ac:dyDescent="0.2">
      <c r="A56" s="8"/>
      <c r="B56" s="364" t="s">
        <v>838</v>
      </c>
      <c r="C56" s="166">
        <v>2427</v>
      </c>
      <c r="D56" s="13">
        <v>0</v>
      </c>
      <c r="E56" s="533">
        <f t="shared" si="0"/>
        <v>2898</v>
      </c>
      <c r="F56" s="13">
        <v>2898</v>
      </c>
      <c r="G56" s="533">
        <f t="shared" si="1"/>
        <v>-2898</v>
      </c>
      <c r="H56" s="13">
        <v>0</v>
      </c>
      <c r="I56" s="533">
        <f t="shared" si="1"/>
        <v>0</v>
      </c>
      <c r="J56" s="13">
        <v>0</v>
      </c>
      <c r="K56" s="533">
        <f t="shared" si="1"/>
        <v>0</v>
      </c>
      <c r="L56" s="13">
        <v>0</v>
      </c>
      <c r="M56" s="13">
        <v>0</v>
      </c>
      <c r="N56" s="73"/>
      <c r="R56" s="73"/>
    </row>
    <row r="57" spans="1:18" x14ac:dyDescent="0.2">
      <c r="A57" s="8"/>
      <c r="B57" s="364" t="s">
        <v>839</v>
      </c>
      <c r="C57" s="543">
        <f>18305-18305</f>
        <v>0</v>
      </c>
      <c r="D57" s="13">
        <v>28483</v>
      </c>
      <c r="E57" s="533">
        <f t="shared" si="0"/>
        <v>-28483</v>
      </c>
      <c r="F57" s="13">
        <f>28483-28483</f>
        <v>0</v>
      </c>
      <c r="G57" s="533">
        <f t="shared" si="1"/>
        <v>0</v>
      </c>
      <c r="H57" s="13">
        <f>18305-18305</f>
        <v>0</v>
      </c>
      <c r="I57" s="533">
        <f t="shared" si="1"/>
        <v>0</v>
      </c>
      <c r="J57" s="13">
        <f>18305-18305</f>
        <v>0</v>
      </c>
      <c r="K57" s="533">
        <f t="shared" si="1"/>
        <v>0</v>
      </c>
      <c r="L57" s="13">
        <f>18305-18305</f>
        <v>0</v>
      </c>
      <c r="M57" s="13">
        <f>18305-18305</f>
        <v>0</v>
      </c>
      <c r="N57" s="73"/>
      <c r="R57" s="73">
        <f>28483000-28483000</f>
        <v>0</v>
      </c>
    </row>
    <row r="58" spans="1:18" x14ac:dyDescent="0.2">
      <c r="A58" s="8"/>
      <c r="B58" s="364" t="s">
        <v>840</v>
      </c>
      <c r="C58" s="541">
        <f>C59+C60</f>
        <v>0</v>
      </c>
      <c r="D58" s="5">
        <f>D59+D60</f>
        <v>35429</v>
      </c>
      <c r="E58" s="533">
        <f t="shared" si="0"/>
        <v>-35429</v>
      </c>
      <c r="F58" s="5">
        <f>F59+F60</f>
        <v>0</v>
      </c>
      <c r="G58" s="533">
        <f t="shared" si="1"/>
        <v>0</v>
      </c>
      <c r="H58" s="5">
        <f>H59+H60</f>
        <v>0</v>
      </c>
      <c r="I58" s="533">
        <f t="shared" si="1"/>
        <v>0</v>
      </c>
      <c r="J58" s="5">
        <f>J59+J60</f>
        <v>0</v>
      </c>
      <c r="K58" s="533">
        <f t="shared" si="1"/>
        <v>0</v>
      </c>
      <c r="L58" s="5">
        <f>L59+L60</f>
        <v>0</v>
      </c>
      <c r="M58" s="5">
        <f>M59+M60</f>
        <v>0</v>
      </c>
      <c r="N58" s="73"/>
      <c r="R58" s="5">
        <f>R59+R60</f>
        <v>0</v>
      </c>
    </row>
    <row r="59" spans="1:18" x14ac:dyDescent="0.2">
      <c r="A59" s="8"/>
      <c r="B59" s="8" t="s">
        <v>841</v>
      </c>
      <c r="C59" s="217">
        <f>26763-26763</f>
        <v>0</v>
      </c>
      <c r="D59" s="13">
        <v>26763</v>
      </c>
      <c r="E59" s="533">
        <f t="shared" si="0"/>
        <v>-26763</v>
      </c>
      <c r="F59" s="13">
        <f>26763-26763</f>
        <v>0</v>
      </c>
      <c r="G59" s="533">
        <f t="shared" si="1"/>
        <v>0</v>
      </c>
      <c r="H59" s="13">
        <f>26763-26763</f>
        <v>0</v>
      </c>
      <c r="I59" s="533">
        <f t="shared" si="1"/>
        <v>0</v>
      </c>
      <c r="J59" s="13">
        <f>26763-26763</f>
        <v>0</v>
      </c>
      <c r="K59" s="533">
        <f t="shared" si="1"/>
        <v>0</v>
      </c>
      <c r="L59" s="13">
        <f>26763-26763</f>
        <v>0</v>
      </c>
      <c r="M59" s="13">
        <f>26763-26763</f>
        <v>0</v>
      </c>
      <c r="N59" s="73"/>
      <c r="R59" s="73">
        <f>26762800-26762800</f>
        <v>0</v>
      </c>
    </row>
    <row r="60" spans="1:18" x14ac:dyDescent="0.2">
      <c r="A60" s="8"/>
      <c r="B60" s="8" t="s">
        <v>1094</v>
      </c>
      <c r="C60" s="217">
        <f>3990-3990</f>
        <v>0</v>
      </c>
      <c r="D60" s="13">
        <f>4298+877+3491</f>
        <v>8666</v>
      </c>
      <c r="E60" s="533">
        <f t="shared" si="0"/>
        <v>-8666</v>
      </c>
      <c r="F60" s="13">
        <f>(4298+877+3491)-8666</f>
        <v>0</v>
      </c>
      <c r="G60" s="533">
        <f t="shared" si="1"/>
        <v>0</v>
      </c>
      <c r="H60" s="13">
        <f>3990-3990</f>
        <v>0</v>
      </c>
      <c r="I60" s="533">
        <f t="shared" si="1"/>
        <v>0</v>
      </c>
      <c r="J60" s="13">
        <f>3990-3990</f>
        <v>0</v>
      </c>
      <c r="K60" s="533">
        <f t="shared" si="1"/>
        <v>0</v>
      </c>
      <c r="L60" s="13">
        <f>3990-3990</f>
        <v>0</v>
      </c>
      <c r="M60" s="13">
        <f>3990-3990</f>
        <v>0</v>
      </c>
      <c r="N60" s="73"/>
      <c r="R60" s="73">
        <f>4298724+876247+3491055-8666026</f>
        <v>0</v>
      </c>
    </row>
    <row r="61" spans="1:18" ht="13.5" customHeight="1" x14ac:dyDescent="0.25">
      <c r="A61" s="8" t="s">
        <v>204</v>
      </c>
      <c r="B61" s="560" t="s">
        <v>1059</v>
      </c>
      <c r="C61" s="545">
        <v>0</v>
      </c>
      <c r="D61" s="5">
        <f>2295</f>
        <v>2295</v>
      </c>
      <c r="E61" s="533">
        <f t="shared" si="0"/>
        <v>0</v>
      </c>
      <c r="F61" s="5">
        <f>2295</f>
        <v>2295</v>
      </c>
      <c r="G61" s="533">
        <f t="shared" si="1"/>
        <v>-2295</v>
      </c>
      <c r="H61" s="5">
        <v>0</v>
      </c>
      <c r="I61" s="533">
        <f t="shared" si="1"/>
        <v>0</v>
      </c>
      <c r="J61" s="5">
        <v>0</v>
      </c>
      <c r="K61" s="533">
        <f t="shared" si="1"/>
        <v>0</v>
      </c>
      <c r="L61" s="5">
        <v>0</v>
      </c>
      <c r="M61" s="5">
        <v>0</v>
      </c>
      <c r="N61" s="73"/>
      <c r="P61" s="73"/>
      <c r="Q61" s="73"/>
      <c r="R61" s="73">
        <f>2295000</f>
        <v>2295000</v>
      </c>
    </row>
    <row r="62" spans="1:18" ht="15" x14ac:dyDescent="0.25">
      <c r="A62" s="8" t="s">
        <v>160</v>
      </c>
      <c r="B62" s="560" t="s">
        <v>534</v>
      </c>
      <c r="C62" s="540">
        <f>SUM(C63:C75)</f>
        <v>52451</v>
      </c>
      <c r="D62" s="36">
        <f>SUM(D63:D75)</f>
        <v>69781</v>
      </c>
      <c r="E62" s="533">
        <f t="shared" si="0"/>
        <v>-19</v>
      </c>
      <c r="F62" s="36">
        <f>SUM(F63:F75)</f>
        <v>69762</v>
      </c>
      <c r="G62" s="533">
        <f t="shared" si="1"/>
        <v>-69762</v>
      </c>
      <c r="H62" s="36">
        <f>SUM(H63:H75)</f>
        <v>0</v>
      </c>
      <c r="I62" s="533">
        <f t="shared" si="1"/>
        <v>0</v>
      </c>
      <c r="J62" s="36">
        <f>SUM(J63:J75)</f>
        <v>0</v>
      </c>
      <c r="K62" s="533">
        <f t="shared" si="1"/>
        <v>0</v>
      </c>
      <c r="L62" s="36">
        <f>SUM(L63:L75)</f>
        <v>0</v>
      </c>
      <c r="M62" s="36">
        <f>SUM(M63:M75)</f>
        <v>0</v>
      </c>
      <c r="N62" s="73"/>
      <c r="R62" s="36">
        <f>SUM(R63:R75)</f>
        <v>71333522</v>
      </c>
    </row>
    <row r="63" spans="1:18" ht="15" x14ac:dyDescent="0.25">
      <c r="A63" s="8" t="s">
        <v>1152</v>
      </c>
      <c r="B63" s="561" t="s">
        <v>1153</v>
      </c>
      <c r="C63" s="217">
        <v>0</v>
      </c>
      <c r="D63" s="75">
        <v>0</v>
      </c>
      <c r="E63" s="533">
        <f t="shared" si="0"/>
        <v>1553</v>
      </c>
      <c r="F63" s="75">
        <v>1553</v>
      </c>
      <c r="G63" s="533">
        <f t="shared" si="1"/>
        <v>-1553</v>
      </c>
      <c r="H63" s="75">
        <v>0</v>
      </c>
      <c r="I63" s="533">
        <f t="shared" si="1"/>
        <v>0</v>
      </c>
      <c r="J63" s="75">
        <v>0</v>
      </c>
      <c r="K63" s="533">
        <f t="shared" si="1"/>
        <v>0</v>
      </c>
      <c r="L63" s="75">
        <v>0</v>
      </c>
      <c r="M63" s="75">
        <v>0</v>
      </c>
      <c r="N63" s="73"/>
      <c r="R63" s="73">
        <v>1553277</v>
      </c>
    </row>
    <row r="64" spans="1:18" ht="15" x14ac:dyDescent="0.25">
      <c r="A64" s="8" t="s">
        <v>115</v>
      </c>
      <c r="B64" s="561" t="s">
        <v>1058</v>
      </c>
      <c r="C64" s="553">
        <v>921</v>
      </c>
      <c r="D64" s="75">
        <f>2000</f>
        <v>2000</v>
      </c>
      <c r="E64" s="533">
        <f t="shared" si="0"/>
        <v>0</v>
      </c>
      <c r="F64" s="75">
        <f>2000</f>
        <v>2000</v>
      </c>
      <c r="G64" s="533">
        <f t="shared" si="1"/>
        <v>-2000</v>
      </c>
      <c r="H64" s="75">
        <v>0</v>
      </c>
      <c r="I64" s="533">
        <f t="shared" si="1"/>
        <v>0</v>
      </c>
      <c r="J64" s="75">
        <v>0</v>
      </c>
      <c r="K64" s="533">
        <f t="shared" si="1"/>
        <v>0</v>
      </c>
      <c r="L64" s="75">
        <v>0</v>
      </c>
      <c r="M64" s="75">
        <v>0</v>
      </c>
      <c r="N64" s="73"/>
      <c r="R64" s="73">
        <f>2000000-147-277</f>
        <v>1999576</v>
      </c>
    </row>
    <row r="65" spans="1:18" ht="15" x14ac:dyDescent="0.25">
      <c r="A65" s="8" t="s">
        <v>115</v>
      </c>
      <c r="B65" s="561" t="s">
        <v>1105</v>
      </c>
      <c r="C65" s="553">
        <v>0</v>
      </c>
      <c r="D65" s="75">
        <v>2560</v>
      </c>
      <c r="E65" s="533">
        <f t="shared" si="0"/>
        <v>0</v>
      </c>
      <c r="F65" s="75">
        <v>2560</v>
      </c>
      <c r="G65" s="533"/>
      <c r="H65" s="75"/>
      <c r="I65" s="533"/>
      <c r="J65" s="75"/>
      <c r="K65" s="533"/>
      <c r="L65" s="75"/>
      <c r="M65" s="75"/>
      <c r="N65" s="73"/>
      <c r="R65" s="73">
        <v>2560000</v>
      </c>
    </row>
    <row r="66" spans="1:18" ht="15" x14ac:dyDescent="0.25">
      <c r="A66" s="8" t="s">
        <v>115</v>
      </c>
      <c r="B66" s="561" t="s">
        <v>1114</v>
      </c>
      <c r="C66" s="553">
        <v>0</v>
      </c>
      <c r="D66" s="75">
        <v>6721</v>
      </c>
      <c r="E66" s="533">
        <f t="shared" si="0"/>
        <v>0</v>
      </c>
      <c r="F66" s="75">
        <v>6721</v>
      </c>
      <c r="G66" s="533"/>
      <c r="H66" s="75"/>
      <c r="I66" s="533"/>
      <c r="J66" s="75"/>
      <c r="K66" s="533"/>
      <c r="L66" s="75"/>
      <c r="M66" s="75"/>
      <c r="N66" s="73"/>
      <c r="R66" s="73">
        <v>6720669</v>
      </c>
    </row>
    <row r="67" spans="1:18" ht="15" x14ac:dyDescent="0.25">
      <c r="A67" s="8" t="s">
        <v>115</v>
      </c>
      <c r="B67" s="561" t="s">
        <v>714</v>
      </c>
      <c r="C67" s="553">
        <f>6000+6000+5000+27500</f>
        <v>44500</v>
      </c>
      <c r="D67" s="75">
        <f>6000+6000+5000+27500</f>
        <v>44500</v>
      </c>
      <c r="E67" s="533">
        <f t="shared" si="0"/>
        <v>0</v>
      </c>
      <c r="F67" s="75">
        <f>6000+6000+5000+27500</f>
        <v>44500</v>
      </c>
      <c r="G67" s="533">
        <f t="shared" si="1"/>
        <v>-44500</v>
      </c>
      <c r="H67" s="75">
        <v>0</v>
      </c>
      <c r="I67" s="533">
        <f t="shared" si="1"/>
        <v>0</v>
      </c>
      <c r="J67" s="75">
        <v>0</v>
      </c>
      <c r="K67" s="533">
        <f t="shared" si="1"/>
        <v>0</v>
      </c>
      <c r="L67" s="75">
        <v>0</v>
      </c>
      <c r="M67" s="75">
        <v>0</v>
      </c>
      <c r="N67" s="73"/>
      <c r="R67" s="73">
        <v>44500000</v>
      </c>
    </row>
    <row r="68" spans="1:18" ht="15" x14ac:dyDescent="0.25">
      <c r="A68" s="8" t="s">
        <v>115</v>
      </c>
      <c r="B68" s="561" t="s">
        <v>540</v>
      </c>
      <c r="C68" s="553">
        <v>5000</v>
      </c>
      <c r="D68" s="75">
        <v>5000</v>
      </c>
      <c r="E68" s="533">
        <f t="shared" si="0"/>
        <v>0</v>
      </c>
      <c r="F68" s="75">
        <v>5000</v>
      </c>
      <c r="G68" s="533">
        <f t="shared" si="1"/>
        <v>-5000</v>
      </c>
      <c r="H68" s="75">
        <v>0</v>
      </c>
      <c r="I68" s="533">
        <f t="shared" si="1"/>
        <v>0</v>
      </c>
      <c r="J68" s="75">
        <v>0</v>
      </c>
      <c r="K68" s="533">
        <f t="shared" si="1"/>
        <v>0</v>
      </c>
      <c r="L68" s="75">
        <v>0</v>
      </c>
      <c r="M68" s="75">
        <v>0</v>
      </c>
      <c r="N68" s="73"/>
      <c r="R68" s="73">
        <v>5000000</v>
      </c>
    </row>
    <row r="69" spans="1:18" ht="15" x14ac:dyDescent="0.25">
      <c r="A69" s="8" t="s">
        <v>115</v>
      </c>
      <c r="B69" s="561" t="s">
        <v>1043</v>
      </c>
      <c r="C69" s="553">
        <v>2030</v>
      </c>
      <c r="D69" s="75">
        <v>9000</v>
      </c>
      <c r="E69" s="533">
        <f t="shared" si="0"/>
        <v>-1572</v>
      </c>
      <c r="F69" s="75">
        <f>9000-1572</f>
        <v>7428</v>
      </c>
      <c r="G69" s="533">
        <f t="shared" ref="G69" si="2">H69-F69</f>
        <v>-7428</v>
      </c>
      <c r="H69" s="75">
        <v>0</v>
      </c>
      <c r="I69" s="533">
        <f t="shared" ref="I69" si="3">J69-H69</f>
        <v>0</v>
      </c>
      <c r="J69" s="75">
        <v>0</v>
      </c>
      <c r="K69" s="533">
        <f t="shared" ref="K69" si="4">L69-J69</f>
        <v>0</v>
      </c>
      <c r="L69" s="75">
        <v>0</v>
      </c>
      <c r="M69" s="75">
        <v>0</v>
      </c>
      <c r="N69" s="73"/>
      <c r="R69" s="73">
        <v>9000000</v>
      </c>
    </row>
    <row r="70" spans="1:18" ht="15" hidden="1" x14ac:dyDescent="0.25">
      <c r="A70" s="8"/>
      <c r="B70" s="561"/>
      <c r="C70" s="553"/>
      <c r="D70" s="75"/>
      <c r="E70" s="533">
        <f t="shared" si="0"/>
        <v>0</v>
      </c>
      <c r="F70" s="75"/>
      <c r="G70" s="533">
        <f t="shared" si="1"/>
        <v>0</v>
      </c>
      <c r="H70" s="75">
        <v>0</v>
      </c>
      <c r="I70" s="533">
        <f t="shared" si="1"/>
        <v>0</v>
      </c>
      <c r="J70" s="75">
        <v>0</v>
      </c>
      <c r="K70" s="533">
        <f t="shared" si="1"/>
        <v>0</v>
      </c>
      <c r="L70" s="75">
        <v>0</v>
      </c>
      <c r="M70" s="75">
        <v>0</v>
      </c>
      <c r="N70" s="73"/>
      <c r="R70" s="73"/>
    </row>
    <row r="71" spans="1:18" hidden="1" x14ac:dyDescent="0.2">
      <c r="A71" s="8" t="s">
        <v>115</v>
      </c>
      <c r="B71" s="8"/>
      <c r="C71" s="217"/>
      <c r="D71" s="75"/>
      <c r="E71" s="533">
        <f t="shared" si="0"/>
        <v>0</v>
      </c>
      <c r="F71" s="75"/>
      <c r="G71" s="533">
        <f t="shared" si="1"/>
        <v>0</v>
      </c>
      <c r="H71" s="75"/>
      <c r="I71" s="533">
        <f t="shared" si="1"/>
        <v>0</v>
      </c>
      <c r="J71" s="75"/>
      <c r="K71" s="533">
        <f t="shared" si="1"/>
        <v>0</v>
      </c>
      <c r="L71" s="75"/>
      <c r="M71" s="75"/>
      <c r="N71" s="73"/>
    </row>
    <row r="72" spans="1:18" hidden="1" x14ac:dyDescent="0.2">
      <c r="A72" s="8" t="s">
        <v>115</v>
      </c>
      <c r="B72" s="8" t="s">
        <v>713</v>
      </c>
      <c r="C72" s="217"/>
      <c r="D72" s="75"/>
      <c r="E72" s="533">
        <f t="shared" si="0"/>
        <v>0</v>
      </c>
      <c r="F72" s="75"/>
      <c r="G72" s="533">
        <f t="shared" si="1"/>
        <v>0</v>
      </c>
      <c r="H72" s="75"/>
      <c r="I72" s="533">
        <f t="shared" si="1"/>
        <v>0</v>
      </c>
      <c r="J72" s="75"/>
      <c r="K72" s="533">
        <f t="shared" si="1"/>
        <v>0</v>
      </c>
      <c r="L72" s="75"/>
      <c r="M72" s="75"/>
      <c r="N72" s="73"/>
    </row>
    <row r="73" spans="1:18" hidden="1" x14ac:dyDescent="0.2">
      <c r="A73" s="8" t="s">
        <v>115</v>
      </c>
      <c r="B73" s="8" t="s">
        <v>616</v>
      </c>
      <c r="C73" s="217"/>
      <c r="D73" s="75"/>
      <c r="E73" s="533">
        <f t="shared" ref="E73:E122" si="5">F73-D73</f>
        <v>0</v>
      </c>
      <c r="F73" s="75"/>
      <c r="G73" s="533">
        <f t="shared" si="1"/>
        <v>0</v>
      </c>
      <c r="H73" s="75"/>
      <c r="I73" s="533">
        <f t="shared" si="1"/>
        <v>0</v>
      </c>
      <c r="J73" s="75"/>
      <c r="K73" s="533">
        <f t="shared" si="1"/>
        <v>0</v>
      </c>
      <c r="L73" s="75"/>
      <c r="M73" s="75"/>
      <c r="N73" s="73"/>
    </row>
    <row r="74" spans="1:18" hidden="1" x14ac:dyDescent="0.2">
      <c r="A74" s="8" t="s">
        <v>115</v>
      </c>
      <c r="B74" s="8" t="s">
        <v>609</v>
      </c>
      <c r="C74" s="217"/>
      <c r="D74" s="37"/>
      <c r="E74" s="533">
        <f t="shared" si="5"/>
        <v>0</v>
      </c>
      <c r="F74" s="37"/>
      <c r="G74" s="533">
        <f t="shared" si="1"/>
        <v>0</v>
      </c>
      <c r="H74" s="37"/>
      <c r="I74" s="533">
        <f t="shared" si="1"/>
        <v>0</v>
      </c>
      <c r="J74" s="37"/>
      <c r="K74" s="533">
        <f t="shared" si="1"/>
        <v>0</v>
      </c>
      <c r="L74" s="37"/>
      <c r="M74" s="37"/>
      <c r="N74" s="73"/>
    </row>
    <row r="75" spans="1:18" hidden="1" x14ac:dyDescent="0.2">
      <c r="A75" s="8" t="s">
        <v>115</v>
      </c>
      <c r="B75" s="8" t="s">
        <v>655</v>
      </c>
      <c r="C75" s="217"/>
      <c r="D75" s="37"/>
      <c r="E75" s="533">
        <f t="shared" si="5"/>
        <v>0</v>
      </c>
      <c r="F75" s="37"/>
      <c r="G75" s="533">
        <f t="shared" ref="G75:K113" si="6">H75-F75</f>
        <v>0</v>
      </c>
      <c r="H75" s="37"/>
      <c r="I75" s="533">
        <f t="shared" si="6"/>
        <v>0</v>
      </c>
      <c r="J75" s="37"/>
      <c r="K75" s="533">
        <f t="shared" si="6"/>
        <v>0</v>
      </c>
      <c r="L75" s="37"/>
      <c r="M75" s="37"/>
      <c r="N75" s="73"/>
    </row>
    <row r="76" spans="1:18" ht="18" customHeight="1" x14ac:dyDescent="0.25">
      <c r="A76" s="14" t="s">
        <v>130</v>
      </c>
      <c r="B76" s="18" t="s">
        <v>217</v>
      </c>
      <c r="C76" s="540">
        <f>SUM(C80+C84+C88)</f>
        <v>738279</v>
      </c>
      <c r="D76" s="150">
        <f>SUM(D80+D84+D88)</f>
        <v>875000</v>
      </c>
      <c r="E76" s="533">
        <f t="shared" si="5"/>
        <v>0</v>
      </c>
      <c r="F76" s="150">
        <f>SUM(F80+F84+F88)</f>
        <v>875000</v>
      </c>
      <c r="G76" s="533">
        <f t="shared" si="6"/>
        <v>-875000</v>
      </c>
      <c r="H76" s="150">
        <f>SUM(H80+H84+H88)</f>
        <v>0</v>
      </c>
      <c r="I76" s="533">
        <f t="shared" si="6"/>
        <v>0</v>
      </c>
      <c r="J76" s="150">
        <f>SUM(J80+J84+J88)</f>
        <v>0</v>
      </c>
      <c r="K76" s="533">
        <f t="shared" si="6"/>
        <v>0</v>
      </c>
      <c r="L76" s="150">
        <f>SUM(L80+L84+L88)</f>
        <v>0</v>
      </c>
      <c r="M76" s="150">
        <f>SUM(M80+M84+M88)</f>
        <v>0</v>
      </c>
      <c r="N76" s="73"/>
    </row>
    <row r="77" spans="1:18" ht="13.5" hidden="1" customHeight="1" x14ac:dyDescent="0.2">
      <c r="A77" s="8" t="s">
        <v>131</v>
      </c>
      <c r="B77" s="8" t="s">
        <v>137</v>
      </c>
      <c r="C77" s="186"/>
      <c r="D77" s="11"/>
      <c r="E77" s="533">
        <f t="shared" si="5"/>
        <v>0</v>
      </c>
      <c r="F77" s="11"/>
      <c r="G77" s="533">
        <f t="shared" si="6"/>
        <v>0</v>
      </c>
      <c r="H77" s="11"/>
      <c r="I77" s="533">
        <f t="shared" si="6"/>
        <v>0</v>
      </c>
      <c r="J77" s="11"/>
      <c r="K77" s="533">
        <f t="shared" si="6"/>
        <v>0</v>
      </c>
      <c r="L77" s="11"/>
      <c r="M77" s="11"/>
      <c r="N77" s="73"/>
    </row>
    <row r="78" spans="1:18" ht="13.5" hidden="1" customHeight="1" x14ac:dyDescent="0.2">
      <c r="A78" s="8" t="s">
        <v>132</v>
      </c>
      <c r="B78" s="8" t="s">
        <v>138</v>
      </c>
      <c r="C78" s="186"/>
      <c r="D78" s="11"/>
      <c r="E78" s="533">
        <f t="shared" si="5"/>
        <v>0</v>
      </c>
      <c r="F78" s="11"/>
      <c r="G78" s="533">
        <f t="shared" si="6"/>
        <v>0</v>
      </c>
      <c r="H78" s="11"/>
      <c r="I78" s="533">
        <f t="shared" si="6"/>
        <v>0</v>
      </c>
      <c r="J78" s="11"/>
      <c r="K78" s="533">
        <f t="shared" si="6"/>
        <v>0</v>
      </c>
      <c r="L78" s="11"/>
      <c r="M78" s="11"/>
      <c r="N78" s="73"/>
    </row>
    <row r="79" spans="1:18" ht="13.5" hidden="1" customHeight="1" x14ac:dyDescent="0.2">
      <c r="A79" s="8" t="s">
        <v>133</v>
      </c>
      <c r="B79" s="19" t="s">
        <v>139</v>
      </c>
      <c r="C79" s="186"/>
      <c r="D79" s="11"/>
      <c r="E79" s="533">
        <f t="shared" si="5"/>
        <v>0</v>
      </c>
      <c r="F79" s="11"/>
      <c r="G79" s="533">
        <f t="shared" si="6"/>
        <v>0</v>
      </c>
      <c r="H79" s="11"/>
      <c r="I79" s="533">
        <f t="shared" si="6"/>
        <v>0</v>
      </c>
      <c r="J79" s="11"/>
      <c r="K79" s="533">
        <f t="shared" si="6"/>
        <v>0</v>
      </c>
      <c r="L79" s="11"/>
      <c r="M79" s="11"/>
      <c r="N79" s="73"/>
    </row>
    <row r="80" spans="1:18" ht="13.5" customHeight="1" x14ac:dyDescent="0.25">
      <c r="A80" s="8" t="s">
        <v>134</v>
      </c>
      <c r="B80" s="561" t="s">
        <v>909</v>
      </c>
      <c r="C80" s="546">
        <f>SUM(C81:C83)</f>
        <v>545755</v>
      </c>
      <c r="D80" s="149">
        <f>SUM(D81:D83)</f>
        <v>573300</v>
      </c>
      <c r="E80" s="533">
        <f t="shared" si="5"/>
        <v>0</v>
      </c>
      <c r="F80" s="149">
        <f>SUM(F81:F83)</f>
        <v>573300</v>
      </c>
      <c r="G80" s="533">
        <f t="shared" si="6"/>
        <v>-573300</v>
      </c>
      <c r="H80" s="149">
        <f>SUM(H81:H83)</f>
        <v>0</v>
      </c>
      <c r="I80" s="533">
        <f t="shared" si="6"/>
        <v>0</v>
      </c>
      <c r="J80" s="149">
        <f>SUM(J81:J83)</f>
        <v>0</v>
      </c>
      <c r="K80" s="533">
        <f t="shared" si="6"/>
        <v>0</v>
      </c>
      <c r="L80" s="149">
        <f>SUM(L81:L83)</f>
        <v>0</v>
      </c>
      <c r="M80" s="149">
        <f>SUM(M81:M83)</f>
        <v>0</v>
      </c>
      <c r="N80" s="73"/>
    </row>
    <row r="81" spans="1:18" ht="13.5" customHeight="1" x14ac:dyDescent="0.2">
      <c r="A81" s="8"/>
      <c r="B81" s="8" t="s">
        <v>397</v>
      </c>
      <c r="C81" s="554">
        <v>446493</v>
      </c>
      <c r="D81" s="705">
        <f>460000+30000-12500</f>
        <v>477500</v>
      </c>
      <c r="E81" s="533">
        <f t="shared" si="5"/>
        <v>0</v>
      </c>
      <c r="F81" s="705">
        <f>460000+30000-12500</f>
        <v>477500</v>
      </c>
      <c r="G81" s="533">
        <f t="shared" si="6"/>
        <v>-477500</v>
      </c>
      <c r="H81" s="37">
        <v>0</v>
      </c>
      <c r="I81" s="533">
        <f t="shared" si="6"/>
        <v>0</v>
      </c>
      <c r="J81" s="37">
        <v>0</v>
      </c>
      <c r="K81" s="533">
        <f t="shared" si="6"/>
        <v>0</v>
      </c>
      <c r="L81" s="37">
        <v>0</v>
      </c>
      <c r="M81" s="37">
        <v>0</v>
      </c>
      <c r="N81" s="73"/>
    </row>
    <row r="82" spans="1:18" ht="13.5" customHeight="1" x14ac:dyDescent="0.2">
      <c r="A82" s="8"/>
      <c r="B82" s="8" t="s">
        <v>431</v>
      </c>
      <c r="C82" s="554">
        <v>8569</v>
      </c>
      <c r="D82" s="37">
        <v>800</v>
      </c>
      <c r="E82" s="533">
        <f t="shared" si="5"/>
        <v>0</v>
      </c>
      <c r="F82" s="37">
        <v>800</v>
      </c>
      <c r="G82" s="533">
        <f t="shared" si="6"/>
        <v>-800</v>
      </c>
      <c r="H82" s="37">
        <v>0</v>
      </c>
      <c r="I82" s="533">
        <f t="shared" si="6"/>
        <v>0</v>
      </c>
      <c r="J82" s="37">
        <v>0</v>
      </c>
      <c r="K82" s="533">
        <f t="shared" si="6"/>
        <v>0</v>
      </c>
      <c r="L82" s="37">
        <v>0</v>
      </c>
      <c r="M82" s="37">
        <v>0</v>
      </c>
      <c r="N82" s="73"/>
    </row>
    <row r="83" spans="1:18" ht="13.5" customHeight="1" x14ac:dyDescent="0.2">
      <c r="A83" s="8"/>
      <c r="B83" s="8" t="s">
        <v>432</v>
      </c>
      <c r="C83" s="554">
        <v>90693</v>
      </c>
      <c r="D83" s="37">
        <v>95000</v>
      </c>
      <c r="E83" s="533">
        <f t="shared" si="5"/>
        <v>0</v>
      </c>
      <c r="F83" s="37">
        <v>95000</v>
      </c>
      <c r="G83" s="533">
        <f t="shared" si="6"/>
        <v>-95000</v>
      </c>
      <c r="H83" s="37">
        <v>0</v>
      </c>
      <c r="I83" s="533">
        <f t="shared" si="6"/>
        <v>0</v>
      </c>
      <c r="J83" s="37">
        <v>0</v>
      </c>
      <c r="K83" s="533">
        <f t="shared" si="6"/>
        <v>0</v>
      </c>
      <c r="L83" s="37">
        <v>0</v>
      </c>
      <c r="M83" s="37">
        <v>0</v>
      </c>
      <c r="N83" s="73"/>
    </row>
    <row r="84" spans="1:18" s="48" customFormat="1" ht="13.5" customHeight="1" x14ac:dyDescent="0.25">
      <c r="A84" s="8" t="s">
        <v>135</v>
      </c>
      <c r="B84" s="561" t="s">
        <v>218</v>
      </c>
      <c r="C84" s="6">
        <f>SUM(C85:C87)</f>
        <v>180399</v>
      </c>
      <c r="D84" s="6">
        <f>SUM(D85:D87)</f>
        <v>219400</v>
      </c>
      <c r="E84" s="533">
        <f t="shared" si="5"/>
        <v>20000</v>
      </c>
      <c r="F84" s="6">
        <f>SUM(F85:F87)</f>
        <v>239400</v>
      </c>
      <c r="G84" s="533">
        <f t="shared" si="6"/>
        <v>-239400</v>
      </c>
      <c r="H84" s="6">
        <f>SUM(H85:H87)</f>
        <v>0</v>
      </c>
      <c r="I84" s="533">
        <f t="shared" si="6"/>
        <v>0</v>
      </c>
      <c r="J84" s="6">
        <f>SUM(J85:J87)</f>
        <v>0</v>
      </c>
      <c r="K84" s="533">
        <f t="shared" si="6"/>
        <v>0</v>
      </c>
      <c r="L84" s="6">
        <f>SUM(L85:L87)</f>
        <v>0</v>
      </c>
      <c r="M84" s="6">
        <f>SUM(M85:M87)</f>
        <v>0</v>
      </c>
      <c r="N84" s="73"/>
    </row>
    <row r="85" spans="1:18" s="48" customFormat="1" ht="13.5" customHeight="1" x14ac:dyDescent="0.2">
      <c r="A85" s="8"/>
      <c r="B85" s="8" t="s">
        <v>219</v>
      </c>
      <c r="C85" s="186">
        <v>136619</v>
      </c>
      <c r="D85" s="11">
        <v>155000</v>
      </c>
      <c r="E85" s="533">
        <f t="shared" si="5"/>
        <v>20000</v>
      </c>
      <c r="F85" s="11">
        <f>155000+20000</f>
        <v>175000</v>
      </c>
      <c r="G85" s="533">
        <f t="shared" si="6"/>
        <v>-175000</v>
      </c>
      <c r="H85" s="11">
        <v>0</v>
      </c>
      <c r="I85" s="533">
        <f t="shared" si="6"/>
        <v>0</v>
      </c>
      <c r="J85" s="11">
        <v>0</v>
      </c>
      <c r="K85" s="533">
        <f t="shared" si="6"/>
        <v>0</v>
      </c>
      <c r="L85" s="11">
        <v>0</v>
      </c>
      <c r="M85" s="11">
        <v>0</v>
      </c>
      <c r="N85" s="73"/>
    </row>
    <row r="86" spans="1:18" s="48" customFormat="1" ht="13.5" hidden="1" customHeight="1" x14ac:dyDescent="0.2">
      <c r="A86" s="8"/>
      <c r="B86" s="143" t="s">
        <v>398</v>
      </c>
      <c r="C86" s="186"/>
      <c r="D86" s="11"/>
      <c r="E86" s="533">
        <f t="shared" si="5"/>
        <v>0</v>
      </c>
      <c r="F86" s="11"/>
      <c r="G86" s="533">
        <f t="shared" si="6"/>
        <v>0</v>
      </c>
      <c r="H86" s="11"/>
      <c r="I86" s="533">
        <f t="shared" si="6"/>
        <v>0</v>
      </c>
      <c r="J86" s="11"/>
      <c r="K86" s="533">
        <f t="shared" si="6"/>
        <v>0</v>
      </c>
      <c r="L86" s="11"/>
      <c r="M86" s="11"/>
      <c r="N86" s="73"/>
    </row>
    <row r="87" spans="1:18" s="48" customFormat="1" ht="13.5" customHeight="1" x14ac:dyDescent="0.2">
      <c r="A87" s="8"/>
      <c r="B87" s="8" t="s">
        <v>547</v>
      </c>
      <c r="C87" s="186">
        <v>43780</v>
      </c>
      <c r="D87" s="11">
        <v>64400</v>
      </c>
      <c r="E87" s="533">
        <f t="shared" si="5"/>
        <v>0</v>
      </c>
      <c r="F87" s="11">
        <v>64400</v>
      </c>
      <c r="G87" s="533">
        <f t="shared" si="6"/>
        <v>-64400</v>
      </c>
      <c r="H87" s="11">
        <v>0</v>
      </c>
      <c r="I87" s="533">
        <f t="shared" si="6"/>
        <v>0</v>
      </c>
      <c r="J87" s="11">
        <v>0</v>
      </c>
      <c r="K87" s="533">
        <f t="shared" si="6"/>
        <v>0</v>
      </c>
      <c r="L87" s="11">
        <v>0</v>
      </c>
      <c r="M87" s="11">
        <v>0</v>
      </c>
      <c r="N87" s="73"/>
    </row>
    <row r="88" spans="1:18" s="48" customFormat="1" ht="13.5" customHeight="1" x14ac:dyDescent="0.25">
      <c r="A88" s="8" t="s">
        <v>136</v>
      </c>
      <c r="B88" s="562" t="s">
        <v>1036</v>
      </c>
      <c r="C88" s="540">
        <f>SUM(C89:C92)</f>
        <v>12125</v>
      </c>
      <c r="D88" s="411">
        <f>SUM(D89:D92)</f>
        <v>82300</v>
      </c>
      <c r="E88" s="533">
        <f t="shared" si="5"/>
        <v>-20000</v>
      </c>
      <c r="F88" s="411">
        <f>SUM(F89:F92)</f>
        <v>62300</v>
      </c>
      <c r="G88" s="533">
        <f t="shared" si="6"/>
        <v>-62300</v>
      </c>
      <c r="H88" s="411">
        <v>0</v>
      </c>
      <c r="I88" s="533">
        <f t="shared" si="6"/>
        <v>0</v>
      </c>
      <c r="J88" s="411">
        <v>0</v>
      </c>
      <c r="K88" s="533">
        <f t="shared" si="6"/>
        <v>0</v>
      </c>
      <c r="L88" s="411">
        <v>0</v>
      </c>
      <c r="M88" s="411">
        <v>0</v>
      </c>
      <c r="N88" s="73"/>
      <c r="R88" s="48">
        <f>106*1000*249</f>
        <v>26394000</v>
      </c>
    </row>
    <row r="89" spans="1:18" s="48" customFormat="1" ht="13.5" customHeight="1" x14ac:dyDescent="0.25">
      <c r="A89" s="14"/>
      <c r="B89" s="562" t="s">
        <v>1032</v>
      </c>
      <c r="C89" s="699">
        <v>6498</v>
      </c>
      <c r="D89" s="705">
        <v>6000</v>
      </c>
      <c r="E89" s="533">
        <f t="shared" si="5"/>
        <v>0</v>
      </c>
      <c r="F89" s="705">
        <v>6000</v>
      </c>
      <c r="G89" s="533"/>
      <c r="H89" s="411"/>
      <c r="I89" s="533"/>
      <c r="J89" s="411"/>
      <c r="K89" s="533"/>
      <c r="L89" s="411"/>
      <c r="M89" s="411"/>
      <c r="N89" s="73"/>
      <c r="R89" s="48">
        <f>27394000/249/106</f>
        <v>1037.8873986512085</v>
      </c>
    </row>
    <row r="90" spans="1:18" s="48" customFormat="1" ht="13.5" customHeight="1" x14ac:dyDescent="0.25">
      <c r="A90" s="14"/>
      <c r="B90" s="562" t="s">
        <v>1033</v>
      </c>
      <c r="C90" s="699">
        <v>4347</v>
      </c>
      <c r="D90" s="705">
        <v>5000</v>
      </c>
      <c r="E90" s="533">
        <f t="shared" si="5"/>
        <v>0</v>
      </c>
      <c r="F90" s="705">
        <v>5000</v>
      </c>
      <c r="G90" s="533"/>
      <c r="H90" s="411"/>
      <c r="I90" s="533"/>
      <c r="J90" s="411"/>
      <c r="K90" s="533"/>
      <c r="L90" s="411"/>
      <c r="M90" s="411"/>
      <c r="N90" s="73"/>
    </row>
    <row r="91" spans="1:18" s="48" customFormat="1" ht="13.5" customHeight="1" x14ac:dyDescent="0.25">
      <c r="A91" s="14"/>
      <c r="B91" s="562" t="s">
        <v>1034</v>
      </c>
      <c r="C91" s="699">
        <v>0</v>
      </c>
      <c r="D91" s="705">
        <v>70000</v>
      </c>
      <c r="E91" s="533">
        <f t="shared" si="5"/>
        <v>-20000</v>
      </c>
      <c r="F91" s="705">
        <f>70000-20000</f>
        <v>50000</v>
      </c>
      <c r="G91" s="533"/>
      <c r="H91" s="411"/>
      <c r="I91" s="533"/>
      <c r="J91" s="411"/>
      <c r="K91" s="533"/>
      <c r="L91" s="411"/>
      <c r="M91" s="411"/>
      <c r="N91" s="73"/>
    </row>
    <row r="92" spans="1:18" s="48" customFormat="1" ht="13.5" customHeight="1" x14ac:dyDescent="0.25">
      <c r="A92" s="14"/>
      <c r="B92" s="562" t="s">
        <v>1037</v>
      </c>
      <c r="C92" s="699">
        <v>1280</v>
      </c>
      <c r="D92" s="705">
        <v>1300</v>
      </c>
      <c r="E92" s="533">
        <f t="shared" si="5"/>
        <v>0</v>
      </c>
      <c r="F92" s="705">
        <v>1300</v>
      </c>
      <c r="G92" s="533"/>
      <c r="H92" s="411"/>
      <c r="I92" s="533"/>
      <c r="J92" s="411"/>
      <c r="K92" s="533"/>
      <c r="L92" s="411"/>
      <c r="M92" s="411"/>
      <c r="N92" s="73"/>
    </row>
    <row r="93" spans="1:18" s="48" customFormat="1" ht="18" customHeight="1" x14ac:dyDescent="0.25">
      <c r="A93" s="14" t="s">
        <v>141</v>
      </c>
      <c r="B93" s="18" t="s">
        <v>220</v>
      </c>
      <c r="C93" s="41">
        <f>SUM(C94:C104)</f>
        <v>52464</v>
      </c>
      <c r="D93" s="41">
        <f>SUM(D94:D104)</f>
        <v>217196</v>
      </c>
      <c r="E93" s="533">
        <f t="shared" si="5"/>
        <v>-141387</v>
      </c>
      <c r="F93" s="41">
        <f>SUM(F94:F104)</f>
        <v>75809</v>
      </c>
      <c r="G93" s="533">
        <f t="shared" si="6"/>
        <v>-75809</v>
      </c>
      <c r="H93" s="41">
        <f>SUM(H94:H104)</f>
        <v>0</v>
      </c>
      <c r="I93" s="533">
        <f t="shared" si="6"/>
        <v>0</v>
      </c>
      <c r="J93" s="41">
        <f>SUM(J94:J104)</f>
        <v>0</v>
      </c>
      <c r="K93" s="533">
        <f t="shared" si="6"/>
        <v>0</v>
      </c>
      <c r="L93" s="41">
        <f>SUM(L94:L104)</f>
        <v>0</v>
      </c>
      <c r="M93" s="41">
        <f>SUM(M94:M104)</f>
        <v>0</v>
      </c>
      <c r="N93" s="73"/>
    </row>
    <row r="94" spans="1:18" ht="15" x14ac:dyDescent="0.25">
      <c r="A94" s="8" t="s">
        <v>144</v>
      </c>
      <c r="B94" s="561" t="s">
        <v>221</v>
      </c>
      <c r="C94" s="166">
        <v>0</v>
      </c>
      <c r="D94" s="412">
        <v>0</v>
      </c>
      <c r="E94" s="533">
        <f t="shared" si="5"/>
        <v>26</v>
      </c>
      <c r="F94" s="412">
        <v>26</v>
      </c>
      <c r="G94" s="533">
        <f t="shared" si="6"/>
        <v>-26</v>
      </c>
      <c r="H94" s="412">
        <v>0</v>
      </c>
      <c r="I94" s="533">
        <f t="shared" si="6"/>
        <v>0</v>
      </c>
      <c r="J94" s="412">
        <v>0</v>
      </c>
      <c r="K94" s="533">
        <f t="shared" si="6"/>
        <v>0</v>
      </c>
      <c r="L94" s="412">
        <v>0</v>
      </c>
      <c r="M94" s="412">
        <v>0</v>
      </c>
      <c r="N94" s="73"/>
    </row>
    <row r="95" spans="1:18" s="48" customFormat="1" ht="15" x14ac:dyDescent="0.25">
      <c r="A95" s="8" t="s">
        <v>145</v>
      </c>
      <c r="B95" s="561" t="s">
        <v>222</v>
      </c>
      <c r="C95" s="166">
        <v>380</v>
      </c>
      <c r="D95" s="412">
        <v>410</v>
      </c>
      <c r="E95" s="533">
        <f t="shared" si="5"/>
        <v>80</v>
      </c>
      <c r="F95" s="412">
        <f>410+80</f>
        <v>490</v>
      </c>
      <c r="G95" s="533">
        <f t="shared" si="6"/>
        <v>-490</v>
      </c>
      <c r="H95" s="412">
        <v>0</v>
      </c>
      <c r="I95" s="533">
        <f t="shared" si="6"/>
        <v>0</v>
      </c>
      <c r="J95" s="412">
        <v>0</v>
      </c>
      <c r="K95" s="533">
        <f t="shared" si="6"/>
        <v>0</v>
      </c>
      <c r="L95" s="412">
        <v>0</v>
      </c>
      <c r="M95" s="412">
        <v>0</v>
      </c>
      <c r="N95" s="73"/>
    </row>
    <row r="96" spans="1:18" s="48" customFormat="1" ht="12.75" customHeight="1" x14ac:dyDescent="0.25">
      <c r="A96" s="8" t="s">
        <v>146</v>
      </c>
      <c r="B96" s="561" t="s">
        <v>223</v>
      </c>
      <c r="C96" s="166">
        <v>9848</v>
      </c>
      <c r="D96" s="412">
        <f>7500+3500</f>
        <v>11000</v>
      </c>
      <c r="E96" s="533">
        <f t="shared" si="5"/>
        <v>4938</v>
      </c>
      <c r="F96" s="412">
        <f>(7500+3500)+2100+2838</f>
        <v>15938</v>
      </c>
      <c r="G96" s="533">
        <f t="shared" si="6"/>
        <v>-15938</v>
      </c>
      <c r="H96" s="412">
        <v>0</v>
      </c>
      <c r="I96" s="533">
        <f t="shared" si="6"/>
        <v>0</v>
      </c>
      <c r="J96" s="412">
        <v>0</v>
      </c>
      <c r="K96" s="533">
        <f t="shared" si="6"/>
        <v>0</v>
      </c>
      <c r="L96" s="412">
        <v>0</v>
      </c>
      <c r="M96" s="412">
        <v>0</v>
      </c>
      <c r="N96" s="73"/>
    </row>
    <row r="97" spans="1:29" ht="13.5" customHeight="1" x14ac:dyDescent="0.25">
      <c r="A97" s="8" t="s">
        <v>147</v>
      </c>
      <c r="B97" s="563" t="s">
        <v>224</v>
      </c>
      <c r="C97" s="166">
        <v>8095</v>
      </c>
      <c r="D97" s="412">
        <f>4880+7000+192+600</f>
        <v>12672</v>
      </c>
      <c r="E97" s="533">
        <f t="shared" si="5"/>
        <v>426</v>
      </c>
      <c r="F97" s="412">
        <f>4880+7000+192+600+426</f>
        <v>13098</v>
      </c>
      <c r="G97" s="533">
        <f t="shared" si="6"/>
        <v>-13098</v>
      </c>
      <c r="H97" s="412">
        <v>0</v>
      </c>
      <c r="I97" s="533">
        <f t="shared" si="6"/>
        <v>0</v>
      </c>
      <c r="J97" s="412">
        <v>0</v>
      </c>
      <c r="K97" s="533">
        <f t="shared" si="6"/>
        <v>0</v>
      </c>
      <c r="L97" s="412">
        <v>0</v>
      </c>
      <c r="M97" s="412">
        <v>0</v>
      </c>
      <c r="N97" s="73"/>
      <c r="O97" t="s">
        <v>1054</v>
      </c>
      <c r="T97" t="s">
        <v>1055</v>
      </c>
      <c r="U97" s="73"/>
      <c r="V97" s="73" t="s">
        <v>1056</v>
      </c>
      <c r="X97" t="s">
        <v>1057</v>
      </c>
      <c r="AB97" s="704"/>
      <c r="AC97" s="704"/>
    </row>
    <row r="98" spans="1:29" ht="13.5" customHeight="1" x14ac:dyDescent="0.25">
      <c r="A98" s="8" t="s">
        <v>148</v>
      </c>
      <c r="B98" s="563" t="s">
        <v>225</v>
      </c>
      <c r="C98" s="166">
        <v>16244</v>
      </c>
      <c r="D98" s="412">
        <v>16420</v>
      </c>
      <c r="E98" s="533">
        <f t="shared" si="5"/>
        <v>500</v>
      </c>
      <c r="F98" s="412">
        <f>16420+500</f>
        <v>16920</v>
      </c>
      <c r="G98" s="533">
        <f t="shared" si="6"/>
        <v>-16920</v>
      </c>
      <c r="H98" s="412">
        <v>0</v>
      </c>
      <c r="I98" s="533">
        <f t="shared" si="6"/>
        <v>0</v>
      </c>
      <c r="J98" s="412">
        <v>0</v>
      </c>
      <c r="K98" s="533">
        <f t="shared" si="6"/>
        <v>0</v>
      </c>
      <c r="L98" s="412">
        <v>0</v>
      </c>
      <c r="M98" s="412">
        <v>0</v>
      </c>
      <c r="N98" s="73"/>
      <c r="R98" s="702">
        <f>106*249*622.05</f>
        <v>16418387.699999999</v>
      </c>
      <c r="S98">
        <v>16420</v>
      </c>
      <c r="U98" s="73"/>
      <c r="V98" s="7"/>
      <c r="W98" s="2"/>
      <c r="X98" s="27"/>
      <c r="AB98" s="704"/>
      <c r="AC98" s="704"/>
    </row>
    <row r="99" spans="1:29" ht="15" x14ac:dyDescent="0.25">
      <c r="A99" s="8" t="s">
        <v>152</v>
      </c>
      <c r="B99" s="563" t="s">
        <v>226</v>
      </c>
      <c r="C99" s="166">
        <v>8476</v>
      </c>
      <c r="D99" s="13">
        <f>4430+1318+2835+55+0</f>
        <v>8638</v>
      </c>
      <c r="E99" s="533">
        <f t="shared" si="5"/>
        <v>1043</v>
      </c>
      <c r="F99" s="13">
        <f>(4430+135)+1318+2835+55+0+328+580</f>
        <v>9681</v>
      </c>
      <c r="G99" s="533">
        <f t="shared" si="6"/>
        <v>-9681</v>
      </c>
      <c r="H99" s="13">
        <v>0</v>
      </c>
      <c r="I99" s="533">
        <f t="shared" si="6"/>
        <v>0</v>
      </c>
      <c r="J99" s="13">
        <v>0</v>
      </c>
      <c r="K99" s="533">
        <f t="shared" si="6"/>
        <v>0</v>
      </c>
      <c r="L99" s="13">
        <v>0</v>
      </c>
      <c r="M99" s="13">
        <v>0</v>
      </c>
      <c r="N99" s="73"/>
      <c r="R99" s="356">
        <f>106*249*167.95</f>
        <v>4432872.3</v>
      </c>
      <c r="S99">
        <v>4430</v>
      </c>
      <c r="U99" s="2">
        <f>4880*0.27</f>
        <v>1317.6000000000001</v>
      </c>
      <c r="V99">
        <f>10500*0.27</f>
        <v>2835</v>
      </c>
      <c r="W99" s="7">
        <f>192*0.27</f>
        <v>51.84</v>
      </c>
      <c r="X99" s="7"/>
    </row>
    <row r="100" spans="1:29" ht="15" x14ac:dyDescent="0.25">
      <c r="A100" s="8" t="s">
        <v>154</v>
      </c>
      <c r="B100" s="563" t="s">
        <v>227</v>
      </c>
      <c r="C100" s="166">
        <v>0</v>
      </c>
      <c r="D100" s="13">
        <f>148425+10000+7120</f>
        <v>165545</v>
      </c>
      <c r="E100" s="533">
        <f t="shared" si="5"/>
        <v>-148425</v>
      </c>
      <c r="F100" s="13">
        <f>148425-148425+10000+7120</f>
        <v>17120</v>
      </c>
      <c r="G100" s="533">
        <f t="shared" si="6"/>
        <v>-17120</v>
      </c>
      <c r="H100" s="13">
        <v>0</v>
      </c>
      <c r="I100" s="533">
        <f t="shared" si="6"/>
        <v>0</v>
      </c>
      <c r="J100" s="13">
        <v>0</v>
      </c>
      <c r="K100" s="533">
        <f t="shared" si="6"/>
        <v>0</v>
      </c>
      <c r="L100" s="13">
        <v>0</v>
      </c>
      <c r="M100" s="13">
        <v>0</v>
      </c>
      <c r="N100" s="73"/>
      <c r="O100" t="s">
        <v>1053</v>
      </c>
      <c r="R100" s="703">
        <f>(167.95+102)*106*249</f>
        <v>7125060.2999999989</v>
      </c>
      <c r="S100">
        <v>7120</v>
      </c>
    </row>
    <row r="101" spans="1:29" ht="15" x14ac:dyDescent="0.25">
      <c r="A101" s="198" t="s">
        <v>156</v>
      </c>
      <c r="B101" s="564" t="s">
        <v>697</v>
      </c>
      <c r="C101" s="555">
        <v>0</v>
      </c>
      <c r="D101" s="412">
        <f>1+(1)</f>
        <v>2</v>
      </c>
      <c r="E101" s="533">
        <f t="shared" si="5"/>
        <v>0</v>
      </c>
      <c r="F101" s="412">
        <f>1+(1)</f>
        <v>2</v>
      </c>
      <c r="G101" s="533">
        <f t="shared" si="6"/>
        <v>-2</v>
      </c>
      <c r="H101" s="412">
        <v>0</v>
      </c>
      <c r="I101" s="533">
        <f t="shared" si="6"/>
        <v>0</v>
      </c>
      <c r="J101" s="412">
        <v>0</v>
      </c>
      <c r="K101" s="533">
        <f t="shared" si="6"/>
        <v>0</v>
      </c>
      <c r="L101" s="412">
        <v>0</v>
      </c>
      <c r="M101" s="412">
        <v>0</v>
      </c>
      <c r="N101" s="73"/>
    </row>
    <row r="102" spans="1:29" hidden="1" x14ac:dyDescent="0.2">
      <c r="A102" s="8" t="s">
        <v>158</v>
      </c>
      <c r="B102" s="19" t="s">
        <v>228</v>
      </c>
      <c r="C102" s="166"/>
      <c r="D102" s="13"/>
      <c r="E102" s="533">
        <f t="shared" si="5"/>
        <v>0</v>
      </c>
      <c r="F102" s="13"/>
      <c r="G102" s="533">
        <f t="shared" si="6"/>
        <v>0</v>
      </c>
      <c r="H102" s="13"/>
      <c r="I102" s="533">
        <f t="shared" si="6"/>
        <v>0</v>
      </c>
      <c r="J102" s="13"/>
      <c r="K102" s="533">
        <f t="shared" si="6"/>
        <v>0</v>
      </c>
      <c r="L102" s="13"/>
      <c r="M102" s="13"/>
      <c r="N102" s="73"/>
    </row>
    <row r="103" spans="1:29" ht="15" x14ac:dyDescent="0.25">
      <c r="A103" s="8" t="s">
        <v>164</v>
      </c>
      <c r="B103" s="563" t="s">
        <v>351</v>
      </c>
      <c r="C103" s="166">
        <v>0</v>
      </c>
      <c r="D103" s="13">
        <v>0</v>
      </c>
      <c r="E103" s="533">
        <f t="shared" si="5"/>
        <v>0</v>
      </c>
      <c r="F103" s="13">
        <v>0</v>
      </c>
      <c r="G103" s="533">
        <f t="shared" si="6"/>
        <v>0</v>
      </c>
      <c r="H103" s="13">
        <v>0</v>
      </c>
      <c r="I103" s="533">
        <f t="shared" si="6"/>
        <v>0</v>
      </c>
      <c r="J103" s="13">
        <v>0</v>
      </c>
      <c r="K103" s="533">
        <f t="shared" si="6"/>
        <v>0</v>
      </c>
      <c r="L103" s="13">
        <v>0</v>
      </c>
      <c r="M103" s="13">
        <v>0</v>
      </c>
      <c r="N103" s="73"/>
    </row>
    <row r="104" spans="1:29" ht="15" x14ac:dyDescent="0.25">
      <c r="A104" s="198" t="s">
        <v>345</v>
      </c>
      <c r="B104" s="564" t="s">
        <v>737</v>
      </c>
      <c r="C104" s="166">
        <f>9417+4</f>
        <v>9421</v>
      </c>
      <c r="D104" s="13">
        <f>(2500)+(9)</f>
        <v>2509</v>
      </c>
      <c r="E104" s="533">
        <f t="shared" si="5"/>
        <v>25</v>
      </c>
      <c r="F104" s="13">
        <f>(2500)+(9+25)</f>
        <v>2534</v>
      </c>
      <c r="G104" s="533">
        <f t="shared" si="6"/>
        <v>-2534</v>
      </c>
      <c r="H104" s="13">
        <v>0</v>
      </c>
      <c r="I104" s="533">
        <f t="shared" si="6"/>
        <v>0</v>
      </c>
      <c r="J104" s="13">
        <v>0</v>
      </c>
      <c r="K104" s="533">
        <f t="shared" si="6"/>
        <v>0</v>
      </c>
      <c r="L104" s="13">
        <v>0</v>
      </c>
      <c r="M104" s="13">
        <v>0</v>
      </c>
      <c r="N104" s="73"/>
    </row>
    <row r="105" spans="1:29" ht="15.75" x14ac:dyDescent="0.25">
      <c r="A105" s="14" t="s">
        <v>179</v>
      </c>
      <c r="B105" s="18" t="s">
        <v>229</v>
      </c>
      <c r="C105" s="41">
        <f t="shared" ref="C105" si="7">SUM(C109)+C111+C110</f>
        <v>29805</v>
      </c>
      <c r="D105" s="41">
        <f t="shared" ref="D105" si="8">SUM(D109)+D111+D110</f>
        <v>30000</v>
      </c>
      <c r="E105" s="533">
        <f t="shared" si="5"/>
        <v>0</v>
      </c>
      <c r="F105" s="41">
        <f t="shared" ref="F105" si="9">SUM(F109)+F111+F110</f>
        <v>30000</v>
      </c>
      <c r="G105" s="533">
        <f t="shared" si="6"/>
        <v>-30000</v>
      </c>
      <c r="H105" s="41">
        <f t="shared" ref="H105" si="10">SUM(H109)+H111+H110</f>
        <v>0</v>
      </c>
      <c r="I105" s="533">
        <f t="shared" si="6"/>
        <v>0</v>
      </c>
      <c r="J105" s="41">
        <f t="shared" ref="J105" si="11">SUM(J109)+J111+J110</f>
        <v>0</v>
      </c>
      <c r="K105" s="533">
        <f t="shared" si="6"/>
        <v>0</v>
      </c>
      <c r="L105" s="41">
        <f t="shared" ref="L105:M105" si="12">SUM(L109)+L111+L110</f>
        <v>0</v>
      </c>
      <c r="M105" s="41">
        <f t="shared" si="12"/>
        <v>0</v>
      </c>
      <c r="N105" s="73"/>
    </row>
    <row r="106" spans="1:29" hidden="1" x14ac:dyDescent="0.2">
      <c r="A106" s="8" t="s">
        <v>185</v>
      </c>
      <c r="B106" s="19" t="s">
        <v>230</v>
      </c>
      <c r="C106" s="548"/>
      <c r="D106" s="11"/>
      <c r="E106" s="533">
        <f t="shared" si="5"/>
        <v>0</v>
      </c>
      <c r="F106" s="11"/>
      <c r="G106" s="533">
        <f t="shared" si="6"/>
        <v>0</v>
      </c>
      <c r="H106" s="11"/>
      <c r="I106" s="533">
        <f t="shared" si="6"/>
        <v>0</v>
      </c>
      <c r="J106" s="11"/>
      <c r="K106" s="533">
        <f t="shared" si="6"/>
        <v>0</v>
      </c>
      <c r="L106" s="11"/>
      <c r="M106" s="11"/>
      <c r="N106" s="73"/>
    </row>
    <row r="107" spans="1:29" hidden="1" x14ac:dyDescent="0.2">
      <c r="A107" s="8" t="s">
        <v>186</v>
      </c>
      <c r="B107" s="19" t="s">
        <v>231</v>
      </c>
      <c r="C107" s="548"/>
      <c r="D107" s="11"/>
      <c r="E107" s="533">
        <f t="shared" si="5"/>
        <v>0</v>
      </c>
      <c r="F107" s="11"/>
      <c r="G107" s="533">
        <f t="shared" si="6"/>
        <v>0</v>
      </c>
      <c r="H107" s="11"/>
      <c r="I107" s="533">
        <f t="shared" si="6"/>
        <v>0</v>
      </c>
      <c r="J107" s="11"/>
      <c r="K107" s="533">
        <f t="shared" si="6"/>
        <v>0</v>
      </c>
      <c r="L107" s="11"/>
      <c r="M107" s="11"/>
      <c r="N107" s="73"/>
    </row>
    <row r="108" spans="1:29" hidden="1" x14ac:dyDescent="0.2">
      <c r="A108" s="8" t="s">
        <v>187</v>
      </c>
      <c r="B108" s="19" t="s">
        <v>232</v>
      </c>
      <c r="C108" s="548"/>
      <c r="D108" s="5"/>
      <c r="E108" s="533">
        <f t="shared" si="5"/>
        <v>0</v>
      </c>
      <c r="F108" s="5"/>
      <c r="G108" s="533">
        <f t="shared" si="6"/>
        <v>0</v>
      </c>
      <c r="H108" s="5"/>
      <c r="I108" s="533">
        <f t="shared" si="6"/>
        <v>0</v>
      </c>
      <c r="J108" s="5"/>
      <c r="K108" s="533">
        <f t="shared" si="6"/>
        <v>0</v>
      </c>
      <c r="L108" s="5"/>
      <c r="M108" s="5"/>
      <c r="N108" s="73"/>
    </row>
    <row r="109" spans="1:29" ht="15" x14ac:dyDescent="0.25">
      <c r="A109" s="8" t="s">
        <v>352</v>
      </c>
      <c r="B109" s="561" t="s">
        <v>1035</v>
      </c>
      <c r="C109" s="166">
        <v>29805</v>
      </c>
      <c r="D109" s="75">
        <v>30000</v>
      </c>
      <c r="E109" s="533">
        <f t="shared" si="5"/>
        <v>0</v>
      </c>
      <c r="F109" s="75">
        <v>30000</v>
      </c>
      <c r="G109" s="533">
        <f t="shared" si="6"/>
        <v>-30000</v>
      </c>
      <c r="H109" s="75">
        <v>0</v>
      </c>
      <c r="I109" s="533">
        <f t="shared" si="6"/>
        <v>0</v>
      </c>
      <c r="J109" s="75">
        <v>0</v>
      </c>
      <c r="K109" s="533">
        <f t="shared" si="6"/>
        <v>0</v>
      </c>
      <c r="L109" s="75">
        <v>0</v>
      </c>
      <c r="M109" s="75">
        <v>0</v>
      </c>
      <c r="N109" s="73"/>
    </row>
    <row r="110" spans="1:29" hidden="1" x14ac:dyDescent="0.2">
      <c r="A110" s="8" t="s">
        <v>352</v>
      </c>
      <c r="B110" s="8" t="s">
        <v>827</v>
      </c>
      <c r="C110" s="217">
        <v>0</v>
      </c>
      <c r="D110" s="13">
        <v>0</v>
      </c>
      <c r="E110" s="533">
        <f t="shared" si="5"/>
        <v>0</v>
      </c>
      <c r="F110" s="13">
        <v>0</v>
      </c>
      <c r="G110" s="533">
        <f t="shared" si="6"/>
        <v>0</v>
      </c>
      <c r="H110" s="13">
        <v>0</v>
      </c>
      <c r="I110" s="533">
        <f t="shared" si="6"/>
        <v>0</v>
      </c>
      <c r="J110" s="13">
        <v>0</v>
      </c>
      <c r="K110" s="533">
        <f t="shared" si="6"/>
        <v>0</v>
      </c>
      <c r="L110" s="13">
        <v>0</v>
      </c>
      <c r="M110" s="13">
        <v>0</v>
      </c>
      <c r="N110" s="73"/>
    </row>
    <row r="111" spans="1:29" hidden="1" x14ac:dyDescent="0.2">
      <c r="A111" s="8" t="s">
        <v>352</v>
      </c>
      <c r="B111" s="8" t="s">
        <v>675</v>
      </c>
      <c r="C111" s="217">
        <v>0</v>
      </c>
      <c r="D111" s="13">
        <v>0</v>
      </c>
      <c r="E111" s="533">
        <f t="shared" si="5"/>
        <v>0</v>
      </c>
      <c r="F111" s="13">
        <v>0</v>
      </c>
      <c r="G111" s="533">
        <f t="shared" si="6"/>
        <v>0</v>
      </c>
      <c r="H111" s="13">
        <v>0</v>
      </c>
      <c r="I111" s="533">
        <f t="shared" si="6"/>
        <v>0</v>
      </c>
      <c r="J111" s="13">
        <v>0</v>
      </c>
      <c r="K111" s="533">
        <f t="shared" si="6"/>
        <v>0</v>
      </c>
      <c r="L111" s="13">
        <v>0</v>
      </c>
      <c r="M111" s="13">
        <v>0</v>
      </c>
      <c r="N111" s="73"/>
    </row>
    <row r="112" spans="1:29" ht="24" customHeight="1" x14ac:dyDescent="0.25">
      <c r="A112" s="24" t="s">
        <v>181</v>
      </c>
      <c r="B112" s="565" t="s">
        <v>302</v>
      </c>
      <c r="C112" s="41">
        <f>SUM(C113)+C121+C122</f>
        <v>349340</v>
      </c>
      <c r="D112" s="41">
        <f>SUM(D113)+D121+D122</f>
        <v>197190</v>
      </c>
      <c r="E112" s="533">
        <f t="shared" si="5"/>
        <v>7455</v>
      </c>
      <c r="F112" s="41">
        <f>SUM(F113)+F121+F122</f>
        <v>204645</v>
      </c>
      <c r="G112" s="533">
        <f t="shared" si="6"/>
        <v>-204645</v>
      </c>
      <c r="H112" s="41">
        <f>SUM(H113)+H121</f>
        <v>0</v>
      </c>
      <c r="I112" s="533">
        <f t="shared" si="6"/>
        <v>0</v>
      </c>
      <c r="J112" s="41">
        <f>SUM(J113)+J121</f>
        <v>0</v>
      </c>
      <c r="K112" s="533">
        <f t="shared" si="6"/>
        <v>0</v>
      </c>
      <c r="L112" s="41">
        <f>SUM(L113)+L121</f>
        <v>0</v>
      </c>
      <c r="M112" s="41">
        <f>SUM(M113)+M121</f>
        <v>0</v>
      </c>
      <c r="N112" s="73"/>
    </row>
    <row r="113" spans="1:16" ht="13.5" customHeight="1" x14ac:dyDescent="0.25">
      <c r="A113" s="24"/>
      <c r="B113" s="18" t="str">
        <f>'1.Bev-kiad.'!B56</f>
        <v xml:space="preserve">   1. Belföldi finanszírozás bevételei</v>
      </c>
      <c r="C113" s="151">
        <f>SUM(C114+C119)+C120</f>
        <v>349340</v>
      </c>
      <c r="D113" s="151">
        <f>SUM(D114+D119)+D120</f>
        <v>197190</v>
      </c>
      <c r="E113" s="533">
        <f t="shared" si="5"/>
        <v>7455</v>
      </c>
      <c r="F113" s="151">
        <f>SUM(F114+F119)+F120</f>
        <v>204645</v>
      </c>
      <c r="G113" s="533">
        <f t="shared" si="6"/>
        <v>-204645</v>
      </c>
      <c r="H113" s="151">
        <f>SUM(H114+H119)</f>
        <v>0</v>
      </c>
      <c r="I113" s="533">
        <f t="shared" si="6"/>
        <v>0</v>
      </c>
      <c r="J113" s="151">
        <f>SUM(J114+J119)</f>
        <v>0</v>
      </c>
      <c r="K113" s="533">
        <f t="shared" si="6"/>
        <v>0</v>
      </c>
      <c r="L113" s="151">
        <f>SUM(L114+L119)</f>
        <v>0</v>
      </c>
      <c r="M113" s="151">
        <f>SUM(M114+M119)</f>
        <v>0</v>
      </c>
      <c r="N113" s="73"/>
    </row>
    <row r="114" spans="1:16" ht="15" x14ac:dyDescent="0.2">
      <c r="A114" s="24"/>
      <c r="B114" s="566" t="str">
        <f>'1.Bev-kiad.'!B57</f>
        <v xml:space="preserve">        1.1. Előző év költségvetési maradványának igénybevétele</v>
      </c>
      <c r="C114" s="166">
        <f>2047+319717</f>
        <v>321764</v>
      </c>
      <c r="D114" s="13">
        <f>8100+(487513-84375-22225-22829-84864-84130)</f>
        <v>197190</v>
      </c>
      <c r="E114" s="533">
        <f t="shared" si="5"/>
        <v>0</v>
      </c>
      <c r="F114" s="13">
        <f>8100+(487513-84375-22225-22829-84864-84130)</f>
        <v>197190</v>
      </c>
      <c r="G114" s="533">
        <f>H114-F114</f>
        <v>-197190</v>
      </c>
      <c r="H114" s="13">
        <v>0</v>
      </c>
      <c r="I114" s="533">
        <f>J114-H114</f>
        <v>0</v>
      </c>
      <c r="J114" s="13">
        <v>0</v>
      </c>
      <c r="K114" s="533">
        <f>L114-J114</f>
        <v>0</v>
      </c>
      <c r="L114" s="13">
        <v>0</v>
      </c>
      <c r="M114" s="13">
        <v>0</v>
      </c>
      <c r="N114" s="73"/>
    </row>
    <row r="115" spans="1:16" hidden="1" x14ac:dyDescent="0.2">
      <c r="A115" s="24"/>
      <c r="B115" s="139" t="s">
        <v>469</v>
      </c>
      <c r="C115" s="166">
        <f>(381956+18883+19378+10058+5652-'3.felh'!C42+4167-34702+40056)</f>
        <v>445448</v>
      </c>
      <c r="D115" s="13">
        <f>(381956+18883+19378+10058+5652-'3.felh'!D42+4167-34702+40056)</f>
        <v>293336</v>
      </c>
      <c r="E115" s="533">
        <f t="shared" si="5"/>
        <v>152112</v>
      </c>
      <c r="F115" s="13">
        <f>(381956+18883+19378+10058+5652-'3.felh'!G42+4167-34702+40056)</f>
        <v>445448</v>
      </c>
      <c r="G115" s="533">
        <f t="shared" ref="G115:K121" si="13">H115-F115</f>
        <v>-152112</v>
      </c>
      <c r="H115" s="13">
        <f>(381956+18883+19378+10058+5652-'3.felh'!H42+4167-34702+40056)</f>
        <v>293336</v>
      </c>
      <c r="I115" s="533">
        <f t="shared" si="13"/>
        <v>0</v>
      </c>
      <c r="J115" s="13">
        <f>(381956+18883+19378+10058+5652-'3.felh'!J42+4167-34702+40056)</f>
        <v>293336</v>
      </c>
      <c r="K115" s="533">
        <f t="shared" si="13"/>
        <v>0</v>
      </c>
      <c r="L115" s="13">
        <f>(381956+18883+19378+10058+5652-'3.felh'!L42+4167-34702+40056)</f>
        <v>293336</v>
      </c>
      <c r="M115" s="13">
        <f>(381956+18883+19378+10058+5652-'3.felh'!M42+4167-34702+40056)</f>
        <v>293336</v>
      </c>
      <c r="N115" s="73"/>
    </row>
    <row r="116" spans="1:16" hidden="1" x14ac:dyDescent="0.2">
      <c r="A116" s="24"/>
      <c r="B116" s="139"/>
      <c r="C116" s="166"/>
      <c r="D116" s="13"/>
      <c r="E116" s="533">
        <f t="shared" si="5"/>
        <v>0</v>
      </c>
      <c r="F116" s="13"/>
      <c r="G116" s="533">
        <f t="shared" si="13"/>
        <v>0</v>
      </c>
      <c r="H116" s="13"/>
      <c r="I116" s="533">
        <f t="shared" si="13"/>
        <v>0</v>
      </c>
      <c r="J116" s="13"/>
      <c r="K116" s="533">
        <f t="shared" si="13"/>
        <v>0</v>
      </c>
      <c r="L116" s="13"/>
      <c r="M116" s="13"/>
      <c r="N116" s="73"/>
    </row>
    <row r="117" spans="1:16" hidden="1" x14ac:dyDescent="0.2">
      <c r="A117" s="24"/>
      <c r="B117" s="139" t="s">
        <v>466</v>
      </c>
      <c r="C117" s="166"/>
      <c r="D117" s="13"/>
      <c r="E117" s="533">
        <f t="shared" si="5"/>
        <v>0</v>
      </c>
      <c r="F117" s="13"/>
      <c r="G117" s="533">
        <f t="shared" si="13"/>
        <v>0</v>
      </c>
      <c r="H117" s="13"/>
      <c r="I117" s="533">
        <f t="shared" si="13"/>
        <v>0</v>
      </c>
      <c r="J117" s="13"/>
      <c r="K117" s="533">
        <f t="shared" si="13"/>
        <v>0</v>
      </c>
      <c r="L117" s="13"/>
      <c r="M117" s="13"/>
      <c r="N117" s="73"/>
    </row>
    <row r="118" spans="1:16" hidden="1" x14ac:dyDescent="0.2">
      <c r="A118" s="24"/>
      <c r="B118" s="139" t="s">
        <v>464</v>
      </c>
      <c r="C118" s="166">
        <f>(32623-4167)</f>
        <v>28456</v>
      </c>
      <c r="D118" s="13">
        <f>(32623-4167)</f>
        <v>28456</v>
      </c>
      <c r="E118" s="533">
        <f t="shared" si="5"/>
        <v>0</v>
      </c>
      <c r="F118" s="13">
        <f>(32623-4167)</f>
        <v>28456</v>
      </c>
      <c r="G118" s="533">
        <f t="shared" si="13"/>
        <v>0</v>
      </c>
      <c r="H118" s="13">
        <f>(32623-4167)</f>
        <v>28456</v>
      </c>
      <c r="I118" s="533">
        <f t="shared" si="13"/>
        <v>0</v>
      </c>
      <c r="J118" s="13">
        <f>(32623-4167)</f>
        <v>28456</v>
      </c>
      <c r="K118" s="533">
        <f t="shared" si="13"/>
        <v>0</v>
      </c>
      <c r="L118" s="13">
        <f>(32623-4167)</f>
        <v>28456</v>
      </c>
      <c r="M118" s="13">
        <f>(32623-4167)</f>
        <v>28456</v>
      </c>
      <c r="N118" s="73"/>
    </row>
    <row r="119" spans="1:16" ht="13.5" customHeight="1" x14ac:dyDescent="0.2">
      <c r="A119" s="24"/>
      <c r="B119" s="567" t="s">
        <v>1130</v>
      </c>
      <c r="C119" s="166">
        <v>27576</v>
      </c>
      <c r="D119" s="13">
        <v>0</v>
      </c>
      <c r="E119" s="533">
        <f t="shared" si="5"/>
        <v>0</v>
      </c>
      <c r="F119" s="13">
        <v>0</v>
      </c>
      <c r="G119" s="533">
        <f t="shared" si="13"/>
        <v>0</v>
      </c>
      <c r="H119" s="13">
        <v>0</v>
      </c>
      <c r="I119" s="533">
        <f t="shared" si="13"/>
        <v>0</v>
      </c>
      <c r="J119" s="13">
        <v>0</v>
      </c>
      <c r="K119" s="533">
        <f t="shared" si="13"/>
        <v>0</v>
      </c>
      <c r="L119" s="13">
        <v>0</v>
      </c>
      <c r="M119" s="13">
        <v>0</v>
      </c>
      <c r="N119" s="73"/>
    </row>
    <row r="120" spans="1:16" ht="13.5" customHeight="1" x14ac:dyDescent="0.2">
      <c r="A120" s="24"/>
      <c r="B120" s="567" t="s">
        <v>1256</v>
      </c>
      <c r="C120" s="166">
        <v>0</v>
      </c>
      <c r="D120" s="13">
        <v>0</v>
      </c>
      <c r="E120" s="533">
        <f t="shared" si="5"/>
        <v>7455</v>
      </c>
      <c r="F120" s="13">
        <v>7455</v>
      </c>
      <c r="G120" s="533"/>
      <c r="H120" s="13"/>
      <c r="I120" s="533"/>
      <c r="J120" s="13"/>
      <c r="K120" s="533"/>
      <c r="L120" s="13"/>
      <c r="M120" s="13"/>
      <c r="N120" s="73"/>
    </row>
    <row r="121" spans="1:16" ht="16.5" customHeight="1" x14ac:dyDescent="0.25">
      <c r="A121" s="24"/>
      <c r="B121" s="18" t="str">
        <f>'1.Bev-kiad.'!B62</f>
        <v xml:space="preserve">   2. Külföldi finanszírozás bevételei</v>
      </c>
      <c r="C121" s="151">
        <f>C122</f>
        <v>0</v>
      </c>
      <c r="D121" s="151">
        <f>D122</f>
        <v>0</v>
      </c>
      <c r="E121" s="533">
        <f t="shared" si="5"/>
        <v>0</v>
      </c>
      <c r="F121" s="151">
        <f>F122</f>
        <v>0</v>
      </c>
      <c r="G121" s="533">
        <f t="shared" si="13"/>
        <v>0</v>
      </c>
      <c r="H121" s="151">
        <f>H122</f>
        <v>0</v>
      </c>
      <c r="I121" s="533">
        <f t="shared" si="13"/>
        <v>0</v>
      </c>
      <c r="J121" s="151">
        <f>J122</f>
        <v>0</v>
      </c>
      <c r="K121" s="533">
        <f t="shared" si="13"/>
        <v>0</v>
      </c>
      <c r="L121" s="151">
        <f>L122</f>
        <v>0</v>
      </c>
      <c r="M121" s="151">
        <f>M122</f>
        <v>0</v>
      </c>
      <c r="N121" s="73"/>
    </row>
    <row r="122" spans="1:16" ht="16.5" thickBot="1" x14ac:dyDescent="0.3">
      <c r="A122" s="380"/>
      <c r="B122" s="18" t="str">
        <f>'1.Bev-kiad.'!B63</f>
        <v xml:space="preserve">   3. Adóssághoz nem kapcsolódó származékos ügyletek bevételei</v>
      </c>
      <c r="C122" s="151">
        <v>0</v>
      </c>
      <c r="D122" s="151">
        <v>0</v>
      </c>
      <c r="E122" s="533">
        <f t="shared" si="5"/>
        <v>0</v>
      </c>
      <c r="F122" s="151">
        <v>0</v>
      </c>
      <c r="G122" s="13"/>
      <c r="H122" s="13">
        <v>0</v>
      </c>
      <c r="I122" s="13"/>
      <c r="J122" s="13">
        <v>0</v>
      </c>
      <c r="K122" s="13"/>
      <c r="L122" s="13">
        <v>0</v>
      </c>
      <c r="M122" s="13">
        <v>0</v>
      </c>
      <c r="N122" s="73"/>
      <c r="P122" s="756"/>
    </row>
    <row r="123" spans="1:16" ht="19.5" customHeight="1" thickBot="1" x14ac:dyDescent="0.4">
      <c r="A123" s="205"/>
      <c r="B123" s="206" t="s">
        <v>337</v>
      </c>
      <c r="C123" s="556">
        <f>SUM(C8+C112)</f>
        <v>1939074</v>
      </c>
      <c r="D123" s="169">
        <f>SUM(D8+D112)</f>
        <v>2214458</v>
      </c>
      <c r="E123" s="534">
        <f>F123-D123</f>
        <v>-124845</v>
      </c>
      <c r="F123" s="169">
        <f>SUM(F8+F112)</f>
        <v>2089613</v>
      </c>
      <c r="G123" s="534">
        <f>H123-F123</f>
        <v>-2089613</v>
      </c>
      <c r="H123" s="169">
        <f>SUM(H8+H112)</f>
        <v>0</v>
      </c>
      <c r="I123" s="534">
        <f>J123-H123</f>
        <v>0</v>
      </c>
      <c r="J123" s="169">
        <f>SUM(J8+J112)</f>
        <v>0</v>
      </c>
      <c r="K123" s="534">
        <f>L123-J123</f>
        <v>0</v>
      </c>
      <c r="L123" s="169">
        <f>SUM(L8+L112)</f>
        <v>0</v>
      </c>
      <c r="M123" s="169">
        <f>SUM(M8+M112)</f>
        <v>0</v>
      </c>
      <c r="N123" s="73"/>
    </row>
    <row r="124" spans="1:16" ht="18" customHeight="1" x14ac:dyDescent="0.25">
      <c r="A124" s="140" t="s">
        <v>313</v>
      </c>
      <c r="B124" s="568" t="s">
        <v>310</v>
      </c>
      <c r="C124" s="557">
        <f>SUM(C125+C128+C131+C134+C135)</f>
        <v>1411219</v>
      </c>
      <c r="D124" s="164">
        <f>SUM(D125+D128+D131+D134+D135)</f>
        <v>1883794</v>
      </c>
      <c r="E124" s="533">
        <f>F124-D124</f>
        <v>-50264</v>
      </c>
      <c r="F124" s="164">
        <f>SUM(F125+F128+F131+F134+F135)</f>
        <v>1833530</v>
      </c>
      <c r="G124" s="533">
        <f t="shared" ref="G124:K144" si="14">H124-F124</f>
        <v>-1833530</v>
      </c>
      <c r="H124" s="164">
        <f>SUM(H125+H128+H131+H134+H135)</f>
        <v>0</v>
      </c>
      <c r="I124" s="533">
        <f t="shared" si="14"/>
        <v>0</v>
      </c>
      <c r="J124" s="164">
        <f>SUM(J125+J128+J131+J134+J135)</f>
        <v>0</v>
      </c>
      <c r="K124" s="533">
        <f t="shared" si="14"/>
        <v>0</v>
      </c>
      <c r="L124" s="164">
        <f>SUM(L125+L128+L131+L134+L135)</f>
        <v>0</v>
      </c>
      <c r="M124" s="164">
        <f>SUM(M125+M128+M131+M134+M135)</f>
        <v>0</v>
      </c>
      <c r="N124" s="73"/>
    </row>
    <row r="125" spans="1:16" ht="18" customHeight="1" x14ac:dyDescent="0.25">
      <c r="A125" s="14" t="s">
        <v>205</v>
      </c>
      <c r="B125" s="18" t="s">
        <v>233</v>
      </c>
      <c r="C125" s="542">
        <f>SUM(C126:C127)</f>
        <v>308647</v>
      </c>
      <c r="D125" s="141">
        <f>SUM(D126:D127)</f>
        <v>373342</v>
      </c>
      <c r="E125" s="533">
        <f t="shared" ref="E125:E144" si="15">F125-D125</f>
        <v>-1198</v>
      </c>
      <c r="F125" s="141">
        <f>SUM(F126:F127)</f>
        <v>372144</v>
      </c>
      <c r="G125" s="533">
        <f t="shared" si="14"/>
        <v>-372144</v>
      </c>
      <c r="H125" s="141">
        <f>SUM(H126:H127)</f>
        <v>0</v>
      </c>
      <c r="I125" s="533">
        <f t="shared" si="14"/>
        <v>0</v>
      </c>
      <c r="J125" s="141">
        <f>SUM(J126:J127)</f>
        <v>0</v>
      </c>
      <c r="K125" s="533">
        <f t="shared" si="14"/>
        <v>0</v>
      </c>
      <c r="L125" s="141">
        <f>SUM(L126:L127)</f>
        <v>0</v>
      </c>
      <c r="M125" s="141">
        <f>SUM(M126:M127)</f>
        <v>0</v>
      </c>
      <c r="N125" s="73"/>
    </row>
    <row r="126" spans="1:16" ht="13.5" customHeight="1" x14ac:dyDescent="0.2">
      <c r="A126" s="14"/>
      <c r="B126" s="143" t="s">
        <v>368</v>
      </c>
      <c r="C126" s="186">
        <f>SUM('8.Önk.'!BT32)</f>
        <v>77514</v>
      </c>
      <c r="D126" s="186">
        <f>SUM('8.Önk.'!BU32)</f>
        <v>74011</v>
      </c>
      <c r="E126" s="533">
        <f t="shared" si="15"/>
        <v>374</v>
      </c>
      <c r="F126" s="186">
        <f>SUM('8.Önk.'!BV32)</f>
        <v>74385</v>
      </c>
      <c r="G126" s="533">
        <f t="shared" si="14"/>
        <v>-74385</v>
      </c>
      <c r="H126" s="186">
        <f>SUM('8.Önk.'!BW32)</f>
        <v>0</v>
      </c>
      <c r="I126" s="533">
        <f t="shared" si="14"/>
        <v>0</v>
      </c>
      <c r="J126" s="186">
        <f>SUM('8.Önk.'!BX32)</f>
        <v>0</v>
      </c>
      <c r="K126" s="533">
        <f t="shared" si="14"/>
        <v>0</v>
      </c>
      <c r="L126" s="186">
        <f>SUM('8.Önk.'!BY32)</f>
        <v>0</v>
      </c>
      <c r="M126" s="186">
        <f>SUM('8.Önk.'!BZ32)</f>
        <v>0</v>
      </c>
      <c r="N126" s="73"/>
    </row>
    <row r="127" spans="1:16" ht="13.5" customHeight="1" x14ac:dyDescent="0.2">
      <c r="A127" s="14"/>
      <c r="B127" s="143" t="s">
        <v>400</v>
      </c>
      <c r="C127" s="186">
        <f>SUM('9.Hivatal'!X29)</f>
        <v>231133</v>
      </c>
      <c r="D127" s="186">
        <f>SUM('9.Hivatal'!Y29)</f>
        <v>299331</v>
      </c>
      <c r="E127" s="533">
        <f t="shared" si="15"/>
        <v>-1572</v>
      </c>
      <c r="F127" s="186">
        <f>SUM('9.Hivatal'!Z29)</f>
        <v>297759</v>
      </c>
      <c r="G127" s="533">
        <f t="shared" si="14"/>
        <v>-297759</v>
      </c>
      <c r="H127" s="186">
        <f>SUM('9.Hivatal'!AA29)</f>
        <v>0</v>
      </c>
      <c r="I127" s="533">
        <f t="shared" si="14"/>
        <v>0</v>
      </c>
      <c r="J127" s="186">
        <f>SUM('9.Hivatal'!AB29)</f>
        <v>0</v>
      </c>
      <c r="K127" s="533">
        <f t="shared" si="14"/>
        <v>0</v>
      </c>
      <c r="L127" s="186">
        <f>SUM('9.Hivatal'!AC29)</f>
        <v>0</v>
      </c>
      <c r="M127" s="186">
        <f>SUM('9.Hivatal'!AD29)</f>
        <v>0</v>
      </c>
      <c r="N127" s="73"/>
    </row>
    <row r="128" spans="1:16" ht="18" customHeight="1" x14ac:dyDescent="0.25">
      <c r="A128" s="14" t="s">
        <v>206</v>
      </c>
      <c r="B128" s="18" t="s">
        <v>234</v>
      </c>
      <c r="C128" s="542">
        <f>SUM(C129:C130)</f>
        <v>38354</v>
      </c>
      <c r="D128" s="141">
        <f>SUM(D129:D130)</f>
        <v>49611</v>
      </c>
      <c r="E128" s="533">
        <f t="shared" si="15"/>
        <v>70</v>
      </c>
      <c r="F128" s="141">
        <f>SUM(F129:F130)</f>
        <v>49681</v>
      </c>
      <c r="G128" s="533">
        <f t="shared" si="14"/>
        <v>-49681</v>
      </c>
      <c r="H128" s="141">
        <f>SUM(H129:H130)</f>
        <v>0</v>
      </c>
      <c r="I128" s="533">
        <f t="shared" si="14"/>
        <v>0</v>
      </c>
      <c r="J128" s="141">
        <f>SUM(J129:J130)</f>
        <v>0</v>
      </c>
      <c r="K128" s="533">
        <f t="shared" si="14"/>
        <v>0</v>
      </c>
      <c r="L128" s="141">
        <f>SUM(L129:L130)</f>
        <v>0</v>
      </c>
      <c r="M128" s="141">
        <f>SUM(M129:M130)</f>
        <v>0</v>
      </c>
      <c r="N128" s="73"/>
    </row>
    <row r="129" spans="1:14" ht="13.5" customHeight="1" x14ac:dyDescent="0.2">
      <c r="A129" s="14"/>
      <c r="B129" s="143" t="s">
        <v>369</v>
      </c>
      <c r="C129" s="186">
        <f>SUM('8.Önk.'!BT36)</f>
        <v>8688</v>
      </c>
      <c r="D129" s="186">
        <f>SUM('8.Önk.'!BU36)</f>
        <v>8811</v>
      </c>
      <c r="E129" s="533">
        <f t="shared" si="15"/>
        <v>70</v>
      </c>
      <c r="F129" s="186">
        <f>SUM('8.Önk.'!BV36)</f>
        <v>8881</v>
      </c>
      <c r="G129" s="533">
        <f t="shared" si="14"/>
        <v>-8881</v>
      </c>
      <c r="H129" s="186">
        <f>SUM('8.Önk.'!BW36)</f>
        <v>0</v>
      </c>
      <c r="I129" s="533">
        <f t="shared" si="14"/>
        <v>0</v>
      </c>
      <c r="J129" s="186">
        <f>SUM('8.Önk.'!BX36)</f>
        <v>0</v>
      </c>
      <c r="K129" s="533">
        <f t="shared" si="14"/>
        <v>0</v>
      </c>
      <c r="L129" s="186">
        <f>SUM('8.Önk.'!BY36)</f>
        <v>0</v>
      </c>
      <c r="M129" s="186">
        <f>SUM('8.Önk.'!BZ36)</f>
        <v>0</v>
      </c>
      <c r="N129" s="73"/>
    </row>
    <row r="130" spans="1:14" ht="13.5" customHeight="1" x14ac:dyDescent="0.2">
      <c r="A130" s="14"/>
      <c r="B130" s="143" t="s">
        <v>399</v>
      </c>
      <c r="C130" s="186">
        <f>SUM('9.Hivatal'!X32)</f>
        <v>29666</v>
      </c>
      <c r="D130" s="186">
        <f>SUM('9.Hivatal'!Y32)</f>
        <v>40800</v>
      </c>
      <c r="E130" s="533">
        <f t="shared" si="15"/>
        <v>0</v>
      </c>
      <c r="F130" s="186">
        <f>SUM('9.Hivatal'!Z32)</f>
        <v>40800</v>
      </c>
      <c r="G130" s="533">
        <f t="shared" si="14"/>
        <v>-40800</v>
      </c>
      <c r="H130" s="186">
        <f>SUM('9.Hivatal'!AA32)</f>
        <v>0</v>
      </c>
      <c r="I130" s="533">
        <f t="shared" si="14"/>
        <v>0</v>
      </c>
      <c r="J130" s="186">
        <f>SUM('9.Hivatal'!AB32)</f>
        <v>0</v>
      </c>
      <c r="K130" s="533">
        <f t="shared" si="14"/>
        <v>0</v>
      </c>
      <c r="L130" s="186">
        <f>SUM('9.Hivatal'!AC32)</f>
        <v>0</v>
      </c>
      <c r="M130" s="186">
        <f>SUM('9.Hivatal'!AD32)</f>
        <v>0</v>
      </c>
      <c r="N130" s="73"/>
    </row>
    <row r="131" spans="1:14" ht="18" customHeight="1" x14ac:dyDescent="0.25">
      <c r="A131" s="14" t="s">
        <v>207</v>
      </c>
      <c r="B131" s="18" t="s">
        <v>235</v>
      </c>
      <c r="C131" s="541">
        <f>SUM(C132:C133)</f>
        <v>350568</v>
      </c>
      <c r="D131" s="34">
        <f>SUM(D132:D133)</f>
        <v>622852</v>
      </c>
      <c r="E131" s="533">
        <f t="shared" si="15"/>
        <v>-147268</v>
      </c>
      <c r="F131" s="34">
        <f>SUM(F132:F133)</f>
        <v>475584</v>
      </c>
      <c r="G131" s="533">
        <f t="shared" si="14"/>
        <v>-475584</v>
      </c>
      <c r="H131" s="34">
        <f>SUM(H132:H133)</f>
        <v>0</v>
      </c>
      <c r="I131" s="533">
        <f t="shared" si="14"/>
        <v>0</v>
      </c>
      <c r="J131" s="34">
        <f>SUM(J132:J133)</f>
        <v>0</v>
      </c>
      <c r="K131" s="533">
        <f t="shared" si="14"/>
        <v>0</v>
      </c>
      <c r="L131" s="34">
        <f>SUM(L132:L133)</f>
        <v>0</v>
      </c>
      <c r="M131" s="34">
        <f>SUM(M132:M133)</f>
        <v>0</v>
      </c>
      <c r="N131" s="73"/>
    </row>
    <row r="132" spans="1:14" ht="13.5" customHeight="1" x14ac:dyDescent="0.2">
      <c r="A132" s="8"/>
      <c r="B132" s="143" t="s">
        <v>369</v>
      </c>
      <c r="C132" s="166">
        <f>SUM('8.Önk.'!BT107)</f>
        <v>324888</v>
      </c>
      <c r="D132" s="166">
        <f>SUM('8.Önk.'!BU107)</f>
        <v>591960</v>
      </c>
      <c r="E132" s="533">
        <f t="shared" si="15"/>
        <v>-147293</v>
      </c>
      <c r="F132" s="166">
        <f>SUM('8.Önk.'!BV107)</f>
        <v>444667</v>
      </c>
      <c r="G132" s="533">
        <f t="shared" si="14"/>
        <v>-444667</v>
      </c>
      <c r="H132" s="166">
        <f>SUM('8.Önk.'!BW107)</f>
        <v>0</v>
      </c>
      <c r="I132" s="533">
        <f t="shared" si="14"/>
        <v>0</v>
      </c>
      <c r="J132" s="166">
        <f>SUM('8.Önk.'!BX107)</f>
        <v>0</v>
      </c>
      <c r="K132" s="533">
        <f t="shared" si="14"/>
        <v>0</v>
      </c>
      <c r="L132" s="166">
        <f>SUM('8.Önk.'!BY107)</f>
        <v>0</v>
      </c>
      <c r="M132" s="698">
        <f>SUM('8.Önk.'!BZ107)</f>
        <v>0</v>
      </c>
      <c r="N132" s="73"/>
    </row>
    <row r="133" spans="1:14" ht="13.5" customHeight="1" x14ac:dyDescent="0.2">
      <c r="A133" s="8"/>
      <c r="B133" s="143" t="s">
        <v>399</v>
      </c>
      <c r="C133" s="166">
        <f>SUM('9.Hivatal'!X81)</f>
        <v>25680</v>
      </c>
      <c r="D133" s="166">
        <f>SUM('9.Hivatal'!Y81)</f>
        <v>30892</v>
      </c>
      <c r="E133" s="533">
        <f t="shared" si="15"/>
        <v>25</v>
      </c>
      <c r="F133" s="166">
        <f>SUM('9.Hivatal'!Z81)</f>
        <v>30917</v>
      </c>
      <c r="G133" s="533">
        <f t="shared" si="14"/>
        <v>-30917</v>
      </c>
      <c r="H133" s="166">
        <f>SUM('9.Hivatal'!AA81)</f>
        <v>0</v>
      </c>
      <c r="I133" s="533">
        <f t="shared" si="14"/>
        <v>0</v>
      </c>
      <c r="J133" s="166">
        <f>SUM('9.Hivatal'!AB81)</f>
        <v>0</v>
      </c>
      <c r="K133" s="533">
        <f t="shared" si="14"/>
        <v>0</v>
      </c>
      <c r="L133" s="166">
        <f>SUM('9.Hivatal'!AC81)</f>
        <v>0</v>
      </c>
      <c r="M133" s="166">
        <f>SUM('9.Hivatal'!AD81)</f>
        <v>0</v>
      </c>
      <c r="N133" s="73"/>
    </row>
    <row r="134" spans="1:14" ht="18" customHeight="1" x14ac:dyDescent="0.25">
      <c r="A134" s="14" t="s">
        <v>208</v>
      </c>
      <c r="B134" s="18" t="s">
        <v>391</v>
      </c>
      <c r="C134" s="541">
        <v>6186</v>
      </c>
      <c r="D134" s="34">
        <f>SUM('8.Önk.'!BU108)</f>
        <v>20000</v>
      </c>
      <c r="E134" s="533">
        <f t="shared" si="15"/>
        <v>0</v>
      </c>
      <c r="F134" s="34">
        <f>SUM('8.Önk.'!BV108)</f>
        <v>20000</v>
      </c>
      <c r="G134" s="533">
        <f t="shared" si="14"/>
        <v>-20000</v>
      </c>
      <c r="H134" s="34">
        <f>SUM('8.Önk.'!BW108)</f>
        <v>0</v>
      </c>
      <c r="I134" s="533">
        <f t="shared" si="14"/>
        <v>0</v>
      </c>
      <c r="J134" s="34">
        <f>SUM('8.Önk.'!BX108)</f>
        <v>0</v>
      </c>
      <c r="K134" s="533">
        <f t="shared" si="14"/>
        <v>0</v>
      </c>
      <c r="L134" s="34">
        <f>SUM('8.Önk.'!BY108)</f>
        <v>0</v>
      </c>
      <c r="M134" s="34">
        <f>SUM('8.Önk.'!BZ108)</f>
        <v>0</v>
      </c>
      <c r="N134" s="73"/>
    </row>
    <row r="135" spans="1:14" ht="18" customHeight="1" x14ac:dyDescent="0.25">
      <c r="A135" s="14" t="s">
        <v>209</v>
      </c>
      <c r="B135" s="18" t="s">
        <v>295</v>
      </c>
      <c r="C135" s="541">
        <f>SUM(C136:C140)</f>
        <v>707464</v>
      </c>
      <c r="D135" s="34">
        <f>SUM(D136:D140)</f>
        <v>817989</v>
      </c>
      <c r="E135" s="533">
        <f t="shared" si="15"/>
        <v>98132</v>
      </c>
      <c r="F135" s="34">
        <f>SUM(F136:F140)</f>
        <v>916121</v>
      </c>
      <c r="G135" s="533">
        <f t="shared" si="14"/>
        <v>-916121</v>
      </c>
      <c r="H135" s="34">
        <f>SUM(H136:H140)</f>
        <v>0</v>
      </c>
      <c r="I135" s="533">
        <f t="shared" si="14"/>
        <v>0</v>
      </c>
      <c r="J135" s="34">
        <f>SUM(J136:J140)</f>
        <v>0</v>
      </c>
      <c r="K135" s="533">
        <f t="shared" si="14"/>
        <v>0</v>
      </c>
      <c r="L135" s="34">
        <f>SUM(L136:L140)</f>
        <v>0</v>
      </c>
      <c r="M135" s="34">
        <f>SUM(M136:M140)</f>
        <v>0</v>
      </c>
      <c r="N135" s="73"/>
    </row>
    <row r="136" spans="1:14" ht="15.75" customHeight="1" x14ac:dyDescent="0.25">
      <c r="A136" s="14"/>
      <c r="B136" s="561" t="s">
        <v>717</v>
      </c>
      <c r="C136" s="166">
        <f>SUM('4. Átadott p.eszk.'!B68)</f>
        <v>689433</v>
      </c>
      <c r="D136" s="30">
        <f>SUM('4. Átadott p.eszk.'!C68)</f>
        <v>734489</v>
      </c>
      <c r="E136" s="533">
        <f t="shared" si="15"/>
        <v>12730</v>
      </c>
      <c r="F136" s="30">
        <f>SUM('4. Átadott p.eszk.'!E68)</f>
        <v>747219</v>
      </c>
      <c r="G136" s="533">
        <f t="shared" si="14"/>
        <v>-747219</v>
      </c>
      <c r="H136" s="30">
        <f>SUM('4. Átadott p.eszk.'!G68)</f>
        <v>0</v>
      </c>
      <c r="I136" s="533">
        <f t="shared" si="14"/>
        <v>0</v>
      </c>
      <c r="J136" s="30">
        <f>SUM('4. Átadott p.eszk.'!I68)</f>
        <v>0</v>
      </c>
      <c r="K136" s="533">
        <f t="shared" si="14"/>
        <v>0</v>
      </c>
      <c r="L136" s="30">
        <f>SUM('4. Átadott p.eszk.'!K68)</f>
        <v>0</v>
      </c>
      <c r="M136" s="30">
        <f>SUM('4. Átadott p.eszk.'!L68)</f>
        <v>0</v>
      </c>
      <c r="N136" s="73"/>
    </row>
    <row r="137" spans="1:14" ht="15.75" customHeight="1" x14ac:dyDescent="0.25">
      <c r="A137" s="14"/>
      <c r="B137" s="561" t="s">
        <v>870</v>
      </c>
      <c r="C137" s="559">
        <v>0</v>
      </c>
      <c r="D137" s="30">
        <v>76000</v>
      </c>
      <c r="E137" s="533">
        <f t="shared" si="15"/>
        <v>85402</v>
      </c>
      <c r="F137" s="30">
        <f>76000-381-2228-2794+586-901-3970+5000+24481-1778-1013+628+1553+67423-1204</f>
        <v>161402</v>
      </c>
      <c r="G137" s="533">
        <f t="shared" si="14"/>
        <v>-161402</v>
      </c>
      <c r="H137" s="30">
        <v>0</v>
      </c>
      <c r="I137" s="533">
        <f t="shared" si="14"/>
        <v>0</v>
      </c>
      <c r="J137" s="30">
        <v>0</v>
      </c>
      <c r="K137" s="533">
        <f t="shared" si="14"/>
        <v>0</v>
      </c>
      <c r="L137" s="30">
        <v>0</v>
      </c>
      <c r="M137" s="30">
        <v>0</v>
      </c>
      <c r="N137" s="73"/>
    </row>
    <row r="138" spans="1:14" ht="15.75" customHeight="1" x14ac:dyDescent="0.25">
      <c r="A138" s="14"/>
      <c r="B138" s="561" t="s">
        <v>782</v>
      </c>
      <c r="C138" s="559">
        <v>1049</v>
      </c>
      <c r="D138" s="30">
        <v>3000</v>
      </c>
      <c r="E138" s="533">
        <f t="shared" si="15"/>
        <v>0</v>
      </c>
      <c r="F138" s="30">
        <v>3000</v>
      </c>
      <c r="G138" s="533">
        <f t="shared" si="14"/>
        <v>-3000</v>
      </c>
      <c r="H138" s="30">
        <v>0</v>
      </c>
      <c r="I138" s="533">
        <f t="shared" si="14"/>
        <v>0</v>
      </c>
      <c r="J138" s="30">
        <v>0</v>
      </c>
      <c r="K138" s="533">
        <f t="shared" si="14"/>
        <v>0</v>
      </c>
      <c r="L138" s="30">
        <v>0</v>
      </c>
      <c r="M138" s="30">
        <v>0</v>
      </c>
      <c r="N138" s="73"/>
    </row>
    <row r="139" spans="1:14" ht="15.75" customHeight="1" x14ac:dyDescent="0.25">
      <c r="A139" s="14"/>
      <c r="B139" s="561" t="s">
        <v>783</v>
      </c>
      <c r="C139" s="559">
        <v>15429</v>
      </c>
      <c r="D139" s="30">
        <v>0</v>
      </c>
      <c r="E139" s="533">
        <f t="shared" si="15"/>
        <v>0</v>
      </c>
      <c r="F139" s="30">
        <v>0</v>
      </c>
      <c r="G139" s="533">
        <f t="shared" si="14"/>
        <v>0</v>
      </c>
      <c r="H139" s="30">
        <v>0</v>
      </c>
      <c r="I139" s="533">
        <f t="shared" si="14"/>
        <v>0</v>
      </c>
      <c r="J139" s="30">
        <v>0</v>
      </c>
      <c r="K139" s="533">
        <f t="shared" si="14"/>
        <v>0</v>
      </c>
      <c r="L139" s="30">
        <v>0</v>
      </c>
      <c r="M139" s="30">
        <v>0</v>
      </c>
      <c r="N139" s="73"/>
    </row>
    <row r="140" spans="1:14" s="286" customFormat="1" ht="27.75" customHeight="1" x14ac:dyDescent="0.2">
      <c r="A140" s="526"/>
      <c r="B140" s="569" t="s">
        <v>888</v>
      </c>
      <c r="C140" s="711">
        <v>1553</v>
      </c>
      <c r="D140" s="351">
        <v>4500</v>
      </c>
      <c r="E140" s="533">
        <f t="shared" si="15"/>
        <v>0</v>
      </c>
      <c r="F140" s="351">
        <v>4500</v>
      </c>
      <c r="G140" s="533">
        <f t="shared" si="14"/>
        <v>-4500</v>
      </c>
      <c r="H140" s="351">
        <v>0</v>
      </c>
      <c r="I140" s="533">
        <f t="shared" si="14"/>
        <v>0</v>
      </c>
      <c r="J140" s="351">
        <v>0</v>
      </c>
      <c r="K140" s="533">
        <f t="shared" si="14"/>
        <v>0</v>
      </c>
      <c r="L140" s="351">
        <v>0</v>
      </c>
      <c r="M140" s="351">
        <v>0</v>
      </c>
      <c r="N140" s="73"/>
    </row>
    <row r="141" spans="1:14" ht="17.25" customHeight="1" x14ac:dyDescent="0.25">
      <c r="A141" s="14" t="s">
        <v>196</v>
      </c>
      <c r="B141" s="565" t="s">
        <v>306</v>
      </c>
      <c r="C141" s="558">
        <f t="shared" ref="C141" si="16">SUM(C142)</f>
        <v>21664</v>
      </c>
      <c r="D141" s="41">
        <f t="shared" ref="D141" si="17">SUM(D142)</f>
        <v>27576</v>
      </c>
      <c r="E141" s="533">
        <f t="shared" si="15"/>
        <v>7455</v>
      </c>
      <c r="F141" s="41">
        <f t="shared" ref="F141:M141" si="18">SUM(F142)</f>
        <v>35031</v>
      </c>
      <c r="G141" s="533">
        <f t="shared" si="14"/>
        <v>-35031</v>
      </c>
      <c r="H141" s="41">
        <f t="shared" si="18"/>
        <v>0</v>
      </c>
      <c r="I141" s="533">
        <f t="shared" si="14"/>
        <v>0</v>
      </c>
      <c r="J141" s="41">
        <f t="shared" si="18"/>
        <v>0</v>
      </c>
      <c r="K141" s="533">
        <f t="shared" si="14"/>
        <v>0</v>
      </c>
      <c r="L141" s="41">
        <f t="shared" si="18"/>
        <v>0</v>
      </c>
      <c r="M141" s="41">
        <f t="shared" si="18"/>
        <v>0</v>
      </c>
      <c r="N141" s="73"/>
    </row>
    <row r="142" spans="1:14" ht="15" customHeight="1" x14ac:dyDescent="0.25">
      <c r="A142" s="14"/>
      <c r="B142" s="570" t="s">
        <v>339</v>
      </c>
      <c r="C142" s="558">
        <f>SUM(C144)+C143</f>
        <v>21664</v>
      </c>
      <c r="D142" s="41">
        <f>SUM(D144)+D143</f>
        <v>27576</v>
      </c>
      <c r="E142" s="533">
        <f t="shared" si="15"/>
        <v>7455</v>
      </c>
      <c r="F142" s="41">
        <f>SUM(F144)+F143</f>
        <v>35031</v>
      </c>
      <c r="G142" s="533">
        <f t="shared" si="14"/>
        <v>-35031</v>
      </c>
      <c r="H142" s="41">
        <f>SUM(H144)+H143</f>
        <v>0</v>
      </c>
      <c r="I142" s="533">
        <f t="shared" si="14"/>
        <v>0</v>
      </c>
      <c r="J142" s="41">
        <f>SUM(J144)+J143</f>
        <v>0</v>
      </c>
      <c r="K142" s="533">
        <f t="shared" si="14"/>
        <v>0</v>
      </c>
      <c r="L142" s="41">
        <f>SUM(L144)+L143</f>
        <v>0</v>
      </c>
      <c r="M142" s="41">
        <f>SUM(M144)+M143</f>
        <v>0</v>
      </c>
      <c r="N142" s="73"/>
    </row>
    <row r="143" spans="1:14" ht="15" customHeight="1" x14ac:dyDescent="0.2">
      <c r="A143" s="14" t="s">
        <v>1254</v>
      </c>
      <c r="B143" s="755" t="s">
        <v>1255</v>
      </c>
      <c r="C143" s="217">
        <v>0</v>
      </c>
      <c r="D143" s="13">
        <v>0</v>
      </c>
      <c r="E143" s="533">
        <f t="shared" si="15"/>
        <v>7455</v>
      </c>
      <c r="F143" s="13">
        <v>7455</v>
      </c>
      <c r="G143" s="533">
        <f t="shared" si="14"/>
        <v>-7455</v>
      </c>
      <c r="H143" s="13">
        <v>0</v>
      </c>
      <c r="I143" s="533">
        <f t="shared" si="14"/>
        <v>0</v>
      </c>
      <c r="J143" s="13">
        <v>0</v>
      </c>
      <c r="K143" s="533">
        <f t="shared" si="14"/>
        <v>0</v>
      </c>
      <c r="L143" s="13">
        <v>0</v>
      </c>
      <c r="M143" s="13">
        <v>0</v>
      </c>
      <c r="N143" s="73"/>
    </row>
    <row r="144" spans="1:14" ht="17.25" customHeight="1" x14ac:dyDescent="0.25">
      <c r="A144" s="14" t="s">
        <v>346</v>
      </c>
      <c r="B144" s="561" t="s">
        <v>350</v>
      </c>
      <c r="C144" s="559">
        <v>21664</v>
      </c>
      <c r="D144" s="412">
        <v>27576</v>
      </c>
      <c r="E144" s="533">
        <f t="shared" si="15"/>
        <v>0</v>
      </c>
      <c r="F144" s="412">
        <v>27576</v>
      </c>
      <c r="G144" s="533">
        <f t="shared" si="14"/>
        <v>-27576</v>
      </c>
      <c r="H144" s="412">
        <v>0</v>
      </c>
      <c r="I144" s="533">
        <f t="shared" si="14"/>
        <v>0</v>
      </c>
      <c r="J144" s="412">
        <v>0</v>
      </c>
      <c r="K144" s="533">
        <f t="shared" si="14"/>
        <v>0</v>
      </c>
      <c r="L144" s="412">
        <v>0</v>
      </c>
      <c r="M144" s="412">
        <v>0</v>
      </c>
      <c r="N144" s="73"/>
    </row>
    <row r="145" spans="1:14" ht="15" customHeight="1" x14ac:dyDescent="0.25">
      <c r="A145" s="14"/>
      <c r="B145" s="179" t="s">
        <v>341</v>
      </c>
      <c r="C145" s="55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73"/>
    </row>
    <row r="146" spans="1:14" ht="15" customHeight="1" thickBot="1" x14ac:dyDescent="0.3">
      <c r="A146" s="21"/>
      <c r="B146" s="176" t="s">
        <v>342</v>
      </c>
      <c r="C146" s="552"/>
      <c r="D146" s="161"/>
      <c r="E146" s="161"/>
      <c r="F146" s="161"/>
      <c r="G146" s="161"/>
      <c r="H146" s="161"/>
      <c r="I146" s="161"/>
      <c r="J146" s="161"/>
      <c r="K146" s="161"/>
      <c r="L146" s="161"/>
      <c r="M146" s="161"/>
      <c r="N146" s="73"/>
    </row>
    <row r="147" spans="1:14" ht="21.75" customHeight="1" thickBot="1" x14ac:dyDescent="0.4">
      <c r="A147" s="205"/>
      <c r="B147" s="206" t="s">
        <v>28</v>
      </c>
      <c r="C147" s="556">
        <f>SUM(C124+C141)</f>
        <v>1432883</v>
      </c>
      <c r="D147" s="169">
        <f>SUM(D124+D141)</f>
        <v>1911370</v>
      </c>
      <c r="E147" s="534">
        <f>F147-D147</f>
        <v>-42809</v>
      </c>
      <c r="F147" s="169">
        <f>SUM(F124+F141)</f>
        <v>1868561</v>
      </c>
      <c r="G147" s="534">
        <f>H147-F147</f>
        <v>-1868561</v>
      </c>
      <c r="H147" s="169">
        <f>SUM(H124+H141)</f>
        <v>0</v>
      </c>
      <c r="I147" s="534">
        <f>J147-H147</f>
        <v>0</v>
      </c>
      <c r="J147" s="169">
        <f>SUM(J124+J141)</f>
        <v>0</v>
      </c>
      <c r="K147" s="534">
        <f>L147-J147</f>
        <v>0</v>
      </c>
      <c r="L147" s="169">
        <f>SUM(L124+L141)</f>
        <v>0</v>
      </c>
      <c r="M147" s="169">
        <f>SUM(M124+M141)</f>
        <v>0</v>
      </c>
      <c r="N147" s="73"/>
    </row>
    <row r="148" spans="1:14" ht="15.75" hidden="1" customHeight="1" x14ac:dyDescent="0.2">
      <c r="B148" s="86" t="s">
        <v>486</v>
      </c>
      <c r="C148" s="26"/>
      <c r="D148" s="7">
        <f>SUM(D8-D125-D128-D131-D136-D134-D144+D137)</f>
        <v>265398</v>
      </c>
      <c r="E148" s="7"/>
      <c r="F148" s="7">
        <f>SUM(F8-F125-F128-F131-F136-F134-F144+F137)</f>
        <v>354166</v>
      </c>
      <c r="G148" s="7"/>
      <c r="H148" s="243" t="e">
        <f>SUM(H8-H125-H128-H131-H136-H134+'8.Önk.'!#REF!+'8.Önk.'!#REF!+'8.Önk.'!#REF!+'8.Önk.'!J75)</f>
        <v>#REF!</v>
      </c>
      <c r="I148" s="7"/>
      <c r="J148" s="243" t="e">
        <f>SUM(J8-J125-J128-J131-J136-J134+'8.Önk.'!#REF!+'8.Önk.'!#REF!+'8.Önk.'!#REF!+'8.Önk.'!K75)</f>
        <v>#REF!</v>
      </c>
      <c r="K148" s="7"/>
      <c r="L148" s="243"/>
      <c r="M148" s="243" t="e">
        <f>SUM(M8-M125-M128-M131-M136-M134+'8.Önk.'!#REF!+'8.Önk.'!#REF!+'8.Önk.'!#REF!+'8.Önk.'!L75)</f>
        <v>#REF!</v>
      </c>
    </row>
    <row r="149" spans="1:14" ht="15.75" hidden="1" customHeight="1" x14ac:dyDescent="0.2">
      <c r="B149" s="86" t="s">
        <v>544</v>
      </c>
      <c r="C149" s="26"/>
      <c r="D149" s="7">
        <f>SUM('8.Önk.'!X165)</f>
        <v>0</v>
      </c>
      <c r="E149" s="7"/>
      <c r="F149" s="7">
        <f>SUM('8.Önk.'!R165)</f>
        <v>11817</v>
      </c>
      <c r="G149" s="7"/>
      <c r="H149" s="243"/>
      <c r="I149" s="7"/>
      <c r="J149" s="243"/>
      <c r="K149" s="7"/>
      <c r="L149" s="243"/>
      <c r="M149" s="243"/>
    </row>
    <row r="150" spans="1:14" ht="15.75" hidden="1" customHeight="1" x14ac:dyDescent="0.2">
      <c r="B150" s="86" t="s">
        <v>545</v>
      </c>
      <c r="C150" s="26"/>
      <c r="D150" s="7" t="e">
        <f>SUM('8.Önk.'!#REF!+'8.Önk.'!#REF!)</f>
        <v>#REF!</v>
      </c>
      <c r="E150" s="7"/>
      <c r="F150" s="7" t="e">
        <f>SUM('8.Önk.'!BH124+'8.Önk.'!#REF!)</f>
        <v>#REF!</v>
      </c>
      <c r="G150" s="7"/>
      <c r="H150" s="243"/>
      <c r="I150" s="7"/>
      <c r="J150" s="243"/>
      <c r="K150" s="7"/>
      <c r="L150" s="243"/>
      <c r="M150" s="243"/>
    </row>
    <row r="151" spans="1:14" ht="15.75" hidden="1" customHeight="1" x14ac:dyDescent="0.2">
      <c r="B151" s="86" t="s">
        <v>549</v>
      </c>
      <c r="C151" s="26"/>
      <c r="D151" s="330" t="e">
        <f>SUM(D148+D149+D150)</f>
        <v>#REF!</v>
      </c>
      <c r="E151" s="330"/>
      <c r="F151" s="330" t="e">
        <f>SUM(F148+F149+F150)</f>
        <v>#REF!</v>
      </c>
      <c r="G151" s="330"/>
      <c r="H151" s="243"/>
      <c r="I151" s="330"/>
      <c r="J151" s="243"/>
      <c r="K151" s="330"/>
      <c r="L151" s="243"/>
      <c r="M151" s="243"/>
    </row>
    <row r="152" spans="1:14" ht="15.75" customHeight="1" x14ac:dyDescent="0.2">
      <c r="D152" s="7"/>
      <c r="E152" s="7"/>
      <c r="F152" s="2"/>
      <c r="G152" s="2"/>
      <c r="H152" s="86"/>
      <c r="I152" s="2"/>
      <c r="J152" s="2"/>
      <c r="K152" s="2"/>
      <c r="L152" s="2"/>
      <c r="M152" s="2"/>
    </row>
    <row r="153" spans="1:14" ht="15.75" customHeight="1" x14ac:dyDescent="0.2">
      <c r="D153" s="2"/>
      <c r="E153" s="2"/>
      <c r="F153" s="2"/>
      <c r="G153" s="2"/>
      <c r="H153" s="86"/>
      <c r="I153" s="2"/>
      <c r="J153" s="2"/>
      <c r="K153" s="2"/>
      <c r="L153" s="2"/>
      <c r="M153" s="2"/>
    </row>
    <row r="154" spans="1:14" ht="15.75" customHeight="1" x14ac:dyDescent="0.2">
      <c r="D154" s="2"/>
      <c r="E154" s="2"/>
      <c r="F154" s="2"/>
      <c r="G154" s="2"/>
      <c r="H154" s="86"/>
      <c r="I154" s="2"/>
      <c r="J154" s="2"/>
      <c r="K154" s="2"/>
      <c r="L154" s="2"/>
      <c r="M154" s="2"/>
    </row>
    <row r="155" spans="1:14" ht="15.75" customHeight="1" x14ac:dyDescent="0.2">
      <c r="D155" s="2"/>
      <c r="E155" s="2"/>
      <c r="F155" s="2"/>
      <c r="G155" s="2"/>
      <c r="H155" s="86"/>
      <c r="I155" s="2"/>
      <c r="J155" s="2"/>
      <c r="K155" s="2"/>
      <c r="L155" s="2"/>
      <c r="M155" s="2"/>
    </row>
    <row r="156" spans="1:14" ht="15.75" customHeight="1" x14ac:dyDescent="0.2">
      <c r="B156" s="2"/>
      <c r="C156" s="26"/>
      <c r="D156" s="2"/>
      <c r="E156" s="2"/>
      <c r="F156" s="2"/>
      <c r="G156" s="2"/>
      <c r="H156" s="86"/>
      <c r="I156" s="2"/>
      <c r="J156" s="2"/>
      <c r="K156" s="2"/>
      <c r="L156" s="2"/>
      <c r="M156" s="2"/>
    </row>
    <row r="157" spans="1:14" ht="15.75" customHeight="1" x14ac:dyDescent="0.2">
      <c r="B157" s="2"/>
      <c r="C157" s="26"/>
      <c r="D157" s="2"/>
      <c r="E157" s="2"/>
      <c r="F157" s="2"/>
      <c r="G157" s="2"/>
      <c r="H157" s="86"/>
      <c r="I157" s="2"/>
      <c r="J157" s="2"/>
      <c r="K157" s="2"/>
      <c r="L157" s="2"/>
      <c r="M157" s="2"/>
    </row>
    <row r="158" spans="1:14" ht="15.75" customHeight="1" x14ac:dyDescent="0.2">
      <c r="B158" s="2"/>
      <c r="C158" s="26"/>
      <c r="D158" s="2"/>
      <c r="E158" s="2"/>
      <c r="F158" s="2"/>
      <c r="G158" s="2"/>
      <c r="H158" s="86"/>
      <c r="I158" s="2"/>
      <c r="J158" s="2"/>
      <c r="K158" s="2"/>
      <c r="L158" s="2"/>
      <c r="M158" s="2"/>
    </row>
    <row r="159" spans="1:14" ht="15.75" customHeight="1" x14ac:dyDescent="0.2">
      <c r="B159" s="2"/>
      <c r="C159" s="26"/>
      <c r="D159" s="2"/>
      <c r="E159" s="2"/>
      <c r="F159" s="2"/>
      <c r="G159" s="2"/>
      <c r="H159" s="86"/>
      <c r="I159" s="2"/>
      <c r="J159" s="2"/>
      <c r="K159" s="2"/>
      <c r="L159" s="2"/>
      <c r="M159" s="2"/>
    </row>
    <row r="160" spans="1:14" ht="15.75" customHeight="1" x14ac:dyDescent="0.2">
      <c r="B160" s="2"/>
      <c r="C160" s="26"/>
      <c r="D160" s="2"/>
      <c r="E160" s="2"/>
      <c r="F160" s="2"/>
      <c r="G160" s="2"/>
      <c r="H160" s="86"/>
      <c r="I160" s="2"/>
      <c r="J160" s="2"/>
      <c r="K160" s="2"/>
      <c r="L160" s="2"/>
      <c r="M160" s="2"/>
    </row>
    <row r="161" spans="2:13" ht="15.75" customHeight="1" x14ac:dyDescent="0.2">
      <c r="B161" s="2"/>
      <c r="C161" s="26"/>
      <c r="D161" s="2"/>
      <c r="E161" s="2"/>
      <c r="F161" s="2"/>
      <c r="G161" s="2"/>
      <c r="H161" s="86"/>
      <c r="I161" s="2"/>
      <c r="J161" s="2"/>
      <c r="K161" s="2"/>
      <c r="L161" s="2"/>
      <c r="M161" s="2"/>
    </row>
    <row r="162" spans="2:13" ht="15.75" customHeight="1" x14ac:dyDescent="0.2">
      <c r="B162" s="2"/>
      <c r="C162" s="26"/>
      <c r="D162" s="2"/>
      <c r="E162" s="2"/>
      <c r="F162" s="2"/>
      <c r="G162" s="2"/>
      <c r="H162" s="86"/>
      <c r="I162" s="2"/>
      <c r="J162" s="2"/>
      <c r="K162" s="2"/>
      <c r="L162" s="2"/>
      <c r="M162" s="2"/>
    </row>
    <row r="163" spans="2:13" ht="15.75" customHeight="1" x14ac:dyDescent="0.2">
      <c r="B163" s="2"/>
      <c r="C163" s="26"/>
      <c r="D163" s="2"/>
      <c r="E163" s="2"/>
      <c r="F163" s="2"/>
      <c r="G163" s="2"/>
      <c r="H163" s="86"/>
      <c r="I163" s="2"/>
      <c r="J163" s="2"/>
      <c r="K163" s="2"/>
      <c r="L163" s="2"/>
      <c r="M163" s="2"/>
    </row>
    <row r="164" spans="2:13" ht="15.75" customHeight="1" x14ac:dyDescent="0.2">
      <c r="B164" s="2"/>
      <c r="C164" s="26"/>
      <c r="D164" s="2"/>
      <c r="E164" s="2"/>
      <c r="F164" s="2"/>
      <c r="G164" s="2"/>
      <c r="H164" s="86"/>
      <c r="I164" s="2"/>
      <c r="J164" s="2"/>
      <c r="K164" s="2"/>
      <c r="L164" s="2"/>
      <c r="M164" s="2"/>
    </row>
    <row r="165" spans="2:13" ht="15.75" customHeight="1" x14ac:dyDescent="0.2">
      <c r="B165" s="2"/>
      <c r="C165" s="26"/>
      <c r="D165" s="2"/>
      <c r="E165" s="2"/>
      <c r="F165" s="2"/>
      <c r="G165" s="2"/>
      <c r="H165" s="86"/>
      <c r="I165" s="2"/>
      <c r="J165" s="2"/>
      <c r="K165" s="2"/>
      <c r="L165" s="2"/>
      <c r="M165" s="2"/>
    </row>
    <row r="166" spans="2:13" ht="15.75" customHeight="1" x14ac:dyDescent="0.2">
      <c r="B166" s="2"/>
      <c r="C166" s="26"/>
      <c r="D166" s="2"/>
      <c r="E166" s="2"/>
      <c r="F166" s="2"/>
      <c r="G166" s="2"/>
      <c r="H166" s="86"/>
      <c r="I166" s="2"/>
      <c r="J166" s="2"/>
      <c r="K166" s="2"/>
      <c r="L166" s="2"/>
      <c r="M166" s="2"/>
    </row>
    <row r="167" spans="2:13" ht="15.75" customHeight="1" x14ac:dyDescent="0.2">
      <c r="B167" s="2"/>
      <c r="C167" s="26"/>
      <c r="D167" s="2"/>
      <c r="E167" s="2"/>
      <c r="F167" s="2"/>
      <c r="G167" s="2"/>
      <c r="H167" s="86"/>
      <c r="I167" s="2"/>
      <c r="J167" s="2"/>
      <c r="K167" s="2"/>
      <c r="L167" s="2"/>
      <c r="M167" s="2"/>
    </row>
    <row r="168" spans="2:13" ht="15.75" customHeight="1" x14ac:dyDescent="0.2">
      <c r="B168" s="2"/>
      <c r="C168" s="26"/>
      <c r="D168" s="2"/>
      <c r="E168" s="2"/>
      <c r="F168" s="2"/>
      <c r="G168" s="2"/>
      <c r="H168" s="86"/>
      <c r="I168" s="2"/>
      <c r="J168" s="2"/>
      <c r="K168" s="2"/>
      <c r="L168" s="2"/>
      <c r="M168" s="2"/>
    </row>
    <row r="169" spans="2:13" ht="15.75" customHeight="1" x14ac:dyDescent="0.2">
      <c r="B169" s="2"/>
      <c r="C169" s="26"/>
      <c r="D169" s="2"/>
      <c r="E169" s="2"/>
      <c r="F169" s="2"/>
      <c r="G169" s="2"/>
      <c r="H169" s="86"/>
      <c r="I169" s="2"/>
      <c r="J169" s="2"/>
      <c r="K169" s="2"/>
      <c r="L169" s="2"/>
      <c r="M169" s="2"/>
    </row>
    <row r="170" spans="2:13" ht="15.75" customHeight="1" x14ac:dyDescent="0.2">
      <c r="B170" s="2"/>
      <c r="C170" s="26"/>
      <c r="D170" s="2"/>
      <c r="E170" s="2"/>
      <c r="F170" s="2"/>
      <c r="G170" s="2"/>
      <c r="H170" s="86"/>
      <c r="I170" s="2"/>
      <c r="J170" s="2"/>
      <c r="K170" s="2"/>
      <c r="L170" s="2"/>
      <c r="M170" s="2"/>
    </row>
    <row r="171" spans="2:13" ht="15.75" customHeight="1" x14ac:dyDescent="0.2">
      <c r="B171" s="2"/>
      <c r="C171" s="26"/>
      <c r="D171" s="2"/>
      <c r="E171" s="2"/>
      <c r="F171" s="2"/>
      <c r="G171" s="2"/>
      <c r="H171" s="86"/>
      <c r="I171" s="2"/>
      <c r="J171" s="2"/>
      <c r="K171" s="2"/>
      <c r="L171" s="2"/>
      <c r="M171" s="2"/>
    </row>
    <row r="172" spans="2:13" ht="15.75" customHeight="1" x14ac:dyDescent="0.2">
      <c r="B172" s="2"/>
      <c r="C172" s="26"/>
      <c r="D172" s="2"/>
      <c r="E172" s="2"/>
      <c r="F172" s="2"/>
      <c r="G172" s="2"/>
      <c r="H172" s="86"/>
      <c r="I172" s="2"/>
      <c r="J172" s="2"/>
      <c r="K172" s="2"/>
      <c r="L172" s="2"/>
      <c r="M172" s="2"/>
    </row>
    <row r="173" spans="2:13" ht="15.75" customHeight="1" x14ac:dyDescent="0.2">
      <c r="B173" s="2"/>
      <c r="C173" s="26"/>
      <c r="D173" s="2"/>
      <c r="E173" s="2"/>
      <c r="F173" s="2"/>
      <c r="G173" s="2"/>
      <c r="H173" s="86"/>
      <c r="I173" s="2"/>
      <c r="J173" s="2"/>
      <c r="K173" s="2"/>
      <c r="L173" s="2"/>
      <c r="M173" s="2"/>
    </row>
    <row r="174" spans="2:13" ht="15.75" customHeight="1" x14ac:dyDescent="0.2">
      <c r="B174" s="2"/>
      <c r="C174" s="26"/>
      <c r="D174" s="2"/>
      <c r="E174" s="2"/>
      <c r="F174" s="2"/>
      <c r="G174" s="2"/>
      <c r="H174" s="86"/>
      <c r="I174" s="2"/>
      <c r="J174" s="2"/>
      <c r="K174" s="2"/>
      <c r="L174" s="2"/>
      <c r="M174" s="2"/>
    </row>
    <row r="175" spans="2:13" ht="15.75" customHeight="1" x14ac:dyDescent="0.2">
      <c r="B175" s="2"/>
      <c r="C175" s="26"/>
      <c r="D175" s="2"/>
      <c r="E175" s="2"/>
      <c r="F175" s="2"/>
      <c r="G175" s="2"/>
      <c r="H175" s="86"/>
      <c r="I175" s="2"/>
      <c r="J175" s="2"/>
      <c r="K175" s="2"/>
      <c r="L175" s="2"/>
      <c r="M175" s="2"/>
    </row>
    <row r="176" spans="2:13" ht="15.75" customHeight="1" x14ac:dyDescent="0.2">
      <c r="B176" s="2"/>
      <c r="C176" s="26"/>
      <c r="D176" s="2"/>
      <c r="E176" s="2"/>
      <c r="F176" s="2"/>
      <c r="G176" s="2"/>
      <c r="H176" s="86"/>
      <c r="I176" s="2"/>
      <c r="J176" s="2"/>
      <c r="K176" s="2"/>
      <c r="L176" s="2"/>
      <c r="M176" s="2"/>
    </row>
    <row r="177" spans="2:13" ht="15.75" customHeight="1" x14ac:dyDescent="0.2">
      <c r="B177" s="2"/>
      <c r="C177" s="26"/>
      <c r="D177" s="2"/>
      <c r="E177" s="2"/>
      <c r="F177" s="2"/>
      <c r="G177" s="2"/>
      <c r="H177" s="86"/>
      <c r="I177" s="2"/>
      <c r="J177" s="2"/>
      <c r="K177" s="2"/>
      <c r="L177" s="2"/>
      <c r="M177" s="2"/>
    </row>
    <row r="178" spans="2:13" ht="15.75" customHeight="1" x14ac:dyDescent="0.2">
      <c r="B178" s="2"/>
      <c r="C178" s="26"/>
      <c r="D178" s="2"/>
      <c r="E178" s="2"/>
      <c r="F178" s="2"/>
      <c r="G178" s="2"/>
      <c r="H178" s="86"/>
      <c r="I178" s="2"/>
      <c r="J178" s="2"/>
      <c r="K178" s="2"/>
      <c r="L178" s="2"/>
      <c r="M178" s="2"/>
    </row>
    <row r="179" spans="2:13" ht="15.75" customHeight="1" x14ac:dyDescent="0.2">
      <c r="B179" s="2"/>
      <c r="C179" s="26"/>
      <c r="D179" s="2"/>
      <c r="E179" s="2"/>
      <c r="F179" s="2"/>
      <c r="G179" s="2"/>
      <c r="H179" s="86"/>
      <c r="I179" s="2"/>
      <c r="J179" s="2"/>
      <c r="K179" s="2"/>
      <c r="L179" s="2"/>
      <c r="M179" s="2"/>
    </row>
    <row r="180" spans="2:13" ht="15.75" customHeight="1" x14ac:dyDescent="0.2">
      <c r="B180" s="2"/>
      <c r="C180" s="26"/>
      <c r="D180" s="2"/>
      <c r="E180" s="2"/>
      <c r="F180" s="2"/>
      <c r="G180" s="2"/>
      <c r="H180" s="86"/>
      <c r="I180" s="2"/>
      <c r="J180" s="2"/>
      <c r="K180" s="2"/>
      <c r="L180" s="2"/>
      <c r="M180" s="2"/>
    </row>
    <row r="181" spans="2:13" ht="15.75" customHeight="1" x14ac:dyDescent="0.2">
      <c r="B181" s="2"/>
      <c r="C181" s="26"/>
      <c r="D181" s="2"/>
      <c r="E181" s="2"/>
      <c r="F181" s="2"/>
      <c r="G181" s="2"/>
      <c r="H181" s="86"/>
      <c r="I181" s="2"/>
      <c r="J181" s="2"/>
      <c r="K181" s="2"/>
      <c r="L181" s="2"/>
      <c r="M181" s="2"/>
    </row>
    <row r="182" spans="2:13" ht="15.75" customHeight="1" x14ac:dyDescent="0.2">
      <c r="B182" s="2"/>
      <c r="C182" s="26"/>
      <c r="D182" s="2"/>
      <c r="E182" s="2"/>
      <c r="F182" s="2"/>
      <c r="G182" s="2"/>
      <c r="H182" s="86"/>
      <c r="I182" s="2"/>
      <c r="J182" s="2"/>
      <c r="K182" s="2"/>
      <c r="L182" s="2"/>
      <c r="M182" s="2"/>
    </row>
    <row r="183" spans="2:13" ht="15.75" customHeight="1" x14ac:dyDescent="0.2">
      <c r="B183" s="2"/>
      <c r="C183" s="26"/>
      <c r="D183" s="2"/>
      <c r="E183" s="2"/>
      <c r="F183" s="2"/>
      <c r="G183" s="2"/>
      <c r="H183" s="86"/>
      <c r="I183" s="2"/>
      <c r="J183" s="2"/>
      <c r="K183" s="2"/>
      <c r="L183" s="2"/>
      <c r="M183" s="2"/>
    </row>
    <row r="184" spans="2:13" ht="15.75" customHeight="1" x14ac:dyDescent="0.2">
      <c r="B184" s="2"/>
      <c r="C184" s="26"/>
      <c r="D184" s="2"/>
      <c r="E184" s="2"/>
      <c r="F184" s="2"/>
      <c r="G184" s="2"/>
      <c r="H184" s="86"/>
      <c r="I184" s="2"/>
      <c r="J184" s="2"/>
      <c r="K184" s="2"/>
      <c r="L184" s="2"/>
      <c r="M184" s="2"/>
    </row>
    <row r="185" spans="2:13" ht="15.75" customHeight="1" x14ac:dyDescent="0.2">
      <c r="B185" s="2"/>
      <c r="C185" s="26"/>
      <c r="D185" s="2"/>
      <c r="E185" s="2"/>
      <c r="F185" s="2"/>
      <c r="G185" s="2"/>
      <c r="H185" s="86"/>
      <c r="I185" s="2"/>
      <c r="J185" s="2"/>
      <c r="K185" s="2"/>
      <c r="L185" s="2"/>
      <c r="M185" s="2"/>
    </row>
    <row r="186" spans="2:13" ht="15.75" customHeight="1" x14ac:dyDescent="0.2">
      <c r="B186" s="2"/>
      <c r="C186" s="26"/>
      <c r="D186" s="2"/>
      <c r="E186" s="2"/>
      <c r="F186" s="2"/>
      <c r="G186" s="2"/>
      <c r="H186" s="86"/>
      <c r="I186" s="2"/>
      <c r="J186" s="2"/>
      <c r="K186" s="2"/>
      <c r="L186" s="2"/>
      <c r="M186" s="2"/>
    </row>
    <row r="187" spans="2:13" ht="15.75" customHeight="1" x14ac:dyDescent="0.2">
      <c r="B187" s="2"/>
      <c r="C187" s="26"/>
      <c r="D187" s="2"/>
      <c r="E187" s="2"/>
      <c r="F187" s="2"/>
      <c r="G187" s="2"/>
      <c r="H187" s="86"/>
      <c r="I187" s="2"/>
      <c r="J187" s="2"/>
      <c r="K187" s="2"/>
      <c r="L187" s="2"/>
      <c r="M187" s="2"/>
    </row>
    <row r="188" spans="2:13" ht="15.75" customHeight="1" x14ac:dyDescent="0.2">
      <c r="B188" s="2"/>
      <c r="C188" s="26"/>
      <c r="D188" s="2"/>
      <c r="E188" s="2"/>
      <c r="F188" s="2"/>
      <c r="G188" s="2"/>
      <c r="H188" s="86"/>
      <c r="I188" s="2"/>
      <c r="J188" s="2"/>
      <c r="K188" s="2"/>
      <c r="L188" s="2"/>
      <c r="M188" s="2"/>
    </row>
    <row r="189" spans="2:13" ht="15.75" customHeight="1" x14ac:dyDescent="0.2">
      <c r="B189" s="2"/>
      <c r="C189" s="26"/>
      <c r="D189" s="2"/>
      <c r="E189" s="2"/>
      <c r="F189" s="2"/>
      <c r="G189" s="2"/>
      <c r="H189" s="86"/>
      <c r="I189" s="2"/>
      <c r="J189" s="2"/>
      <c r="K189" s="2"/>
      <c r="L189" s="2"/>
      <c r="M189" s="2"/>
    </row>
    <row r="190" spans="2:13" ht="15.75" customHeight="1" x14ac:dyDescent="0.2">
      <c r="B190" s="2"/>
      <c r="C190" s="26"/>
      <c r="D190" s="2"/>
      <c r="E190" s="2"/>
      <c r="F190" s="2"/>
      <c r="G190" s="2"/>
      <c r="H190" s="86"/>
      <c r="I190" s="2"/>
      <c r="J190" s="2"/>
      <c r="K190" s="2"/>
      <c r="L190" s="2"/>
      <c r="M190" s="2"/>
    </row>
    <row r="191" spans="2:13" ht="15.75" customHeight="1" x14ac:dyDescent="0.2">
      <c r="B191" s="2"/>
      <c r="C191" s="26"/>
      <c r="D191" s="2"/>
      <c r="E191" s="2"/>
      <c r="F191" s="2"/>
      <c r="G191" s="2"/>
      <c r="H191" s="86"/>
      <c r="I191" s="2"/>
      <c r="J191" s="2"/>
      <c r="K191" s="2"/>
      <c r="L191" s="2"/>
      <c r="M191" s="2"/>
    </row>
    <row r="192" spans="2:13" ht="15.75" customHeight="1" x14ac:dyDescent="0.2">
      <c r="B192" s="2"/>
      <c r="C192" s="26"/>
      <c r="D192" s="2"/>
      <c r="E192" s="2"/>
      <c r="F192" s="2"/>
      <c r="G192" s="2"/>
      <c r="H192" s="86"/>
      <c r="I192" s="2"/>
      <c r="J192" s="2"/>
      <c r="K192" s="2"/>
      <c r="L192" s="2"/>
      <c r="M192" s="2"/>
    </row>
    <row r="193" spans="2:13" ht="15.75" customHeight="1" x14ac:dyDescent="0.2">
      <c r="B193" s="2"/>
      <c r="C193" s="26"/>
      <c r="D193" s="2"/>
      <c r="E193" s="2"/>
      <c r="F193" s="2"/>
      <c r="G193" s="2"/>
      <c r="H193" s="86"/>
      <c r="I193" s="2"/>
      <c r="J193" s="2"/>
      <c r="K193" s="2"/>
      <c r="L193" s="2"/>
      <c r="M193" s="2"/>
    </row>
    <row r="194" spans="2:13" ht="15.75" customHeight="1" x14ac:dyDescent="0.2">
      <c r="B194" s="2"/>
      <c r="C194" s="26"/>
      <c r="D194" s="2"/>
      <c r="E194" s="2"/>
      <c r="F194" s="2"/>
      <c r="G194" s="2"/>
      <c r="H194" s="86"/>
      <c r="I194" s="2"/>
      <c r="J194" s="2"/>
      <c r="K194" s="2"/>
      <c r="L194" s="2"/>
      <c r="M194" s="2"/>
    </row>
    <row r="195" spans="2:13" ht="15.75" customHeight="1" x14ac:dyDescent="0.2">
      <c r="B195" s="2"/>
      <c r="C195" s="26"/>
      <c r="D195" s="2"/>
      <c r="E195" s="2"/>
      <c r="F195" s="2"/>
      <c r="G195" s="2"/>
      <c r="H195" s="86"/>
      <c r="I195" s="2"/>
      <c r="J195" s="2"/>
      <c r="K195" s="2"/>
      <c r="L195" s="2"/>
      <c r="M195" s="2"/>
    </row>
    <row r="196" spans="2:13" ht="15.75" customHeight="1" x14ac:dyDescent="0.2">
      <c r="B196" s="2"/>
      <c r="C196" s="26"/>
      <c r="D196" s="2"/>
      <c r="E196" s="2"/>
      <c r="F196" s="2"/>
      <c r="G196" s="2"/>
      <c r="H196" s="86"/>
      <c r="I196" s="2"/>
      <c r="J196" s="2"/>
      <c r="K196" s="2"/>
      <c r="L196" s="2"/>
      <c r="M196" s="2"/>
    </row>
    <row r="197" spans="2:13" ht="15.75" customHeight="1" x14ac:dyDescent="0.2">
      <c r="B197" s="2"/>
      <c r="C197" s="26"/>
      <c r="D197" s="2"/>
      <c r="E197" s="2"/>
      <c r="F197" s="2"/>
      <c r="G197" s="2"/>
      <c r="H197" s="86"/>
      <c r="I197" s="2"/>
      <c r="J197" s="2"/>
      <c r="K197" s="2"/>
      <c r="L197" s="2"/>
      <c r="M197" s="2"/>
    </row>
    <row r="198" spans="2:13" ht="15.75" customHeight="1" x14ac:dyDescent="0.2">
      <c r="B198" s="2"/>
      <c r="C198" s="26"/>
      <c r="D198" s="2"/>
      <c r="E198" s="2"/>
      <c r="F198" s="2"/>
      <c r="G198" s="2"/>
      <c r="H198" s="86"/>
      <c r="I198" s="2"/>
      <c r="J198" s="2"/>
      <c r="K198" s="2"/>
      <c r="L198" s="2"/>
      <c r="M198" s="2"/>
    </row>
    <row r="199" spans="2:13" ht="15.75" customHeight="1" x14ac:dyDescent="0.2">
      <c r="B199" s="2"/>
      <c r="C199" s="26"/>
      <c r="D199" s="2"/>
      <c r="E199" s="2"/>
      <c r="F199" s="2"/>
      <c r="G199" s="2"/>
      <c r="H199" s="86"/>
      <c r="I199" s="2"/>
      <c r="J199" s="2"/>
      <c r="K199" s="2"/>
      <c r="L199" s="2"/>
      <c r="M199" s="2"/>
    </row>
    <row r="200" spans="2:13" ht="15.75" customHeight="1" x14ac:dyDescent="0.2">
      <c r="B200" s="2"/>
      <c r="C200" s="26"/>
      <c r="D200" s="2"/>
      <c r="E200" s="2"/>
      <c r="F200" s="2"/>
      <c r="G200" s="2"/>
      <c r="H200" s="86"/>
      <c r="I200" s="2"/>
      <c r="J200" s="2"/>
      <c r="K200" s="2"/>
      <c r="L200" s="2"/>
      <c r="M200" s="2"/>
    </row>
    <row r="201" spans="2:13" ht="15.75" customHeight="1" x14ac:dyDescent="0.2">
      <c r="B201" s="2"/>
      <c r="C201" s="26"/>
      <c r="D201" s="2"/>
      <c r="E201" s="2"/>
      <c r="F201" s="2"/>
      <c r="G201" s="2"/>
      <c r="H201" s="86"/>
      <c r="I201" s="2"/>
      <c r="J201" s="2"/>
      <c r="K201" s="2"/>
      <c r="L201" s="2"/>
      <c r="M201" s="2"/>
    </row>
    <row r="202" spans="2:13" ht="15.75" customHeight="1" x14ac:dyDescent="0.2">
      <c r="B202" s="2"/>
      <c r="C202" s="26"/>
      <c r="D202" s="2"/>
      <c r="E202" s="2"/>
      <c r="F202" s="2"/>
      <c r="G202" s="2"/>
      <c r="H202" s="86"/>
      <c r="I202" s="2"/>
      <c r="J202" s="2"/>
      <c r="K202" s="2"/>
      <c r="L202" s="2"/>
      <c r="M202" s="2"/>
    </row>
    <row r="203" spans="2:13" ht="15.75" customHeight="1" x14ac:dyDescent="0.2">
      <c r="B203" s="2"/>
      <c r="C203" s="26"/>
      <c r="D203" s="2"/>
      <c r="E203" s="2"/>
      <c r="F203" s="2"/>
      <c r="G203" s="2"/>
      <c r="H203" s="86"/>
      <c r="I203" s="2"/>
      <c r="J203" s="2"/>
      <c r="K203" s="2"/>
      <c r="L203" s="2"/>
      <c r="M203" s="2"/>
    </row>
    <row r="204" spans="2:13" ht="15.75" customHeight="1" x14ac:dyDescent="0.2">
      <c r="B204" s="2"/>
      <c r="C204" s="26"/>
      <c r="D204" s="2"/>
      <c r="E204" s="2"/>
      <c r="F204" s="2"/>
      <c r="G204" s="2"/>
      <c r="H204" s="86"/>
      <c r="I204" s="2"/>
      <c r="J204" s="2"/>
      <c r="K204" s="2"/>
      <c r="L204" s="2"/>
      <c r="M204" s="2"/>
    </row>
    <row r="205" spans="2:13" ht="15.75" customHeight="1" x14ac:dyDescent="0.2">
      <c r="B205" s="2"/>
      <c r="C205" s="26"/>
      <c r="D205" s="2"/>
      <c r="E205" s="2"/>
      <c r="F205" s="2"/>
      <c r="G205" s="2"/>
      <c r="H205" s="86"/>
      <c r="I205" s="2"/>
      <c r="J205" s="2"/>
      <c r="K205" s="2"/>
      <c r="L205" s="2"/>
      <c r="M205" s="2"/>
    </row>
    <row r="206" spans="2:13" ht="15.75" customHeight="1" x14ac:dyDescent="0.2">
      <c r="B206" s="2"/>
      <c r="C206" s="26"/>
      <c r="D206" s="2"/>
      <c r="E206" s="2"/>
      <c r="F206" s="2"/>
      <c r="G206" s="2"/>
      <c r="H206" s="86"/>
      <c r="I206" s="2"/>
      <c r="J206" s="2"/>
      <c r="K206" s="2"/>
      <c r="L206" s="2"/>
      <c r="M206" s="2"/>
    </row>
    <row r="207" spans="2:13" ht="15.75" customHeight="1" x14ac:dyDescent="0.2">
      <c r="B207" s="2"/>
      <c r="C207" s="26"/>
      <c r="D207" s="2"/>
      <c r="E207" s="2"/>
      <c r="F207" s="2"/>
      <c r="G207" s="2"/>
      <c r="H207" s="86"/>
      <c r="I207" s="2"/>
      <c r="J207" s="2"/>
      <c r="K207" s="2"/>
      <c r="L207" s="2"/>
      <c r="M207" s="2"/>
    </row>
    <row r="208" spans="2:13" ht="15.75" customHeight="1" x14ac:dyDescent="0.2">
      <c r="B208" s="2"/>
      <c r="C208" s="26"/>
      <c r="D208" s="2"/>
      <c r="E208" s="2"/>
      <c r="F208" s="2"/>
      <c r="G208" s="2"/>
      <c r="H208" s="86"/>
      <c r="I208" s="2"/>
      <c r="J208" s="2"/>
      <c r="K208" s="2"/>
      <c r="L208" s="2"/>
      <c r="M208" s="2"/>
    </row>
    <row r="209" spans="2:13" ht="15.75" customHeight="1" x14ac:dyDescent="0.2">
      <c r="B209" s="2"/>
      <c r="C209" s="26"/>
      <c r="D209" s="2"/>
      <c r="E209" s="2"/>
      <c r="F209" s="2"/>
      <c r="G209" s="2"/>
      <c r="H209" s="86"/>
      <c r="I209" s="2"/>
      <c r="J209" s="2"/>
      <c r="K209" s="2"/>
      <c r="L209" s="2"/>
      <c r="M209" s="2"/>
    </row>
    <row r="210" spans="2:13" ht="15.75" customHeight="1" x14ac:dyDescent="0.2">
      <c r="B210" s="2"/>
      <c r="C210" s="26"/>
      <c r="D210" s="2"/>
      <c r="E210" s="2"/>
      <c r="F210" s="2"/>
      <c r="G210" s="2"/>
      <c r="H210" s="86"/>
      <c r="I210" s="2"/>
      <c r="J210" s="2"/>
      <c r="K210" s="2"/>
      <c r="L210" s="2"/>
      <c r="M210" s="2"/>
    </row>
    <row r="211" spans="2:13" ht="15.75" customHeight="1" x14ac:dyDescent="0.2">
      <c r="B211" s="2"/>
      <c r="C211" s="26"/>
      <c r="D211" s="2"/>
      <c r="E211" s="2"/>
      <c r="F211" s="2"/>
      <c r="G211" s="2"/>
      <c r="H211" s="86"/>
      <c r="I211" s="2"/>
      <c r="J211" s="2"/>
      <c r="K211" s="2"/>
      <c r="L211" s="2"/>
      <c r="M211" s="2"/>
    </row>
    <row r="212" spans="2:13" ht="15.75" customHeight="1" x14ac:dyDescent="0.2">
      <c r="B212" s="2"/>
      <c r="C212" s="26"/>
      <c r="D212" s="2"/>
      <c r="E212" s="2"/>
      <c r="F212" s="2"/>
      <c r="G212" s="2"/>
      <c r="H212" s="86"/>
      <c r="I212" s="2"/>
      <c r="J212" s="2"/>
      <c r="K212" s="2"/>
      <c r="L212" s="2"/>
      <c r="M212" s="2"/>
    </row>
    <row r="213" spans="2:13" ht="15.75" customHeight="1" x14ac:dyDescent="0.2">
      <c r="B213" s="2"/>
      <c r="C213" s="26"/>
      <c r="D213" s="2"/>
      <c r="E213" s="2"/>
      <c r="F213" s="2"/>
      <c r="G213" s="2"/>
      <c r="H213" s="86"/>
      <c r="I213" s="2"/>
      <c r="J213" s="2"/>
      <c r="K213" s="2"/>
      <c r="L213" s="2"/>
      <c r="M213" s="2"/>
    </row>
    <row r="214" spans="2:13" ht="15.75" customHeight="1" x14ac:dyDescent="0.2">
      <c r="B214" s="2"/>
      <c r="C214" s="26"/>
      <c r="D214" s="2"/>
      <c r="E214" s="2"/>
      <c r="F214" s="2"/>
      <c r="G214" s="2"/>
      <c r="H214" s="86"/>
      <c r="I214" s="2"/>
      <c r="J214" s="2"/>
      <c r="K214" s="2"/>
      <c r="L214" s="2"/>
      <c r="M214" s="2"/>
    </row>
    <row r="215" spans="2:13" ht="15.75" customHeight="1" x14ac:dyDescent="0.2">
      <c r="B215" s="2"/>
      <c r="C215" s="26"/>
      <c r="D215" s="2"/>
      <c r="E215" s="2"/>
      <c r="F215" s="2"/>
      <c r="G215" s="2"/>
      <c r="H215" s="86"/>
      <c r="I215" s="2"/>
      <c r="J215" s="2"/>
      <c r="K215" s="2"/>
      <c r="L215" s="2"/>
      <c r="M215" s="2"/>
    </row>
    <row r="216" spans="2:13" ht="15.75" customHeight="1" x14ac:dyDescent="0.2">
      <c r="B216" s="2"/>
      <c r="C216" s="26"/>
      <c r="D216" s="2"/>
      <c r="E216" s="2"/>
      <c r="F216" s="2"/>
      <c r="G216" s="2"/>
      <c r="H216" s="86"/>
      <c r="I216" s="2"/>
      <c r="J216" s="2"/>
      <c r="K216" s="2"/>
      <c r="L216" s="2"/>
      <c r="M216" s="2"/>
    </row>
    <row r="217" spans="2:13" ht="15.75" customHeight="1" x14ac:dyDescent="0.2">
      <c r="B217" s="2"/>
      <c r="C217" s="26"/>
      <c r="D217" s="2"/>
      <c r="E217" s="2"/>
      <c r="F217" s="2"/>
      <c r="G217" s="2"/>
      <c r="H217" s="86"/>
      <c r="I217" s="2"/>
      <c r="J217" s="2"/>
      <c r="K217" s="2"/>
      <c r="L217" s="2"/>
      <c r="M217" s="2"/>
    </row>
    <row r="218" spans="2:13" ht="15.75" customHeight="1" x14ac:dyDescent="0.2">
      <c r="B218" s="2"/>
      <c r="C218" s="26"/>
      <c r="D218" s="2"/>
      <c r="E218" s="2"/>
      <c r="F218" s="2"/>
      <c r="G218" s="2"/>
      <c r="H218" s="86"/>
      <c r="I218" s="2"/>
      <c r="J218" s="2"/>
      <c r="K218" s="2"/>
      <c r="L218" s="2"/>
      <c r="M218" s="2"/>
    </row>
    <row r="219" spans="2:13" ht="15.75" customHeight="1" x14ac:dyDescent="0.2">
      <c r="B219" s="2"/>
      <c r="C219" s="26"/>
      <c r="D219" s="2"/>
      <c r="E219" s="2"/>
      <c r="F219" s="2"/>
      <c r="G219" s="2"/>
      <c r="H219" s="86"/>
      <c r="I219" s="2"/>
      <c r="J219" s="2"/>
      <c r="K219" s="2"/>
      <c r="L219" s="2"/>
      <c r="M219" s="2"/>
    </row>
    <row r="220" spans="2:13" ht="15.75" customHeight="1" x14ac:dyDescent="0.2">
      <c r="B220" s="2"/>
      <c r="C220" s="26"/>
      <c r="D220" s="2"/>
      <c r="E220" s="2"/>
      <c r="F220" s="2"/>
      <c r="G220" s="2"/>
      <c r="H220" s="86"/>
      <c r="I220" s="2"/>
      <c r="J220" s="2"/>
      <c r="K220" s="2"/>
      <c r="L220" s="2"/>
      <c r="M220" s="2"/>
    </row>
    <row r="221" spans="2:13" ht="15.75" customHeight="1" x14ac:dyDescent="0.2">
      <c r="B221" s="2"/>
      <c r="C221" s="26"/>
      <c r="D221" s="2"/>
      <c r="E221" s="2"/>
      <c r="F221" s="2"/>
      <c r="G221" s="2"/>
      <c r="H221" s="86"/>
      <c r="I221" s="2"/>
      <c r="J221" s="2"/>
      <c r="K221" s="2"/>
      <c r="L221" s="2"/>
      <c r="M221" s="2"/>
    </row>
    <row r="222" spans="2:13" ht="15.75" customHeight="1" x14ac:dyDescent="0.2">
      <c r="B222" s="2"/>
      <c r="C222" s="26"/>
      <c r="D222" s="2"/>
      <c r="E222" s="2"/>
      <c r="F222" s="2"/>
      <c r="G222" s="2"/>
      <c r="H222" s="86"/>
      <c r="I222" s="2"/>
      <c r="J222" s="2"/>
      <c r="K222" s="2"/>
      <c r="L222" s="2"/>
      <c r="M222" s="2"/>
    </row>
    <row r="223" spans="2:13" ht="15.75" customHeight="1" x14ac:dyDescent="0.2">
      <c r="B223" s="2"/>
      <c r="C223" s="26"/>
      <c r="D223" s="2"/>
      <c r="E223" s="2"/>
      <c r="F223" s="2"/>
      <c r="G223" s="2"/>
      <c r="H223" s="86"/>
      <c r="I223" s="2"/>
      <c r="J223" s="2"/>
      <c r="K223" s="2"/>
      <c r="L223" s="2"/>
      <c r="M223" s="2"/>
    </row>
    <row r="224" spans="2:13" ht="15.75" customHeight="1" x14ac:dyDescent="0.2">
      <c r="B224" s="2"/>
      <c r="C224" s="26"/>
      <c r="D224" s="2"/>
      <c r="E224" s="2"/>
      <c r="F224" s="2"/>
      <c r="G224" s="2"/>
      <c r="H224" s="86"/>
      <c r="I224" s="2"/>
      <c r="J224" s="2"/>
      <c r="K224" s="2"/>
      <c r="L224" s="2"/>
      <c r="M224" s="2"/>
    </row>
    <row r="225" spans="2:13" ht="15.75" customHeight="1" x14ac:dyDescent="0.2">
      <c r="B225" s="2"/>
      <c r="C225" s="26"/>
      <c r="D225" s="2"/>
      <c r="E225" s="2"/>
      <c r="F225" s="2"/>
      <c r="G225" s="2"/>
      <c r="H225" s="86"/>
      <c r="I225" s="2"/>
      <c r="J225" s="2"/>
      <c r="K225" s="2"/>
      <c r="L225" s="2"/>
      <c r="M225" s="2"/>
    </row>
    <row r="226" spans="2:13" ht="15.75" customHeight="1" x14ac:dyDescent="0.2">
      <c r="B226" s="2"/>
      <c r="C226" s="26"/>
      <c r="D226" s="2"/>
      <c r="E226" s="2"/>
      <c r="F226" s="2"/>
      <c r="G226" s="2"/>
      <c r="H226" s="86"/>
      <c r="I226" s="2"/>
      <c r="J226" s="2"/>
      <c r="K226" s="2"/>
      <c r="L226" s="2"/>
      <c r="M226" s="2"/>
    </row>
    <row r="227" spans="2:13" ht="15.75" customHeight="1" x14ac:dyDescent="0.2">
      <c r="B227" s="2"/>
      <c r="C227" s="26"/>
      <c r="D227" s="2"/>
      <c r="E227" s="2"/>
      <c r="F227" s="2"/>
      <c r="G227" s="2"/>
      <c r="H227" s="86"/>
      <c r="I227" s="2"/>
      <c r="J227" s="2"/>
      <c r="K227" s="2"/>
      <c r="L227" s="2"/>
      <c r="M227" s="2"/>
    </row>
    <row r="228" spans="2:13" ht="15.75" customHeight="1" x14ac:dyDescent="0.2">
      <c r="B228" s="2"/>
      <c r="C228" s="26"/>
      <c r="D228" s="2"/>
      <c r="E228" s="2"/>
      <c r="F228" s="2"/>
      <c r="G228" s="2"/>
      <c r="H228" s="86"/>
      <c r="I228" s="2"/>
      <c r="J228" s="2"/>
      <c r="K228" s="2"/>
      <c r="L228" s="2"/>
      <c r="M228" s="2"/>
    </row>
    <row r="229" spans="2:13" ht="15.75" customHeight="1" x14ac:dyDescent="0.2">
      <c r="B229" s="2"/>
      <c r="C229" s="26"/>
      <c r="D229" s="2"/>
      <c r="E229" s="2"/>
      <c r="F229" s="2"/>
      <c r="G229" s="2"/>
      <c r="H229" s="86"/>
      <c r="I229" s="2"/>
      <c r="J229" s="2"/>
      <c r="K229" s="2"/>
      <c r="L229" s="2"/>
      <c r="M229" s="2"/>
    </row>
    <row r="230" spans="2:13" ht="15.75" customHeight="1" x14ac:dyDescent="0.2">
      <c r="B230" s="2"/>
      <c r="C230" s="26"/>
      <c r="D230" s="2"/>
      <c r="E230" s="2"/>
      <c r="F230" s="2"/>
      <c r="G230" s="2"/>
      <c r="H230" s="86"/>
      <c r="I230" s="2"/>
      <c r="J230" s="2"/>
      <c r="K230" s="2"/>
      <c r="L230" s="2"/>
      <c r="M230" s="2"/>
    </row>
    <row r="231" spans="2:13" ht="15.75" customHeight="1" x14ac:dyDescent="0.2">
      <c r="B231" s="2"/>
      <c r="C231" s="26"/>
      <c r="D231" s="2"/>
      <c r="E231" s="2"/>
      <c r="F231" s="2"/>
      <c r="G231" s="2"/>
      <c r="H231" s="86"/>
      <c r="I231" s="2"/>
      <c r="J231" s="2"/>
      <c r="K231" s="2"/>
      <c r="L231" s="2"/>
      <c r="M231" s="2"/>
    </row>
    <row r="232" spans="2:13" ht="15.75" customHeight="1" x14ac:dyDescent="0.2">
      <c r="B232" s="2"/>
      <c r="C232" s="26"/>
      <c r="D232" s="2"/>
      <c r="E232" s="2"/>
      <c r="F232" s="2"/>
      <c r="G232" s="2"/>
      <c r="H232" s="86"/>
      <c r="I232" s="2"/>
      <c r="J232" s="2"/>
      <c r="K232" s="2"/>
      <c r="L232" s="2"/>
      <c r="M232" s="2"/>
    </row>
    <row r="233" spans="2:13" ht="15.75" customHeight="1" x14ac:dyDescent="0.2">
      <c r="B233" s="2"/>
      <c r="C233" s="26"/>
      <c r="D233" s="2"/>
      <c r="E233" s="2"/>
      <c r="F233" s="2"/>
      <c r="G233" s="2"/>
      <c r="H233" s="86"/>
      <c r="I233" s="2"/>
      <c r="J233" s="2"/>
      <c r="K233" s="2"/>
      <c r="L233" s="2"/>
      <c r="M233" s="2"/>
    </row>
    <row r="234" spans="2:13" ht="15.75" customHeight="1" x14ac:dyDescent="0.2">
      <c r="B234" s="2"/>
      <c r="C234" s="26"/>
      <c r="D234" s="2"/>
      <c r="E234" s="2"/>
      <c r="F234" s="2"/>
      <c r="G234" s="2"/>
      <c r="H234" s="86"/>
      <c r="I234" s="2"/>
      <c r="J234" s="2"/>
      <c r="K234" s="2"/>
      <c r="L234" s="2"/>
      <c r="M234" s="2"/>
    </row>
    <row r="235" spans="2:13" ht="15.75" customHeight="1" x14ac:dyDescent="0.2">
      <c r="B235" s="2"/>
      <c r="C235" s="26"/>
      <c r="D235" s="27"/>
      <c r="E235" s="27"/>
      <c r="F235" s="27"/>
      <c r="G235" s="27"/>
      <c r="H235" s="243"/>
      <c r="I235" s="27"/>
      <c r="J235" s="27"/>
      <c r="K235" s="27"/>
      <c r="L235" s="27"/>
      <c r="M235" s="27"/>
    </row>
    <row r="236" spans="2:13" ht="15.75" customHeight="1" x14ac:dyDescent="0.2">
      <c r="B236" s="2"/>
      <c r="C236" s="26"/>
      <c r="D236" s="27"/>
      <c r="E236" s="27"/>
      <c r="F236" s="27"/>
      <c r="G236" s="27"/>
      <c r="H236" s="243"/>
      <c r="I236" s="27"/>
      <c r="J236" s="27"/>
      <c r="K236" s="27"/>
      <c r="L236" s="27"/>
      <c r="M236" s="27"/>
    </row>
    <row r="237" spans="2:13" ht="15.75" customHeight="1" x14ac:dyDescent="0.2">
      <c r="B237" s="2"/>
      <c r="C237" s="26"/>
      <c r="D237" s="27"/>
      <c r="E237" s="27"/>
      <c r="F237" s="27"/>
      <c r="G237" s="27"/>
      <c r="H237" s="243"/>
      <c r="I237" s="27"/>
      <c r="J237" s="27"/>
      <c r="K237" s="27"/>
      <c r="L237" s="27"/>
      <c r="M237" s="27"/>
    </row>
    <row r="238" spans="2:13" ht="15.75" customHeight="1" x14ac:dyDescent="0.2">
      <c r="B238" s="2"/>
      <c r="C238" s="26"/>
      <c r="D238" s="27"/>
      <c r="E238" s="27"/>
      <c r="F238" s="27"/>
      <c r="G238" s="27"/>
      <c r="H238" s="243"/>
      <c r="I238" s="27"/>
      <c r="J238" s="27"/>
      <c r="K238" s="27"/>
      <c r="L238" s="27"/>
      <c r="M238" s="27"/>
    </row>
    <row r="239" spans="2:13" ht="15.75" customHeight="1" x14ac:dyDescent="0.2">
      <c r="B239" s="2"/>
      <c r="C239" s="26"/>
      <c r="D239" s="27"/>
      <c r="E239" s="27"/>
      <c r="F239" s="27"/>
      <c r="G239" s="27"/>
      <c r="H239" s="243"/>
      <c r="I239" s="27"/>
      <c r="J239" s="27"/>
      <c r="K239" s="27"/>
      <c r="L239" s="27"/>
      <c r="M239" s="27"/>
    </row>
    <row r="240" spans="2:13" ht="15.75" customHeight="1" x14ac:dyDescent="0.2">
      <c r="B240" s="2"/>
      <c r="C240" s="26"/>
      <c r="D240" s="27"/>
      <c r="E240" s="27"/>
      <c r="F240" s="27"/>
      <c r="G240" s="27"/>
      <c r="H240" s="243"/>
      <c r="I240" s="27"/>
      <c r="J240" s="27"/>
      <c r="K240" s="27"/>
      <c r="L240" s="27"/>
      <c r="M240" s="27"/>
    </row>
    <row r="241" spans="2:13" ht="15.75" customHeight="1" x14ac:dyDescent="0.2">
      <c r="B241" s="2"/>
      <c r="C241" s="26"/>
      <c r="D241" s="27"/>
      <c r="E241" s="27"/>
      <c r="F241" s="27"/>
      <c r="G241" s="27"/>
      <c r="H241" s="243"/>
      <c r="I241" s="27"/>
      <c r="J241" s="27"/>
      <c r="K241" s="27"/>
      <c r="L241" s="27"/>
      <c r="M241" s="27"/>
    </row>
    <row r="242" spans="2:13" ht="15.75" customHeight="1" x14ac:dyDescent="0.2">
      <c r="B242" s="2"/>
      <c r="C242" s="26"/>
      <c r="D242" s="27"/>
      <c r="E242" s="27"/>
      <c r="F242" s="27"/>
      <c r="G242" s="27"/>
      <c r="H242" s="243"/>
      <c r="I242" s="27"/>
      <c r="J242" s="27"/>
      <c r="K242" s="27"/>
      <c r="L242" s="27"/>
      <c r="M242" s="27"/>
    </row>
    <row r="243" spans="2:13" ht="15.75" customHeight="1" x14ac:dyDescent="0.2">
      <c r="B243" s="2"/>
      <c r="C243" s="26"/>
      <c r="D243" s="27"/>
      <c r="E243" s="27"/>
      <c r="F243" s="27"/>
      <c r="G243" s="27"/>
      <c r="H243" s="243"/>
      <c r="I243" s="27"/>
      <c r="J243" s="27"/>
      <c r="K243" s="27"/>
      <c r="L243" s="27"/>
      <c r="M243" s="27"/>
    </row>
    <row r="244" spans="2:13" ht="15.75" customHeight="1" x14ac:dyDescent="0.2">
      <c r="B244" s="2"/>
      <c r="C244" s="26"/>
      <c r="D244" s="27"/>
      <c r="E244" s="27"/>
      <c r="F244" s="27"/>
      <c r="G244" s="27"/>
      <c r="H244" s="243"/>
      <c r="I244" s="27"/>
      <c r="J244" s="27"/>
      <c r="K244" s="27"/>
      <c r="L244" s="27"/>
      <c r="M244" s="27"/>
    </row>
    <row r="245" spans="2:13" ht="15.75" customHeight="1" x14ac:dyDescent="0.2">
      <c r="B245" s="2"/>
      <c r="C245" s="26"/>
      <c r="D245" s="27"/>
      <c r="E245" s="27"/>
      <c r="F245" s="27"/>
      <c r="G245" s="27"/>
      <c r="H245" s="243"/>
      <c r="I245" s="27"/>
      <c r="J245" s="27"/>
      <c r="K245" s="27"/>
      <c r="L245" s="27"/>
      <c r="M245" s="27"/>
    </row>
    <row r="246" spans="2:13" ht="15.75" customHeight="1" x14ac:dyDescent="0.2">
      <c r="B246" s="2"/>
      <c r="C246" s="26"/>
      <c r="D246" s="27"/>
      <c r="E246" s="27"/>
      <c r="F246" s="27"/>
      <c r="G246" s="27"/>
      <c r="H246" s="243"/>
      <c r="I246" s="27"/>
      <c r="J246" s="27"/>
      <c r="K246" s="27"/>
      <c r="L246" s="27"/>
      <c r="M246" s="27"/>
    </row>
    <row r="247" spans="2:13" ht="15.75" customHeight="1" x14ac:dyDescent="0.2">
      <c r="B247" s="2"/>
      <c r="C247" s="26"/>
      <c r="D247" s="27"/>
      <c r="E247" s="27"/>
      <c r="F247" s="27"/>
      <c r="G247" s="27"/>
      <c r="H247" s="243"/>
      <c r="I247" s="27"/>
      <c r="J247" s="27"/>
      <c r="K247" s="27"/>
      <c r="L247" s="27"/>
      <c r="M247" s="27"/>
    </row>
    <row r="248" spans="2:13" ht="15.75" customHeight="1" x14ac:dyDescent="0.2">
      <c r="B248" s="2"/>
      <c r="C248" s="26"/>
      <c r="D248" s="27"/>
      <c r="E248" s="27"/>
      <c r="F248" s="27"/>
      <c r="G248" s="27"/>
      <c r="H248" s="243"/>
      <c r="I248" s="27"/>
      <c r="J248" s="27"/>
      <c r="K248" s="27"/>
      <c r="L248" s="27"/>
      <c r="M248" s="27"/>
    </row>
    <row r="249" spans="2:13" ht="15.75" customHeight="1" x14ac:dyDescent="0.2">
      <c r="B249" s="2"/>
      <c r="C249" s="26"/>
      <c r="D249" s="27"/>
      <c r="E249" s="27"/>
      <c r="F249" s="27"/>
      <c r="G249" s="27"/>
      <c r="H249" s="243"/>
      <c r="I249" s="27"/>
      <c r="J249" s="27"/>
      <c r="K249" s="27"/>
      <c r="L249" s="27"/>
      <c r="M249" s="27"/>
    </row>
    <row r="250" spans="2:13" ht="15.75" customHeight="1" x14ac:dyDescent="0.2">
      <c r="B250" s="2"/>
      <c r="C250" s="26"/>
      <c r="D250" s="27"/>
      <c r="E250" s="27"/>
      <c r="F250" s="27"/>
      <c r="G250" s="27"/>
      <c r="H250" s="243"/>
      <c r="I250" s="27"/>
      <c r="J250" s="27"/>
      <c r="K250" s="27"/>
      <c r="L250" s="27"/>
      <c r="M250" s="27"/>
    </row>
    <row r="251" spans="2:13" ht="15.75" customHeight="1" x14ac:dyDescent="0.2">
      <c r="B251" s="2"/>
      <c r="C251" s="26"/>
      <c r="D251" s="27"/>
      <c r="E251" s="27"/>
      <c r="F251" s="27"/>
      <c r="G251" s="27"/>
      <c r="H251" s="243"/>
      <c r="I251" s="27"/>
      <c r="J251" s="27"/>
      <c r="K251" s="27"/>
      <c r="L251" s="27"/>
      <c r="M251" s="27"/>
    </row>
    <row r="252" spans="2:13" ht="15.75" customHeight="1" x14ac:dyDescent="0.2">
      <c r="B252" s="2"/>
      <c r="C252" s="26"/>
      <c r="D252" s="27"/>
      <c r="E252" s="27"/>
      <c r="F252" s="27"/>
      <c r="G252" s="27"/>
      <c r="H252" s="243"/>
      <c r="I252" s="27"/>
      <c r="J252" s="27"/>
      <c r="K252" s="27"/>
      <c r="L252" s="27"/>
      <c r="M252" s="27"/>
    </row>
    <row r="253" spans="2:13" ht="15.75" customHeight="1" x14ac:dyDescent="0.2">
      <c r="B253" s="2"/>
      <c r="C253" s="26"/>
      <c r="D253" s="27"/>
      <c r="E253" s="27"/>
      <c r="F253" s="27"/>
      <c r="G253" s="27"/>
      <c r="H253" s="243"/>
      <c r="I253" s="27"/>
      <c r="J253" s="27"/>
      <c r="K253" s="27"/>
      <c r="L253" s="27"/>
      <c r="M253" s="27"/>
    </row>
    <row r="254" spans="2:13" ht="15.75" customHeight="1" x14ac:dyDescent="0.2">
      <c r="B254" s="2"/>
      <c r="C254" s="26"/>
      <c r="D254" s="27"/>
      <c r="E254" s="27"/>
      <c r="F254" s="27"/>
      <c r="G254" s="27"/>
      <c r="H254" s="243"/>
      <c r="I254" s="27"/>
      <c r="J254" s="27"/>
      <c r="K254" s="27"/>
      <c r="L254" s="27"/>
      <c r="M254" s="27"/>
    </row>
    <row r="255" spans="2:13" ht="15.75" customHeight="1" x14ac:dyDescent="0.2">
      <c r="B255" s="2"/>
      <c r="C255" s="26"/>
      <c r="D255" s="27"/>
      <c r="E255" s="27"/>
      <c r="F255" s="27"/>
      <c r="G255" s="27"/>
      <c r="H255" s="243"/>
      <c r="I255" s="27"/>
      <c r="J255" s="27"/>
      <c r="K255" s="27"/>
      <c r="L255" s="27"/>
      <c r="M255" s="27"/>
    </row>
    <row r="256" spans="2:13" ht="15.75" customHeight="1" x14ac:dyDescent="0.2">
      <c r="B256" s="2"/>
      <c r="C256" s="26"/>
      <c r="D256" s="27"/>
      <c r="E256" s="27"/>
      <c r="F256" s="27"/>
      <c r="G256" s="27"/>
      <c r="H256" s="243"/>
      <c r="I256" s="27"/>
      <c r="J256" s="27"/>
      <c r="K256" s="27"/>
      <c r="L256" s="27"/>
      <c r="M256" s="27"/>
    </row>
    <row r="257" spans="2:13" ht="15.75" customHeight="1" x14ac:dyDescent="0.2">
      <c r="B257" s="2"/>
      <c r="C257" s="26"/>
      <c r="D257" s="27"/>
      <c r="E257" s="27"/>
      <c r="F257" s="27"/>
      <c r="G257" s="27"/>
      <c r="H257" s="243"/>
      <c r="I257" s="27"/>
      <c r="J257" s="27"/>
      <c r="K257" s="27"/>
      <c r="L257" s="27"/>
      <c r="M257" s="27"/>
    </row>
    <row r="258" spans="2:13" ht="15.75" customHeight="1" x14ac:dyDescent="0.2">
      <c r="B258" s="2"/>
      <c r="C258" s="26"/>
      <c r="D258" s="27"/>
      <c r="E258" s="27"/>
      <c r="F258" s="27"/>
      <c r="G258" s="27"/>
      <c r="H258" s="243"/>
      <c r="I258" s="27"/>
      <c r="J258" s="27"/>
      <c r="K258" s="27"/>
      <c r="L258" s="27"/>
      <c r="M258" s="27"/>
    </row>
    <row r="259" spans="2:13" ht="15.75" customHeight="1" x14ac:dyDescent="0.2">
      <c r="B259" s="2"/>
      <c r="C259" s="26"/>
      <c r="D259" s="27"/>
      <c r="E259" s="27"/>
      <c r="F259" s="27"/>
      <c r="G259" s="27"/>
      <c r="H259" s="243"/>
      <c r="I259" s="27"/>
      <c r="J259" s="27"/>
      <c r="K259" s="27"/>
      <c r="L259" s="27"/>
      <c r="M259" s="27"/>
    </row>
    <row r="260" spans="2:13" ht="15.75" customHeight="1" x14ac:dyDescent="0.2">
      <c r="B260" s="2"/>
      <c r="C260" s="26"/>
      <c r="D260" s="27"/>
      <c r="E260" s="27"/>
      <c r="F260" s="27"/>
      <c r="G260" s="27"/>
      <c r="H260" s="243"/>
      <c r="I260" s="27"/>
      <c r="J260" s="27"/>
      <c r="K260" s="27"/>
      <c r="L260" s="27"/>
      <c r="M260" s="27"/>
    </row>
    <row r="261" spans="2:13" ht="15.75" customHeight="1" x14ac:dyDescent="0.2">
      <c r="B261" s="2"/>
      <c r="C261" s="26"/>
      <c r="D261" s="27"/>
      <c r="E261" s="27"/>
      <c r="F261" s="27"/>
      <c r="G261" s="27"/>
      <c r="H261" s="243"/>
      <c r="I261" s="27"/>
      <c r="J261" s="27"/>
      <c r="K261" s="27"/>
      <c r="L261" s="27"/>
      <c r="M261" s="27"/>
    </row>
    <row r="262" spans="2:13" ht="15.75" customHeight="1" x14ac:dyDescent="0.2">
      <c r="B262" s="2"/>
      <c r="C262" s="26"/>
      <c r="D262" s="27"/>
      <c r="E262" s="27"/>
      <c r="F262" s="27"/>
      <c r="G262" s="27"/>
      <c r="H262" s="243"/>
      <c r="I262" s="27"/>
      <c r="J262" s="27"/>
      <c r="K262" s="27"/>
      <c r="L262" s="27"/>
      <c r="M262" s="27"/>
    </row>
    <row r="263" spans="2:13" ht="15.75" customHeight="1" x14ac:dyDescent="0.2">
      <c r="B263" s="2"/>
      <c r="C263" s="26"/>
      <c r="D263" s="27"/>
      <c r="E263" s="27"/>
      <c r="F263" s="27"/>
      <c r="G263" s="27"/>
      <c r="H263" s="243"/>
      <c r="I263" s="27"/>
      <c r="J263" s="27"/>
      <c r="K263" s="27"/>
      <c r="L263" s="27"/>
      <c r="M263" s="27"/>
    </row>
    <row r="264" spans="2:13" ht="15.75" customHeight="1" x14ac:dyDescent="0.2">
      <c r="B264" s="2"/>
      <c r="C264" s="26"/>
      <c r="D264" s="27"/>
      <c r="E264" s="27"/>
      <c r="F264" s="27"/>
      <c r="G264" s="27"/>
      <c r="H264" s="243"/>
      <c r="I264" s="27"/>
      <c r="J264" s="27"/>
      <c r="K264" s="27"/>
      <c r="L264" s="27"/>
      <c r="M264" s="27"/>
    </row>
    <row r="265" spans="2:13" ht="15.75" customHeight="1" x14ac:dyDescent="0.2">
      <c r="B265" s="2"/>
      <c r="C265" s="26"/>
      <c r="D265" s="27"/>
      <c r="E265" s="27"/>
      <c r="F265" s="27"/>
      <c r="G265" s="27"/>
      <c r="H265" s="243"/>
      <c r="I265" s="27"/>
      <c r="J265" s="27"/>
      <c r="K265" s="27"/>
      <c r="L265" s="27"/>
      <c r="M265" s="27"/>
    </row>
    <row r="266" spans="2:13" ht="15.75" customHeight="1" x14ac:dyDescent="0.2">
      <c r="B266" s="2"/>
      <c r="C266" s="26"/>
      <c r="D266" s="27"/>
      <c r="E266" s="27"/>
      <c r="F266" s="27"/>
      <c r="G266" s="27"/>
      <c r="H266" s="243"/>
      <c r="I266" s="27"/>
      <c r="J266" s="27"/>
      <c r="K266" s="27"/>
      <c r="L266" s="27"/>
      <c r="M266" s="27"/>
    </row>
    <row r="267" spans="2:13" ht="15.75" customHeight="1" x14ac:dyDescent="0.2">
      <c r="B267" s="2"/>
      <c r="C267" s="26"/>
      <c r="D267" s="27"/>
      <c r="E267" s="27"/>
      <c r="F267" s="27"/>
      <c r="G267" s="27"/>
      <c r="H267" s="243"/>
      <c r="I267" s="27"/>
      <c r="J267" s="27"/>
      <c r="K267" s="27"/>
      <c r="L267" s="27"/>
      <c r="M267" s="27"/>
    </row>
    <row r="268" spans="2:13" ht="15.75" customHeight="1" x14ac:dyDescent="0.2">
      <c r="B268" s="2"/>
      <c r="C268" s="26"/>
      <c r="D268" s="27"/>
      <c r="E268" s="27"/>
      <c r="F268" s="27"/>
      <c r="G268" s="27"/>
      <c r="H268" s="243"/>
      <c r="I268" s="27"/>
      <c r="J268" s="27"/>
      <c r="K268" s="27"/>
      <c r="L268" s="27"/>
      <c r="M268" s="27"/>
    </row>
    <row r="269" spans="2:13" ht="15.75" customHeight="1" x14ac:dyDescent="0.2">
      <c r="B269" s="2"/>
      <c r="C269" s="26"/>
      <c r="D269" s="27"/>
      <c r="E269" s="27"/>
      <c r="F269" s="27"/>
      <c r="G269" s="27"/>
      <c r="H269" s="243"/>
      <c r="I269" s="27"/>
      <c r="J269" s="27"/>
      <c r="K269" s="27"/>
      <c r="L269" s="27"/>
      <c r="M269" s="27"/>
    </row>
    <row r="270" spans="2:13" ht="15.75" customHeight="1" x14ac:dyDescent="0.2">
      <c r="B270" s="2"/>
      <c r="C270" s="26"/>
      <c r="D270" s="27"/>
      <c r="E270" s="27"/>
      <c r="F270" s="27"/>
      <c r="G270" s="27"/>
      <c r="H270" s="243"/>
      <c r="I270" s="27"/>
      <c r="J270" s="27"/>
      <c r="K270" s="27"/>
      <c r="L270" s="27"/>
      <c r="M270" s="27"/>
    </row>
    <row r="271" spans="2:13" ht="15.75" customHeight="1" x14ac:dyDescent="0.2">
      <c r="B271" s="2"/>
      <c r="C271" s="26"/>
      <c r="D271" s="27"/>
      <c r="E271" s="27"/>
      <c r="F271" s="27"/>
      <c r="G271" s="27"/>
      <c r="H271" s="243"/>
      <c r="I271" s="27"/>
      <c r="J271" s="27"/>
      <c r="K271" s="27"/>
      <c r="L271" s="27"/>
      <c r="M271" s="27"/>
    </row>
    <row r="272" spans="2:13" ht="15.75" customHeight="1" x14ac:dyDescent="0.2">
      <c r="B272" s="2"/>
      <c r="C272" s="26"/>
      <c r="D272" s="27"/>
      <c r="E272" s="27"/>
      <c r="F272" s="27"/>
      <c r="G272" s="27"/>
      <c r="H272" s="243"/>
      <c r="I272" s="27"/>
      <c r="J272" s="27"/>
      <c r="K272" s="27"/>
      <c r="L272" s="27"/>
      <c r="M272" s="27"/>
    </row>
    <row r="273" spans="2:13" ht="15.75" customHeight="1" x14ac:dyDescent="0.2">
      <c r="B273" s="2"/>
      <c r="C273" s="26"/>
      <c r="D273" s="27"/>
      <c r="E273" s="27"/>
      <c r="F273" s="27"/>
      <c r="G273" s="27"/>
      <c r="H273" s="243"/>
      <c r="I273" s="27"/>
      <c r="J273" s="27"/>
      <c r="K273" s="27"/>
      <c r="L273" s="27"/>
      <c r="M273" s="27"/>
    </row>
    <row r="274" spans="2:13" ht="15.75" customHeight="1" x14ac:dyDescent="0.2">
      <c r="B274" s="2"/>
      <c r="C274" s="26"/>
      <c r="D274" s="27"/>
      <c r="E274" s="27"/>
      <c r="F274" s="27"/>
      <c r="G274" s="27"/>
      <c r="H274" s="243"/>
      <c r="I274" s="27"/>
      <c r="J274" s="27"/>
      <c r="K274" s="27"/>
      <c r="L274" s="27"/>
      <c r="M274" s="27"/>
    </row>
    <row r="275" spans="2:13" ht="15.75" customHeight="1" x14ac:dyDescent="0.2">
      <c r="B275" s="2"/>
      <c r="C275" s="26"/>
      <c r="D275" s="27"/>
      <c r="E275" s="27"/>
      <c r="F275" s="27"/>
      <c r="G275" s="27"/>
      <c r="H275" s="243"/>
      <c r="I275" s="27"/>
      <c r="J275" s="27"/>
      <c r="K275" s="27"/>
      <c r="L275" s="27"/>
      <c r="M275" s="27"/>
    </row>
    <row r="276" spans="2:13" ht="15.75" customHeight="1" x14ac:dyDescent="0.2">
      <c r="B276" s="2"/>
      <c r="C276" s="26"/>
      <c r="D276" s="27"/>
      <c r="E276" s="27"/>
      <c r="F276" s="27"/>
      <c r="G276" s="27"/>
      <c r="H276" s="243"/>
      <c r="I276" s="27"/>
      <c r="J276" s="27"/>
      <c r="K276" s="27"/>
      <c r="L276" s="27"/>
      <c r="M276" s="27"/>
    </row>
    <row r="277" spans="2:13" ht="15.75" customHeight="1" x14ac:dyDescent="0.2">
      <c r="B277" s="2"/>
      <c r="C277" s="26"/>
      <c r="D277" s="27"/>
      <c r="E277" s="27"/>
      <c r="F277" s="27"/>
      <c r="G277" s="27"/>
      <c r="H277" s="243"/>
      <c r="I277" s="27"/>
      <c r="J277" s="27"/>
      <c r="K277" s="27"/>
      <c r="L277" s="27"/>
      <c r="M277" s="27"/>
    </row>
    <row r="278" spans="2:13" ht="15.75" customHeight="1" x14ac:dyDescent="0.2">
      <c r="B278" s="2"/>
      <c r="C278" s="26"/>
      <c r="D278" s="27"/>
      <c r="E278" s="27"/>
      <c r="F278" s="27"/>
      <c r="G278" s="27"/>
      <c r="H278" s="243"/>
      <c r="I278" s="27"/>
      <c r="J278" s="27"/>
      <c r="K278" s="27"/>
      <c r="L278" s="27"/>
      <c r="M278" s="27"/>
    </row>
    <row r="279" spans="2:13" ht="15.75" customHeight="1" x14ac:dyDescent="0.2">
      <c r="B279" s="2"/>
      <c r="C279" s="26"/>
      <c r="D279" s="27"/>
      <c r="E279" s="27"/>
      <c r="F279" s="27"/>
      <c r="G279" s="27"/>
      <c r="H279" s="243"/>
      <c r="I279" s="27"/>
      <c r="J279" s="27"/>
      <c r="K279" s="27"/>
      <c r="L279" s="27"/>
      <c r="M279" s="27"/>
    </row>
    <row r="280" spans="2:13" ht="15.75" customHeight="1" x14ac:dyDescent="0.2">
      <c r="B280" s="2"/>
      <c r="C280" s="26"/>
      <c r="D280" s="27"/>
      <c r="E280" s="27"/>
      <c r="F280" s="27"/>
      <c r="G280" s="27"/>
      <c r="H280" s="243"/>
      <c r="I280" s="27"/>
      <c r="J280" s="27"/>
      <c r="K280" s="27"/>
      <c r="L280" s="27"/>
      <c r="M280" s="27"/>
    </row>
    <row r="281" spans="2:13" ht="15.75" customHeight="1" x14ac:dyDescent="0.2">
      <c r="B281" s="2"/>
      <c r="C281" s="26"/>
      <c r="D281" s="27"/>
      <c r="E281" s="27"/>
      <c r="F281" s="27"/>
      <c r="G281" s="27"/>
      <c r="H281" s="243"/>
      <c r="I281" s="27"/>
      <c r="J281" s="27"/>
      <c r="K281" s="27"/>
      <c r="L281" s="27"/>
      <c r="M281" s="27"/>
    </row>
    <row r="282" spans="2:13" ht="15.75" customHeight="1" x14ac:dyDescent="0.2">
      <c r="B282" s="2"/>
      <c r="C282" s="26"/>
      <c r="D282" s="27"/>
      <c r="E282" s="27"/>
      <c r="F282" s="27"/>
      <c r="G282" s="27"/>
      <c r="H282" s="243"/>
      <c r="I282" s="27"/>
      <c r="J282" s="27"/>
      <c r="K282" s="27"/>
      <c r="L282" s="27"/>
      <c r="M282" s="27"/>
    </row>
    <row r="283" spans="2:13" ht="15.75" customHeight="1" x14ac:dyDescent="0.2">
      <c r="B283" s="2"/>
      <c r="C283" s="26"/>
      <c r="D283" s="27"/>
      <c r="E283" s="27"/>
      <c r="F283" s="27"/>
      <c r="G283" s="27"/>
      <c r="H283" s="243"/>
      <c r="I283" s="27"/>
      <c r="J283" s="27"/>
      <c r="K283" s="27"/>
      <c r="L283" s="27"/>
      <c r="M283" s="27"/>
    </row>
    <row r="284" spans="2:13" ht="15.75" customHeight="1" x14ac:dyDescent="0.2">
      <c r="B284" s="2"/>
      <c r="C284" s="26"/>
      <c r="D284" s="27"/>
      <c r="E284" s="27"/>
      <c r="F284" s="27"/>
      <c r="G284" s="27"/>
      <c r="H284" s="243"/>
      <c r="I284" s="27"/>
      <c r="J284" s="27"/>
      <c r="K284" s="27"/>
      <c r="L284" s="27"/>
      <c r="M284" s="27"/>
    </row>
    <row r="285" spans="2:13" ht="15.75" customHeight="1" x14ac:dyDescent="0.2">
      <c r="B285" s="2"/>
      <c r="C285" s="26"/>
      <c r="D285" s="27"/>
      <c r="E285" s="27"/>
      <c r="F285" s="27"/>
      <c r="G285" s="27"/>
      <c r="H285" s="243"/>
      <c r="I285" s="27"/>
      <c r="J285" s="27"/>
      <c r="K285" s="27"/>
      <c r="L285" s="27"/>
      <c r="M285" s="27"/>
    </row>
    <row r="286" spans="2:13" ht="15.75" customHeight="1" x14ac:dyDescent="0.2">
      <c r="B286" s="2"/>
      <c r="C286" s="26"/>
      <c r="D286" s="27"/>
      <c r="E286" s="27"/>
      <c r="F286" s="27"/>
      <c r="G286" s="27"/>
      <c r="H286" s="243"/>
      <c r="I286" s="27"/>
      <c r="J286" s="27"/>
      <c r="K286" s="27"/>
      <c r="L286" s="27"/>
      <c r="M286" s="27"/>
    </row>
    <row r="287" spans="2:13" ht="15.75" customHeight="1" x14ac:dyDescent="0.2">
      <c r="B287" s="2"/>
      <c r="C287" s="26"/>
      <c r="D287" s="27"/>
      <c r="E287" s="27"/>
      <c r="F287" s="27"/>
      <c r="G287" s="27"/>
      <c r="H287" s="243"/>
      <c r="I287" s="27"/>
      <c r="J287" s="27"/>
      <c r="K287" s="27"/>
      <c r="L287" s="27"/>
      <c r="M287" s="27"/>
    </row>
    <row r="288" spans="2:13" ht="15.75" customHeight="1" x14ac:dyDescent="0.2">
      <c r="B288" s="2"/>
      <c r="C288" s="26"/>
      <c r="D288" s="27"/>
      <c r="E288" s="27"/>
      <c r="F288" s="27"/>
      <c r="G288" s="27"/>
      <c r="H288" s="243"/>
      <c r="I288" s="27"/>
      <c r="J288" s="27"/>
      <c r="K288" s="27"/>
      <c r="L288" s="27"/>
      <c r="M288" s="27"/>
    </row>
    <row r="289" spans="2:13" ht="15.75" customHeight="1" x14ac:dyDescent="0.2">
      <c r="B289" s="2"/>
      <c r="C289" s="26"/>
      <c r="D289" s="27"/>
      <c r="E289" s="27"/>
      <c r="F289" s="27"/>
      <c r="G289" s="27"/>
      <c r="H289" s="243"/>
      <c r="I289" s="27"/>
      <c r="J289" s="27"/>
      <c r="K289" s="27"/>
      <c r="L289" s="27"/>
      <c r="M289" s="27"/>
    </row>
    <row r="290" spans="2:13" ht="15.75" customHeight="1" x14ac:dyDescent="0.2">
      <c r="B290" s="2"/>
      <c r="C290" s="26"/>
      <c r="D290" s="27"/>
      <c r="E290" s="27"/>
      <c r="F290" s="27"/>
      <c r="G290" s="27"/>
      <c r="H290" s="243"/>
      <c r="I290" s="27"/>
      <c r="J290" s="27"/>
      <c r="K290" s="27"/>
      <c r="L290" s="27"/>
      <c r="M290" s="27"/>
    </row>
    <row r="291" spans="2:13" ht="15.75" customHeight="1" x14ac:dyDescent="0.2">
      <c r="B291" s="2"/>
      <c r="C291" s="26"/>
      <c r="D291" s="27"/>
      <c r="E291" s="27"/>
      <c r="F291" s="27"/>
      <c r="G291" s="27"/>
      <c r="H291" s="243"/>
      <c r="I291" s="27"/>
      <c r="J291" s="27"/>
      <c r="K291" s="27"/>
      <c r="L291" s="27"/>
      <c r="M291" s="27"/>
    </row>
    <row r="292" spans="2:13" ht="15.75" customHeight="1" x14ac:dyDescent="0.2">
      <c r="B292" s="2"/>
      <c r="C292" s="26"/>
      <c r="D292" s="27"/>
      <c r="E292" s="27"/>
      <c r="F292" s="27"/>
      <c r="G292" s="27"/>
      <c r="H292" s="243"/>
      <c r="I292" s="27"/>
      <c r="J292" s="27"/>
      <c r="K292" s="27"/>
      <c r="L292" s="27"/>
      <c r="M292" s="27"/>
    </row>
    <row r="293" spans="2:13" ht="15.75" customHeight="1" x14ac:dyDescent="0.2">
      <c r="B293" s="2"/>
      <c r="C293" s="26"/>
      <c r="D293" s="27"/>
      <c r="E293" s="27"/>
      <c r="F293" s="27"/>
      <c r="G293" s="27"/>
      <c r="H293" s="243"/>
      <c r="I293" s="27"/>
      <c r="J293" s="27"/>
      <c r="K293" s="27"/>
      <c r="L293" s="27"/>
      <c r="M293" s="27"/>
    </row>
    <row r="294" spans="2:13" ht="15.75" customHeight="1" x14ac:dyDescent="0.2">
      <c r="B294" s="2"/>
      <c r="C294" s="26"/>
      <c r="D294" s="27"/>
      <c r="E294" s="27"/>
      <c r="F294" s="27"/>
      <c r="G294" s="27"/>
      <c r="H294" s="243"/>
      <c r="I294" s="27"/>
      <c r="J294" s="27"/>
      <c r="K294" s="27"/>
      <c r="L294" s="27"/>
      <c r="M294" s="27"/>
    </row>
    <row r="295" spans="2:13" ht="15.75" customHeight="1" x14ac:dyDescent="0.2">
      <c r="B295" s="2"/>
      <c r="C295" s="26"/>
      <c r="D295" s="27"/>
      <c r="E295" s="27"/>
      <c r="F295" s="27"/>
      <c r="G295" s="27"/>
      <c r="H295" s="243"/>
      <c r="I295" s="27"/>
      <c r="J295" s="27"/>
      <c r="K295" s="27"/>
      <c r="L295" s="27"/>
      <c r="M295" s="27"/>
    </row>
    <row r="296" spans="2:13" ht="15.75" customHeight="1" x14ac:dyDescent="0.2">
      <c r="B296" s="2"/>
      <c r="C296" s="26"/>
      <c r="D296" s="27"/>
      <c r="E296" s="27"/>
      <c r="F296" s="27"/>
      <c r="G296" s="27"/>
      <c r="H296" s="243"/>
      <c r="I296" s="27"/>
      <c r="J296" s="27"/>
      <c r="K296" s="27"/>
      <c r="L296" s="27"/>
      <c r="M296" s="27"/>
    </row>
    <row r="297" spans="2:13" ht="15.75" customHeight="1" x14ac:dyDescent="0.2">
      <c r="B297" s="2"/>
      <c r="C297" s="26"/>
      <c r="D297" s="27"/>
      <c r="E297" s="27"/>
      <c r="F297" s="27"/>
      <c r="G297" s="27"/>
      <c r="H297" s="243"/>
      <c r="I297" s="27"/>
      <c r="J297" s="27"/>
      <c r="K297" s="27"/>
      <c r="L297" s="27"/>
      <c r="M297" s="27"/>
    </row>
    <row r="298" spans="2:13" ht="15.75" customHeight="1" x14ac:dyDescent="0.2">
      <c r="B298" s="2"/>
      <c r="C298" s="26"/>
      <c r="D298" s="27"/>
      <c r="E298" s="27"/>
      <c r="F298" s="27"/>
      <c r="G298" s="27"/>
      <c r="H298" s="243"/>
      <c r="I298" s="27"/>
      <c r="J298" s="27"/>
      <c r="K298" s="27"/>
      <c r="L298" s="27"/>
      <c r="M298" s="27"/>
    </row>
    <row r="299" spans="2:13" ht="15.75" customHeight="1" x14ac:dyDescent="0.2">
      <c r="B299" s="2"/>
      <c r="C299" s="26"/>
      <c r="D299" s="27"/>
      <c r="E299" s="27"/>
      <c r="F299" s="27"/>
      <c r="G299" s="27"/>
      <c r="H299" s="243"/>
      <c r="I299" s="27"/>
      <c r="J299" s="27"/>
      <c r="K299" s="27"/>
      <c r="L299" s="27"/>
      <c r="M299" s="27"/>
    </row>
    <row r="300" spans="2:13" ht="15.75" customHeight="1" x14ac:dyDescent="0.2">
      <c r="B300" s="2"/>
      <c r="C300" s="26"/>
      <c r="D300" s="27"/>
      <c r="E300" s="27"/>
      <c r="F300" s="27"/>
      <c r="G300" s="27"/>
      <c r="H300" s="243"/>
      <c r="I300" s="27"/>
      <c r="J300" s="27"/>
      <c r="K300" s="27"/>
      <c r="L300" s="27"/>
      <c r="M300" s="27"/>
    </row>
    <row r="301" spans="2:13" ht="15.75" customHeight="1" x14ac:dyDescent="0.2">
      <c r="B301" s="2"/>
      <c r="C301" s="26"/>
      <c r="D301" s="27"/>
      <c r="E301" s="27"/>
      <c r="F301" s="27"/>
      <c r="G301" s="27"/>
      <c r="H301" s="243"/>
      <c r="I301" s="27"/>
      <c r="J301" s="27"/>
      <c r="K301" s="27"/>
      <c r="L301" s="27"/>
      <c r="M301" s="27"/>
    </row>
    <row r="302" spans="2:13" ht="15.75" customHeight="1" x14ac:dyDescent="0.2">
      <c r="B302" s="2"/>
      <c r="C302" s="26"/>
      <c r="D302" s="27"/>
      <c r="E302" s="27"/>
      <c r="F302" s="27"/>
      <c r="G302" s="27"/>
      <c r="H302" s="243"/>
      <c r="I302" s="27"/>
      <c r="J302" s="27"/>
      <c r="K302" s="27"/>
      <c r="L302" s="27"/>
      <c r="M302" s="27"/>
    </row>
    <row r="303" spans="2:13" ht="15.75" customHeight="1" x14ac:dyDescent="0.2">
      <c r="B303" s="2"/>
      <c r="C303" s="26"/>
      <c r="D303" s="27"/>
      <c r="E303" s="27"/>
      <c r="F303" s="27"/>
      <c r="G303" s="27"/>
      <c r="H303" s="243"/>
      <c r="I303" s="27"/>
      <c r="J303" s="27"/>
      <c r="K303" s="27"/>
      <c r="L303" s="27"/>
      <c r="M303" s="27"/>
    </row>
    <row r="304" spans="2:13" ht="15.75" customHeight="1" x14ac:dyDescent="0.2">
      <c r="B304" s="2"/>
      <c r="C304" s="26"/>
      <c r="D304" s="27"/>
      <c r="E304" s="27"/>
      <c r="F304" s="27"/>
      <c r="G304" s="27"/>
      <c r="H304" s="243"/>
      <c r="I304" s="27"/>
      <c r="J304" s="27"/>
      <c r="K304" s="27"/>
      <c r="L304" s="27"/>
      <c r="M304" s="27"/>
    </row>
    <row r="305" spans="2:13" ht="15.75" customHeight="1" x14ac:dyDescent="0.2">
      <c r="B305" s="2"/>
      <c r="C305" s="26"/>
      <c r="D305" s="27"/>
      <c r="E305" s="27"/>
      <c r="F305" s="27"/>
      <c r="G305" s="27"/>
      <c r="H305" s="243"/>
      <c r="I305" s="27"/>
      <c r="J305" s="27"/>
      <c r="K305" s="27"/>
      <c r="L305" s="27"/>
      <c r="M305" s="27"/>
    </row>
    <row r="306" spans="2:13" ht="15.75" customHeight="1" x14ac:dyDescent="0.2">
      <c r="B306" s="2"/>
      <c r="C306" s="26"/>
      <c r="D306" s="27"/>
      <c r="E306" s="27"/>
      <c r="F306" s="27"/>
      <c r="G306" s="27"/>
      <c r="H306" s="243"/>
      <c r="I306" s="27"/>
      <c r="J306" s="27"/>
      <c r="K306" s="27"/>
      <c r="L306" s="27"/>
      <c r="M306" s="27"/>
    </row>
    <row r="307" spans="2:13" ht="15.75" customHeight="1" x14ac:dyDescent="0.2">
      <c r="B307" s="2"/>
      <c r="C307" s="26"/>
      <c r="D307" s="27"/>
      <c r="E307" s="27"/>
      <c r="F307" s="27"/>
      <c r="G307" s="27"/>
      <c r="H307" s="243"/>
      <c r="I307" s="27"/>
      <c r="J307" s="27"/>
      <c r="K307" s="27"/>
      <c r="L307" s="27"/>
      <c r="M307" s="27"/>
    </row>
    <row r="308" spans="2:13" ht="15.75" customHeight="1" x14ac:dyDescent="0.2">
      <c r="B308" s="2"/>
      <c r="C308" s="26"/>
      <c r="D308" s="27"/>
      <c r="E308" s="27"/>
      <c r="F308" s="27"/>
      <c r="G308" s="27"/>
      <c r="H308" s="243"/>
      <c r="I308" s="27"/>
      <c r="J308" s="27"/>
      <c r="K308" s="27"/>
      <c r="L308" s="27"/>
      <c r="M308" s="27"/>
    </row>
    <row r="309" spans="2:13" ht="15.75" customHeight="1" x14ac:dyDescent="0.2">
      <c r="B309" s="2"/>
      <c r="C309" s="26"/>
      <c r="D309" s="27"/>
      <c r="E309" s="27"/>
      <c r="F309" s="27"/>
      <c r="G309" s="27"/>
      <c r="H309" s="243"/>
      <c r="I309" s="27"/>
      <c r="J309" s="27"/>
      <c r="K309" s="27"/>
      <c r="L309" s="27"/>
      <c r="M309" s="27"/>
    </row>
    <row r="310" spans="2:13" ht="15.75" customHeight="1" x14ac:dyDescent="0.2">
      <c r="B310" s="2"/>
      <c r="C310" s="26"/>
      <c r="D310" s="27"/>
      <c r="E310" s="27"/>
      <c r="F310" s="27"/>
      <c r="G310" s="27"/>
      <c r="H310" s="243"/>
      <c r="I310" s="27"/>
      <c r="J310" s="27"/>
      <c r="K310" s="27"/>
      <c r="L310" s="27"/>
      <c r="M310" s="27"/>
    </row>
    <row r="311" spans="2:13" ht="15.75" customHeight="1" x14ac:dyDescent="0.2">
      <c r="B311" s="2"/>
      <c r="C311" s="26"/>
      <c r="D311" s="27"/>
      <c r="E311" s="27"/>
      <c r="F311" s="27"/>
      <c r="G311" s="27"/>
      <c r="H311" s="243"/>
      <c r="I311" s="27"/>
      <c r="J311" s="27"/>
      <c r="K311" s="27"/>
      <c r="L311" s="27"/>
      <c r="M311" s="27"/>
    </row>
    <row r="312" spans="2:13" ht="15.75" customHeight="1" x14ac:dyDescent="0.2">
      <c r="B312" s="2"/>
      <c r="C312" s="26"/>
      <c r="D312" s="27"/>
      <c r="E312" s="27"/>
      <c r="F312" s="27"/>
      <c r="G312" s="27"/>
      <c r="H312" s="243"/>
      <c r="I312" s="27"/>
      <c r="J312" s="27"/>
      <c r="K312" s="27"/>
      <c r="L312" s="27"/>
      <c r="M312" s="27"/>
    </row>
    <row r="313" spans="2:13" ht="15.75" customHeight="1" x14ac:dyDescent="0.2">
      <c r="B313" s="2"/>
      <c r="C313" s="26"/>
      <c r="D313" s="27"/>
      <c r="E313" s="27"/>
      <c r="F313" s="27"/>
      <c r="G313" s="27"/>
      <c r="H313" s="243"/>
      <c r="I313" s="27"/>
      <c r="J313" s="27"/>
      <c r="K313" s="27"/>
      <c r="L313" s="27"/>
      <c r="M313" s="27"/>
    </row>
    <row r="314" spans="2:13" ht="15.75" customHeight="1" x14ac:dyDescent="0.2">
      <c r="B314" s="2"/>
      <c r="C314" s="26"/>
      <c r="D314" s="27"/>
      <c r="E314" s="27"/>
      <c r="F314" s="27"/>
      <c r="G314" s="27"/>
      <c r="H314" s="243"/>
      <c r="I314" s="27"/>
      <c r="J314" s="27"/>
      <c r="K314" s="27"/>
      <c r="L314" s="27"/>
      <c r="M314" s="27"/>
    </row>
    <row r="315" spans="2:13" ht="15.75" customHeight="1" x14ac:dyDescent="0.2">
      <c r="B315" s="2"/>
      <c r="C315" s="26"/>
      <c r="D315" s="27"/>
      <c r="E315" s="27"/>
      <c r="F315" s="27"/>
      <c r="G315" s="27"/>
      <c r="H315" s="243"/>
      <c r="I315" s="27"/>
      <c r="J315" s="27"/>
      <c r="K315" s="27"/>
      <c r="L315" s="27"/>
      <c r="M315" s="27"/>
    </row>
    <row r="316" spans="2:13" ht="15.75" customHeight="1" x14ac:dyDescent="0.2">
      <c r="B316" s="2"/>
      <c r="C316" s="26"/>
      <c r="D316" s="27"/>
      <c r="E316" s="27"/>
      <c r="F316" s="27"/>
      <c r="G316" s="27"/>
      <c r="H316" s="243"/>
      <c r="I316" s="27"/>
      <c r="J316" s="27"/>
      <c r="K316" s="27"/>
      <c r="L316" s="27"/>
      <c r="M316" s="27"/>
    </row>
    <row r="317" spans="2:13" ht="15.75" customHeight="1" x14ac:dyDescent="0.2">
      <c r="B317" s="2"/>
      <c r="C317" s="26"/>
      <c r="D317" s="27"/>
      <c r="E317" s="27"/>
      <c r="F317" s="27"/>
      <c r="G317" s="27"/>
      <c r="H317" s="243"/>
      <c r="I317" s="27"/>
      <c r="J317" s="27"/>
      <c r="K317" s="27"/>
      <c r="L317" s="27"/>
      <c r="M317" s="27"/>
    </row>
    <row r="318" spans="2:13" ht="15.75" customHeight="1" x14ac:dyDescent="0.2">
      <c r="B318" s="2"/>
      <c r="C318" s="26"/>
      <c r="D318" s="27"/>
      <c r="E318" s="27"/>
      <c r="F318" s="27"/>
      <c r="G318" s="27"/>
      <c r="H318" s="243"/>
      <c r="I318" s="27"/>
      <c r="J318" s="27"/>
      <c r="K318" s="27"/>
      <c r="L318" s="27"/>
      <c r="M318" s="27"/>
    </row>
    <row r="319" spans="2:13" ht="15.75" customHeight="1" x14ac:dyDescent="0.2">
      <c r="B319" s="2"/>
      <c r="C319" s="26"/>
      <c r="D319" s="27"/>
      <c r="E319" s="27"/>
      <c r="F319" s="27"/>
      <c r="G319" s="27"/>
      <c r="H319" s="243"/>
      <c r="I319" s="27"/>
      <c r="J319" s="27"/>
      <c r="K319" s="27"/>
      <c r="L319" s="27"/>
      <c r="M319" s="27"/>
    </row>
    <row r="320" spans="2:13" ht="15.75" customHeight="1" x14ac:dyDescent="0.2">
      <c r="B320" s="2"/>
      <c r="C320" s="26"/>
      <c r="D320" s="27"/>
      <c r="E320" s="27"/>
      <c r="F320" s="27"/>
      <c r="G320" s="27"/>
      <c r="H320" s="243"/>
      <c r="I320" s="27"/>
      <c r="J320" s="27"/>
      <c r="K320" s="27"/>
      <c r="L320" s="27"/>
      <c r="M320" s="27"/>
    </row>
    <row r="321" spans="2:13" ht="15.75" customHeight="1" x14ac:dyDescent="0.2">
      <c r="B321" s="2"/>
      <c r="C321" s="26"/>
      <c r="D321" s="27"/>
      <c r="E321" s="27"/>
      <c r="F321" s="27"/>
      <c r="G321" s="27"/>
      <c r="H321" s="243"/>
      <c r="I321" s="27"/>
      <c r="J321" s="27"/>
      <c r="K321" s="27"/>
      <c r="L321" s="27"/>
      <c r="M321" s="27"/>
    </row>
    <row r="322" spans="2:13" ht="15.75" customHeight="1" x14ac:dyDescent="0.2">
      <c r="B322" s="2"/>
      <c r="C322" s="26"/>
      <c r="D322" s="27"/>
      <c r="E322" s="27"/>
      <c r="F322" s="27"/>
      <c r="G322" s="27"/>
      <c r="H322" s="243"/>
      <c r="I322" s="27"/>
      <c r="J322" s="27"/>
      <c r="K322" s="27"/>
      <c r="L322" s="27"/>
      <c r="M322" s="27"/>
    </row>
    <row r="323" spans="2:13" ht="15.75" customHeight="1" x14ac:dyDescent="0.2">
      <c r="B323" s="2"/>
      <c r="C323" s="26"/>
      <c r="D323" s="27"/>
      <c r="E323" s="27"/>
      <c r="F323" s="27"/>
      <c r="G323" s="27"/>
      <c r="H323" s="243"/>
      <c r="I323" s="27"/>
      <c r="J323" s="27"/>
      <c r="K323" s="27"/>
      <c r="L323" s="27"/>
      <c r="M323" s="27"/>
    </row>
    <row r="324" spans="2:13" ht="15.75" customHeight="1" x14ac:dyDescent="0.2">
      <c r="B324" s="2"/>
      <c r="C324" s="26"/>
      <c r="D324" s="27"/>
      <c r="E324" s="27"/>
      <c r="F324" s="27"/>
      <c r="G324" s="27"/>
      <c r="H324" s="243"/>
      <c r="I324" s="27"/>
      <c r="J324" s="27"/>
      <c r="K324" s="27"/>
      <c r="L324" s="27"/>
      <c r="M324" s="27"/>
    </row>
    <row r="325" spans="2:13" ht="15.75" customHeight="1" x14ac:dyDescent="0.2">
      <c r="B325" s="2"/>
      <c r="C325" s="26"/>
      <c r="D325" s="27"/>
      <c r="E325" s="27"/>
      <c r="F325" s="27"/>
      <c r="G325" s="27"/>
      <c r="H325" s="243"/>
      <c r="I325" s="27"/>
      <c r="J325" s="27"/>
      <c r="K325" s="27"/>
      <c r="L325" s="27"/>
      <c r="M325" s="27"/>
    </row>
    <row r="326" spans="2:13" ht="15.75" customHeight="1" x14ac:dyDescent="0.2">
      <c r="B326" s="2"/>
      <c r="C326" s="26"/>
      <c r="D326" s="27"/>
      <c r="E326" s="27"/>
      <c r="F326" s="27"/>
      <c r="G326" s="27"/>
      <c r="H326" s="243"/>
      <c r="I326" s="27"/>
      <c r="J326" s="27"/>
      <c r="K326" s="27"/>
      <c r="L326" s="27"/>
      <c r="M326" s="27"/>
    </row>
    <row r="327" spans="2:13" ht="15.75" customHeight="1" x14ac:dyDescent="0.2">
      <c r="B327" s="2"/>
      <c r="C327" s="26"/>
      <c r="D327" s="27"/>
      <c r="E327" s="27"/>
      <c r="F327" s="27"/>
      <c r="G327" s="27"/>
      <c r="H327" s="243"/>
      <c r="I327" s="27"/>
      <c r="J327" s="27"/>
      <c r="K327" s="27"/>
      <c r="L327" s="27"/>
      <c r="M327" s="27"/>
    </row>
    <row r="328" spans="2:13" ht="15.75" customHeight="1" x14ac:dyDescent="0.2">
      <c r="B328" s="2"/>
      <c r="C328" s="26"/>
      <c r="D328" s="27"/>
      <c r="E328" s="27"/>
      <c r="F328" s="27"/>
      <c r="G328" s="27"/>
      <c r="H328" s="243"/>
      <c r="I328" s="27"/>
      <c r="J328" s="27"/>
      <c r="K328" s="27"/>
      <c r="L328" s="27"/>
      <c r="M328" s="27"/>
    </row>
    <row r="329" spans="2:13" ht="15.75" customHeight="1" x14ac:dyDescent="0.2">
      <c r="B329" s="2"/>
      <c r="C329" s="26"/>
      <c r="D329" s="27"/>
      <c r="E329" s="27"/>
      <c r="F329" s="27"/>
      <c r="G329" s="27"/>
      <c r="H329" s="243"/>
      <c r="I329" s="27"/>
      <c r="J329" s="27"/>
      <c r="K329" s="27"/>
      <c r="L329" s="27"/>
      <c r="M329" s="27"/>
    </row>
    <row r="330" spans="2:13" ht="15.75" customHeight="1" x14ac:dyDescent="0.2">
      <c r="B330" s="2"/>
      <c r="C330" s="26"/>
      <c r="D330" s="27"/>
      <c r="E330" s="27"/>
      <c r="F330" s="27"/>
      <c r="G330" s="27"/>
      <c r="H330" s="243"/>
      <c r="I330" s="27"/>
      <c r="J330" s="27"/>
      <c r="K330" s="27"/>
      <c r="L330" s="27"/>
      <c r="M330" s="27"/>
    </row>
    <row r="331" spans="2:13" ht="15.75" customHeight="1" x14ac:dyDescent="0.2">
      <c r="B331" s="2"/>
      <c r="C331" s="26"/>
      <c r="D331" s="27"/>
      <c r="E331" s="27"/>
      <c r="F331" s="27"/>
      <c r="G331" s="27"/>
      <c r="H331" s="243"/>
      <c r="I331" s="27"/>
      <c r="J331" s="27"/>
      <c r="K331" s="27"/>
      <c r="L331" s="27"/>
      <c r="M331" s="27"/>
    </row>
    <row r="332" spans="2:13" ht="15.75" customHeight="1" x14ac:dyDescent="0.2">
      <c r="B332" s="2"/>
      <c r="C332" s="26"/>
      <c r="D332" s="27"/>
      <c r="E332" s="27"/>
      <c r="F332" s="27"/>
      <c r="G332" s="27"/>
      <c r="H332" s="243"/>
      <c r="I332" s="27"/>
      <c r="J332" s="27"/>
      <c r="K332" s="27"/>
      <c r="L332" s="27"/>
      <c r="M332" s="27"/>
    </row>
    <row r="333" spans="2:13" ht="15.75" customHeight="1" x14ac:dyDescent="0.2">
      <c r="B333" s="2"/>
      <c r="C333" s="26"/>
      <c r="D333" s="27"/>
      <c r="E333" s="27"/>
      <c r="F333" s="27"/>
      <c r="G333" s="27"/>
      <c r="H333" s="243"/>
      <c r="I333" s="27"/>
      <c r="J333" s="27"/>
      <c r="K333" s="27"/>
      <c r="L333" s="27"/>
      <c r="M333" s="27"/>
    </row>
    <row r="334" spans="2:13" ht="15.75" customHeight="1" x14ac:dyDescent="0.2">
      <c r="B334" s="2"/>
      <c r="C334" s="26"/>
      <c r="D334" s="27"/>
      <c r="E334" s="27"/>
      <c r="F334" s="27"/>
      <c r="G334" s="27"/>
      <c r="H334" s="243"/>
      <c r="I334" s="27"/>
      <c r="J334" s="27"/>
      <c r="K334" s="27"/>
      <c r="L334" s="27"/>
      <c r="M334" s="27"/>
    </row>
    <row r="335" spans="2:13" ht="15.75" customHeight="1" x14ac:dyDescent="0.2">
      <c r="B335" s="2"/>
      <c r="C335" s="26"/>
      <c r="D335" s="27"/>
      <c r="E335" s="27"/>
      <c r="F335" s="27"/>
      <c r="G335" s="27"/>
      <c r="H335" s="243"/>
      <c r="I335" s="27"/>
      <c r="J335" s="27"/>
      <c r="K335" s="27"/>
      <c r="L335" s="27"/>
      <c r="M335" s="27"/>
    </row>
    <row r="336" spans="2:13" ht="15.75" customHeight="1" x14ac:dyDescent="0.2">
      <c r="B336" s="2"/>
      <c r="C336" s="26"/>
      <c r="D336" s="27"/>
      <c r="E336" s="27"/>
      <c r="F336" s="27"/>
      <c r="G336" s="27"/>
      <c r="H336" s="243"/>
      <c r="I336" s="27"/>
      <c r="J336" s="27"/>
      <c r="K336" s="27"/>
      <c r="L336" s="27"/>
      <c r="M336" s="27"/>
    </row>
    <row r="337" spans="2:13" ht="15.75" customHeight="1" x14ac:dyDescent="0.2">
      <c r="B337" s="2"/>
      <c r="C337" s="26"/>
      <c r="D337" s="27"/>
      <c r="E337" s="27"/>
      <c r="F337" s="27"/>
      <c r="G337" s="27"/>
      <c r="H337" s="243"/>
      <c r="I337" s="27"/>
      <c r="J337" s="27"/>
      <c r="K337" s="27"/>
      <c r="L337" s="27"/>
      <c r="M337" s="27"/>
    </row>
    <row r="338" spans="2:13" ht="15.75" customHeight="1" x14ac:dyDescent="0.2">
      <c r="B338" s="2"/>
      <c r="C338" s="26"/>
      <c r="D338" s="27"/>
      <c r="E338" s="27"/>
      <c r="F338" s="27"/>
      <c r="G338" s="27"/>
      <c r="H338" s="243"/>
      <c r="I338" s="27"/>
      <c r="J338" s="27"/>
      <c r="K338" s="27"/>
      <c r="L338" s="27"/>
      <c r="M338" s="27"/>
    </row>
    <row r="339" spans="2:13" ht="15.75" customHeight="1" x14ac:dyDescent="0.2">
      <c r="B339" s="2"/>
      <c r="C339" s="26"/>
      <c r="D339" s="27"/>
      <c r="E339" s="27"/>
      <c r="F339" s="27"/>
      <c r="G339" s="27"/>
      <c r="H339" s="243"/>
      <c r="I339" s="27"/>
      <c r="J339" s="27"/>
      <c r="K339" s="27"/>
      <c r="L339" s="27"/>
      <c r="M339" s="27"/>
    </row>
    <row r="340" spans="2:13" ht="15.75" customHeight="1" x14ac:dyDescent="0.2">
      <c r="B340" s="2"/>
      <c r="C340" s="26"/>
      <c r="D340" s="27"/>
      <c r="E340" s="27"/>
      <c r="F340" s="27"/>
      <c r="G340" s="27"/>
      <c r="H340" s="243"/>
      <c r="I340" s="27"/>
      <c r="J340" s="27"/>
      <c r="K340" s="27"/>
      <c r="L340" s="27"/>
      <c r="M340" s="27"/>
    </row>
    <row r="341" spans="2:13" ht="15.75" customHeight="1" x14ac:dyDescent="0.2">
      <c r="B341" s="2"/>
      <c r="C341" s="26"/>
      <c r="D341" s="27"/>
      <c r="E341" s="27"/>
      <c r="F341" s="27"/>
      <c r="G341" s="27"/>
      <c r="H341" s="243"/>
      <c r="I341" s="27"/>
      <c r="J341" s="27"/>
      <c r="K341" s="27"/>
      <c r="L341" s="27"/>
      <c r="M341" s="27"/>
    </row>
    <row r="342" spans="2:13" ht="15.75" customHeight="1" x14ac:dyDescent="0.2">
      <c r="B342" s="2"/>
      <c r="C342" s="26"/>
      <c r="D342" s="27"/>
      <c r="E342" s="27"/>
      <c r="F342" s="27"/>
      <c r="G342" s="27"/>
      <c r="H342" s="243"/>
      <c r="I342" s="27"/>
      <c r="J342" s="27"/>
      <c r="K342" s="27"/>
      <c r="L342" s="27"/>
      <c r="M342" s="27"/>
    </row>
    <row r="343" spans="2:13" ht="15.75" customHeight="1" x14ac:dyDescent="0.2">
      <c r="B343" s="2"/>
      <c r="C343" s="26"/>
      <c r="D343" s="27"/>
      <c r="E343" s="27"/>
      <c r="F343" s="27"/>
      <c r="G343" s="27"/>
      <c r="H343" s="243"/>
      <c r="I343" s="27"/>
      <c r="J343" s="27"/>
      <c r="K343" s="27"/>
      <c r="L343" s="27"/>
      <c r="M343" s="27"/>
    </row>
    <row r="344" spans="2:13" ht="15.75" customHeight="1" x14ac:dyDescent="0.2">
      <c r="B344" s="2"/>
      <c r="C344" s="26"/>
      <c r="D344" s="27"/>
      <c r="E344" s="27"/>
      <c r="F344" s="27"/>
      <c r="G344" s="27"/>
      <c r="H344" s="243"/>
      <c r="I344" s="27"/>
      <c r="J344" s="27"/>
      <c r="K344" s="27"/>
      <c r="L344" s="27"/>
      <c r="M344" s="27"/>
    </row>
    <row r="345" spans="2:13" ht="15.75" customHeight="1" x14ac:dyDescent="0.2">
      <c r="B345" s="2"/>
      <c r="C345" s="26"/>
      <c r="D345" s="27"/>
      <c r="E345" s="27"/>
      <c r="F345" s="27"/>
      <c r="G345" s="27"/>
      <c r="H345" s="243"/>
      <c r="I345" s="27"/>
      <c r="J345" s="27"/>
      <c r="K345" s="27"/>
      <c r="L345" s="27"/>
      <c r="M345" s="27"/>
    </row>
    <row r="346" spans="2:13" ht="15.75" customHeight="1" x14ac:dyDescent="0.2">
      <c r="B346" s="2"/>
      <c r="C346" s="26"/>
      <c r="D346" s="27"/>
      <c r="E346" s="27"/>
      <c r="F346" s="27"/>
      <c r="G346" s="27"/>
      <c r="H346" s="243"/>
      <c r="I346" s="27"/>
      <c r="J346" s="27"/>
      <c r="K346" s="27"/>
      <c r="L346" s="27"/>
      <c r="M346" s="27"/>
    </row>
    <row r="347" spans="2:13" ht="15.75" customHeight="1" x14ac:dyDescent="0.2">
      <c r="B347" s="2"/>
      <c r="C347" s="26"/>
      <c r="D347" s="27"/>
      <c r="E347" s="27"/>
      <c r="F347" s="27"/>
      <c r="G347" s="27"/>
      <c r="H347" s="243"/>
      <c r="I347" s="27"/>
      <c r="J347" s="27"/>
      <c r="K347" s="27"/>
      <c r="L347" s="27"/>
      <c r="M347" s="27"/>
    </row>
    <row r="348" spans="2:13" ht="15.75" customHeight="1" x14ac:dyDescent="0.2">
      <c r="B348" s="2"/>
      <c r="C348" s="26"/>
      <c r="D348" s="27"/>
      <c r="E348" s="27"/>
      <c r="F348" s="27"/>
      <c r="G348" s="27"/>
      <c r="H348" s="243"/>
      <c r="I348" s="27"/>
      <c r="J348" s="27"/>
      <c r="K348" s="27"/>
      <c r="L348" s="27"/>
      <c r="M348" s="27"/>
    </row>
    <row r="349" spans="2:13" ht="15.75" customHeight="1" x14ac:dyDescent="0.2">
      <c r="B349" s="2"/>
      <c r="C349" s="26"/>
      <c r="D349" s="27"/>
      <c r="E349" s="27"/>
      <c r="F349" s="27"/>
      <c r="G349" s="27"/>
      <c r="H349" s="243"/>
      <c r="I349" s="27"/>
      <c r="J349" s="27"/>
      <c r="K349" s="27"/>
      <c r="L349" s="27"/>
      <c r="M349" s="27"/>
    </row>
    <row r="350" spans="2:13" ht="15.75" customHeight="1" x14ac:dyDescent="0.2">
      <c r="B350" s="2"/>
      <c r="C350" s="26"/>
      <c r="D350" s="27"/>
      <c r="E350" s="27"/>
      <c r="F350" s="27"/>
      <c r="G350" s="27"/>
      <c r="H350" s="243"/>
      <c r="I350" s="27"/>
      <c r="J350" s="27"/>
      <c r="K350" s="27"/>
      <c r="L350" s="27"/>
      <c r="M350" s="27"/>
    </row>
    <row r="351" spans="2:13" ht="15.75" customHeight="1" x14ac:dyDescent="0.2">
      <c r="B351" s="2"/>
      <c r="C351" s="26"/>
      <c r="D351" s="27"/>
      <c r="E351" s="27"/>
      <c r="F351" s="27"/>
      <c r="G351" s="27"/>
      <c r="H351" s="243"/>
      <c r="I351" s="27"/>
      <c r="J351" s="27"/>
      <c r="K351" s="27"/>
      <c r="L351" s="27"/>
      <c r="M351" s="27"/>
    </row>
    <row r="352" spans="2:13" ht="15.75" customHeight="1" x14ac:dyDescent="0.2">
      <c r="B352" s="2"/>
      <c r="C352" s="26"/>
      <c r="D352" s="27"/>
      <c r="E352" s="27"/>
      <c r="F352" s="27"/>
      <c r="G352" s="27"/>
      <c r="H352" s="243"/>
      <c r="I352" s="27"/>
      <c r="J352" s="27"/>
      <c r="K352" s="27"/>
      <c r="L352" s="27"/>
      <c r="M352" s="27"/>
    </row>
    <row r="353" spans="2:13" ht="15.75" customHeight="1" x14ac:dyDescent="0.2">
      <c r="B353" s="2"/>
      <c r="C353" s="26"/>
      <c r="D353" s="27"/>
      <c r="E353" s="27"/>
      <c r="F353" s="27"/>
      <c r="G353" s="27"/>
      <c r="H353" s="243"/>
      <c r="I353" s="27"/>
      <c r="J353" s="27"/>
      <c r="K353" s="27"/>
      <c r="L353" s="27"/>
      <c r="M353" s="27"/>
    </row>
    <row r="354" spans="2:13" ht="15.75" customHeight="1" x14ac:dyDescent="0.2">
      <c r="B354" s="2"/>
      <c r="C354" s="26"/>
      <c r="D354" s="27"/>
      <c r="E354" s="27"/>
      <c r="F354" s="27"/>
      <c r="G354" s="27"/>
      <c r="H354" s="243"/>
      <c r="I354" s="27"/>
      <c r="J354" s="27"/>
      <c r="K354" s="27"/>
      <c r="L354" s="27"/>
      <c r="M354" s="27"/>
    </row>
    <row r="355" spans="2:13" ht="15.75" customHeight="1" x14ac:dyDescent="0.2">
      <c r="B355" s="2"/>
      <c r="C355" s="26"/>
      <c r="D355" s="27"/>
      <c r="E355" s="27"/>
      <c r="F355" s="27"/>
      <c r="G355" s="27"/>
      <c r="H355" s="243"/>
      <c r="I355" s="27"/>
      <c r="J355" s="27"/>
      <c r="K355" s="27"/>
      <c r="L355" s="27"/>
      <c r="M355" s="27"/>
    </row>
    <row r="356" spans="2:13" ht="15.75" customHeight="1" x14ac:dyDescent="0.2">
      <c r="B356" s="2"/>
      <c r="C356" s="26"/>
      <c r="D356" s="27"/>
      <c r="E356" s="27"/>
      <c r="F356" s="27"/>
      <c r="G356" s="27"/>
      <c r="H356" s="243"/>
      <c r="I356" s="27"/>
      <c r="J356" s="27"/>
      <c r="K356" s="27"/>
      <c r="L356" s="27"/>
      <c r="M356" s="27"/>
    </row>
    <row r="357" spans="2:13" ht="15.75" customHeight="1" x14ac:dyDescent="0.2">
      <c r="B357" s="2"/>
      <c r="C357" s="26"/>
      <c r="D357" s="27"/>
      <c r="E357" s="27"/>
      <c r="F357" s="27"/>
      <c r="G357" s="27"/>
      <c r="H357" s="243"/>
      <c r="I357" s="27"/>
      <c r="J357" s="27"/>
      <c r="K357" s="27"/>
      <c r="L357" s="27"/>
      <c r="M357" s="27"/>
    </row>
    <row r="358" spans="2:13" ht="15.75" customHeight="1" x14ac:dyDescent="0.2">
      <c r="B358" s="2"/>
      <c r="C358" s="26"/>
      <c r="D358" s="27"/>
      <c r="E358" s="27"/>
      <c r="F358" s="27"/>
      <c r="G358" s="27"/>
      <c r="H358" s="243"/>
      <c r="I358" s="27"/>
      <c r="J358" s="27"/>
      <c r="K358" s="27"/>
      <c r="L358" s="27"/>
      <c r="M358" s="27"/>
    </row>
    <row r="359" spans="2:13" ht="15.75" customHeight="1" x14ac:dyDescent="0.2">
      <c r="B359" s="2"/>
      <c r="C359" s="26"/>
      <c r="D359" s="27"/>
      <c r="E359" s="27"/>
      <c r="F359" s="27"/>
      <c r="G359" s="27"/>
      <c r="H359" s="243"/>
      <c r="I359" s="27"/>
      <c r="J359" s="27"/>
      <c r="K359" s="27"/>
      <c r="L359" s="27"/>
      <c r="M359" s="27"/>
    </row>
    <row r="360" spans="2:13" ht="15.75" customHeight="1" x14ac:dyDescent="0.2">
      <c r="B360" s="2"/>
      <c r="C360" s="26"/>
      <c r="D360" s="27"/>
      <c r="E360" s="27"/>
      <c r="F360" s="27"/>
      <c r="G360" s="27"/>
      <c r="H360" s="243"/>
      <c r="I360" s="27"/>
      <c r="J360" s="27"/>
      <c r="K360" s="27"/>
      <c r="L360" s="27"/>
      <c r="M360" s="27"/>
    </row>
    <row r="361" spans="2:13" ht="15.75" customHeight="1" x14ac:dyDescent="0.2">
      <c r="B361" s="2"/>
      <c r="C361" s="26"/>
      <c r="D361" s="27"/>
      <c r="E361" s="27"/>
      <c r="F361" s="27"/>
      <c r="G361" s="27"/>
      <c r="H361" s="243"/>
      <c r="I361" s="27"/>
      <c r="J361" s="27"/>
      <c r="K361" s="27"/>
      <c r="L361" s="27"/>
      <c r="M361" s="27"/>
    </row>
    <row r="362" spans="2:13" ht="15.75" customHeight="1" x14ac:dyDescent="0.2">
      <c r="B362" s="2"/>
      <c r="C362" s="26"/>
      <c r="D362" s="27"/>
      <c r="E362" s="27"/>
      <c r="F362" s="27"/>
      <c r="G362" s="27"/>
      <c r="H362" s="243"/>
      <c r="I362" s="27"/>
      <c r="J362" s="27"/>
      <c r="K362" s="27"/>
      <c r="L362" s="27"/>
      <c r="M362" s="27"/>
    </row>
    <row r="363" spans="2:13" ht="15.75" customHeight="1" x14ac:dyDescent="0.2">
      <c r="B363" s="2"/>
      <c r="C363" s="26"/>
      <c r="D363" s="27"/>
      <c r="E363" s="27"/>
      <c r="F363" s="27"/>
      <c r="G363" s="27"/>
      <c r="H363" s="243"/>
      <c r="I363" s="27"/>
      <c r="J363" s="27"/>
      <c r="K363" s="27"/>
      <c r="L363" s="27"/>
      <c r="M363" s="27"/>
    </row>
    <row r="364" spans="2:13" ht="15.75" customHeight="1" x14ac:dyDescent="0.2">
      <c r="B364" s="2"/>
      <c r="C364" s="26"/>
      <c r="D364" s="27"/>
      <c r="E364" s="27"/>
      <c r="F364" s="27"/>
      <c r="G364" s="27"/>
      <c r="H364" s="243"/>
      <c r="I364" s="27"/>
      <c r="J364" s="27"/>
      <c r="K364" s="27"/>
      <c r="L364" s="27"/>
      <c r="M364" s="27"/>
    </row>
    <row r="365" spans="2:13" ht="15.75" customHeight="1" x14ac:dyDescent="0.2">
      <c r="B365" s="2"/>
      <c r="C365" s="26"/>
      <c r="D365" s="27"/>
      <c r="E365" s="27"/>
      <c r="F365" s="27"/>
      <c r="G365" s="27"/>
      <c r="H365" s="243"/>
      <c r="I365" s="27"/>
      <c r="J365" s="27"/>
      <c r="K365" s="27"/>
      <c r="L365" s="27"/>
      <c r="M365" s="27"/>
    </row>
    <row r="366" spans="2:13" ht="15.75" customHeight="1" x14ac:dyDescent="0.2">
      <c r="B366" s="2"/>
      <c r="C366" s="26"/>
      <c r="D366" s="27"/>
      <c r="E366" s="27"/>
      <c r="F366" s="27"/>
      <c r="G366" s="27"/>
      <c r="H366" s="243"/>
      <c r="I366" s="27"/>
      <c r="J366" s="27"/>
      <c r="K366" s="27"/>
      <c r="L366" s="27"/>
      <c r="M366" s="27"/>
    </row>
    <row r="367" spans="2:13" ht="15.75" customHeight="1" x14ac:dyDescent="0.2">
      <c r="B367" s="2"/>
      <c r="C367" s="26"/>
      <c r="D367" s="27"/>
      <c r="E367" s="27"/>
      <c r="F367" s="27"/>
      <c r="G367" s="27"/>
      <c r="H367" s="243"/>
      <c r="I367" s="27"/>
      <c r="J367" s="27"/>
      <c r="K367" s="27"/>
      <c r="L367" s="27"/>
      <c r="M367" s="27"/>
    </row>
    <row r="368" spans="2:13" ht="15.75" customHeight="1" x14ac:dyDescent="0.2">
      <c r="B368" s="2"/>
      <c r="C368" s="26"/>
      <c r="D368" s="27"/>
      <c r="E368" s="27"/>
      <c r="F368" s="27"/>
      <c r="G368" s="27"/>
      <c r="H368" s="243"/>
      <c r="I368" s="27"/>
      <c r="J368" s="27"/>
      <c r="K368" s="27"/>
      <c r="L368" s="27"/>
      <c r="M368" s="27"/>
    </row>
    <row r="369" spans="2:13" ht="15.75" customHeight="1" x14ac:dyDescent="0.2">
      <c r="B369" s="2"/>
      <c r="C369" s="26"/>
      <c r="D369" s="27"/>
      <c r="E369" s="27"/>
      <c r="F369" s="27"/>
      <c r="G369" s="27"/>
      <c r="H369" s="243"/>
      <c r="I369" s="27"/>
      <c r="J369" s="27"/>
      <c r="K369" s="27"/>
      <c r="L369" s="27"/>
      <c r="M369" s="27"/>
    </row>
    <row r="370" spans="2:13" ht="15.75" customHeight="1" x14ac:dyDescent="0.2">
      <c r="B370" s="2"/>
      <c r="C370" s="26"/>
      <c r="D370" s="27"/>
      <c r="E370" s="27"/>
      <c r="F370" s="27"/>
      <c r="G370" s="27"/>
      <c r="H370" s="243"/>
      <c r="I370" s="27"/>
      <c r="J370" s="27"/>
      <c r="K370" s="27"/>
      <c r="L370" s="27"/>
      <c r="M370" s="27"/>
    </row>
    <row r="371" spans="2:13" ht="15.75" customHeight="1" x14ac:dyDescent="0.2">
      <c r="B371" s="2"/>
      <c r="C371" s="26"/>
      <c r="D371" s="27"/>
      <c r="E371" s="27"/>
      <c r="F371" s="27"/>
      <c r="G371" s="27"/>
      <c r="H371" s="243"/>
      <c r="I371" s="27"/>
      <c r="J371" s="27"/>
      <c r="K371" s="27"/>
      <c r="L371" s="27"/>
      <c r="M371" s="27"/>
    </row>
    <row r="372" spans="2:13" ht="15.75" customHeight="1" x14ac:dyDescent="0.2">
      <c r="B372" s="2"/>
      <c r="C372" s="26"/>
      <c r="D372" s="27"/>
      <c r="E372" s="27"/>
      <c r="F372" s="27"/>
      <c r="G372" s="27"/>
      <c r="H372" s="243"/>
      <c r="I372" s="27"/>
      <c r="J372" s="27"/>
      <c r="K372" s="27"/>
      <c r="L372" s="27"/>
      <c r="M372" s="27"/>
    </row>
    <row r="373" spans="2:13" ht="15.75" customHeight="1" x14ac:dyDescent="0.2">
      <c r="B373" s="2"/>
      <c r="C373" s="26"/>
      <c r="D373" s="27"/>
      <c r="E373" s="27"/>
      <c r="F373" s="27"/>
      <c r="G373" s="27"/>
      <c r="H373" s="243"/>
      <c r="I373" s="27"/>
      <c r="J373" s="27"/>
      <c r="K373" s="27"/>
      <c r="L373" s="27"/>
      <c r="M373" s="27"/>
    </row>
    <row r="374" spans="2:13" ht="15.75" customHeight="1" x14ac:dyDescent="0.2">
      <c r="B374" s="2"/>
      <c r="C374" s="26"/>
      <c r="D374" s="27"/>
      <c r="E374" s="27"/>
      <c r="F374" s="27"/>
      <c r="G374" s="27"/>
      <c r="H374" s="243"/>
      <c r="I374" s="27"/>
      <c r="J374" s="27"/>
      <c r="K374" s="27"/>
      <c r="L374" s="27"/>
      <c r="M374" s="27"/>
    </row>
    <row r="375" spans="2:13" ht="15.75" customHeight="1" x14ac:dyDescent="0.2">
      <c r="B375" s="2"/>
      <c r="C375" s="26"/>
      <c r="D375" s="27"/>
      <c r="E375" s="27"/>
      <c r="F375" s="27"/>
      <c r="G375" s="27"/>
      <c r="H375" s="243"/>
      <c r="I375" s="27"/>
      <c r="J375" s="27"/>
      <c r="K375" s="27"/>
      <c r="L375" s="27"/>
      <c r="M375" s="27"/>
    </row>
    <row r="376" spans="2:13" ht="15.75" customHeight="1" x14ac:dyDescent="0.2">
      <c r="B376" s="2"/>
      <c r="C376" s="26"/>
      <c r="D376" s="27"/>
      <c r="E376" s="27"/>
      <c r="F376" s="27"/>
      <c r="G376" s="27"/>
      <c r="H376" s="243"/>
      <c r="I376" s="27"/>
      <c r="J376" s="27"/>
      <c r="K376" s="27"/>
      <c r="L376" s="27"/>
      <c r="M376" s="27"/>
    </row>
    <row r="377" spans="2:13" ht="15.75" customHeight="1" x14ac:dyDescent="0.2">
      <c r="B377" s="2"/>
      <c r="C377" s="26"/>
      <c r="D377" s="27"/>
      <c r="E377" s="27"/>
      <c r="F377" s="27"/>
      <c r="G377" s="27"/>
      <c r="H377" s="243"/>
      <c r="I377" s="27"/>
      <c r="J377" s="27"/>
      <c r="K377" s="27"/>
      <c r="L377" s="27"/>
      <c r="M377" s="27"/>
    </row>
    <row r="378" spans="2:13" ht="15.75" customHeight="1" x14ac:dyDescent="0.2">
      <c r="B378" s="2"/>
      <c r="C378" s="26"/>
      <c r="D378" s="27"/>
      <c r="E378" s="27"/>
      <c r="F378" s="27"/>
      <c r="G378" s="27"/>
      <c r="H378" s="243"/>
      <c r="I378" s="27"/>
      <c r="J378" s="27"/>
      <c r="K378" s="27"/>
      <c r="L378" s="27"/>
      <c r="M378" s="27"/>
    </row>
    <row r="379" spans="2:13" ht="15.75" customHeight="1" x14ac:dyDescent="0.2">
      <c r="B379" s="2"/>
      <c r="C379" s="26"/>
      <c r="D379" s="27"/>
      <c r="E379" s="27"/>
      <c r="F379" s="27"/>
      <c r="G379" s="27"/>
      <c r="H379" s="243"/>
      <c r="I379" s="27"/>
      <c r="J379" s="27"/>
      <c r="K379" s="27"/>
      <c r="L379" s="27"/>
      <c r="M379" s="27"/>
    </row>
    <row r="380" spans="2:13" ht="15.75" customHeight="1" x14ac:dyDescent="0.2">
      <c r="B380" s="2"/>
      <c r="C380" s="26"/>
      <c r="D380" s="27"/>
      <c r="E380" s="27"/>
      <c r="F380" s="27"/>
      <c r="G380" s="27"/>
      <c r="H380" s="243"/>
      <c r="I380" s="27"/>
      <c r="J380" s="27"/>
      <c r="K380" s="27"/>
      <c r="L380" s="27"/>
      <c r="M380" s="27"/>
    </row>
    <row r="381" spans="2:13" ht="15.75" customHeight="1" x14ac:dyDescent="0.2">
      <c r="B381" s="2"/>
      <c r="C381" s="26"/>
      <c r="D381" s="27"/>
      <c r="E381" s="27"/>
      <c r="F381" s="27"/>
      <c r="G381" s="27"/>
      <c r="H381" s="243"/>
      <c r="I381" s="27"/>
      <c r="J381" s="27"/>
      <c r="K381" s="27"/>
      <c r="L381" s="27"/>
      <c r="M381" s="27"/>
    </row>
    <row r="382" spans="2:13" ht="15.75" customHeight="1" x14ac:dyDescent="0.2">
      <c r="B382" s="2"/>
      <c r="C382" s="26"/>
      <c r="D382" s="27"/>
      <c r="E382" s="27"/>
      <c r="F382" s="27"/>
      <c r="G382" s="27"/>
      <c r="H382" s="243"/>
      <c r="I382" s="27"/>
      <c r="J382" s="27"/>
      <c r="K382" s="27"/>
      <c r="L382" s="27"/>
      <c r="M382" s="27"/>
    </row>
    <row r="383" spans="2:13" ht="15.75" customHeight="1" x14ac:dyDescent="0.2">
      <c r="B383" s="2"/>
      <c r="C383" s="26"/>
      <c r="D383" s="27"/>
      <c r="E383" s="27"/>
      <c r="F383" s="27"/>
      <c r="G383" s="27"/>
      <c r="H383" s="243"/>
      <c r="I383" s="27"/>
      <c r="J383" s="27"/>
      <c r="K383" s="27"/>
      <c r="L383" s="27"/>
      <c r="M383" s="27"/>
    </row>
    <row r="384" spans="2:13" ht="15.75" customHeight="1" x14ac:dyDescent="0.2">
      <c r="B384" s="2"/>
      <c r="C384" s="26"/>
      <c r="D384" s="27"/>
      <c r="E384" s="27"/>
      <c r="F384" s="27"/>
      <c r="G384" s="27"/>
      <c r="H384" s="243"/>
      <c r="I384" s="27"/>
      <c r="J384" s="27"/>
      <c r="K384" s="27"/>
      <c r="L384" s="27"/>
      <c r="M384" s="27"/>
    </row>
    <row r="385" spans="2:13" ht="15.75" customHeight="1" x14ac:dyDescent="0.2">
      <c r="B385" s="2"/>
      <c r="C385" s="26"/>
      <c r="D385" s="27"/>
      <c r="E385" s="27"/>
      <c r="F385" s="27"/>
      <c r="G385" s="27"/>
      <c r="H385" s="243"/>
      <c r="I385" s="27"/>
      <c r="J385" s="27"/>
      <c r="K385" s="27"/>
      <c r="L385" s="27"/>
      <c r="M385" s="27"/>
    </row>
    <row r="386" spans="2:13" ht="15.75" customHeight="1" x14ac:dyDescent="0.2">
      <c r="B386" s="2"/>
      <c r="C386" s="26"/>
      <c r="D386" s="27"/>
      <c r="E386" s="27"/>
      <c r="F386" s="27"/>
      <c r="G386" s="27"/>
      <c r="H386" s="243"/>
      <c r="I386" s="27"/>
      <c r="J386" s="27"/>
      <c r="K386" s="27"/>
      <c r="L386" s="27"/>
      <c r="M386" s="27"/>
    </row>
    <row r="387" spans="2:13" ht="15.75" customHeight="1" x14ac:dyDescent="0.2">
      <c r="B387" s="2"/>
      <c r="C387" s="26"/>
      <c r="D387" s="27"/>
      <c r="E387" s="27"/>
      <c r="F387" s="27"/>
      <c r="G387" s="27"/>
      <c r="H387" s="243"/>
      <c r="I387" s="27"/>
      <c r="J387" s="27"/>
      <c r="K387" s="27"/>
      <c r="L387" s="27"/>
      <c r="M387" s="27"/>
    </row>
    <row r="388" spans="2:13" ht="15.75" customHeight="1" x14ac:dyDescent="0.2">
      <c r="B388" s="2"/>
      <c r="C388" s="26"/>
      <c r="D388" s="27"/>
      <c r="E388" s="27"/>
      <c r="F388" s="27"/>
      <c r="G388" s="27"/>
      <c r="H388" s="243"/>
      <c r="I388" s="27"/>
      <c r="J388" s="27"/>
      <c r="K388" s="27"/>
      <c r="L388" s="27"/>
      <c r="M388" s="27"/>
    </row>
    <row r="389" spans="2:13" ht="15.75" customHeight="1" x14ac:dyDescent="0.2">
      <c r="B389" s="2"/>
      <c r="C389" s="26"/>
      <c r="D389" s="27"/>
      <c r="E389" s="27"/>
      <c r="F389" s="27"/>
      <c r="G389" s="27"/>
      <c r="H389" s="243"/>
      <c r="I389" s="27"/>
      <c r="J389" s="27"/>
      <c r="K389" s="27"/>
      <c r="L389" s="27"/>
      <c r="M389" s="27"/>
    </row>
    <row r="390" spans="2:13" ht="15.75" customHeight="1" x14ac:dyDescent="0.2">
      <c r="B390" s="2"/>
      <c r="C390" s="26"/>
      <c r="D390" s="27"/>
      <c r="E390" s="27"/>
      <c r="F390" s="27"/>
      <c r="G390" s="27"/>
      <c r="H390" s="243"/>
      <c r="I390" s="27"/>
      <c r="J390" s="27"/>
      <c r="K390" s="27"/>
      <c r="L390" s="27"/>
      <c r="M390" s="27"/>
    </row>
    <row r="391" spans="2:13" ht="15.75" customHeight="1" x14ac:dyDescent="0.2">
      <c r="B391" s="2"/>
      <c r="C391" s="26"/>
      <c r="D391" s="27"/>
      <c r="E391" s="27"/>
      <c r="F391" s="27"/>
      <c r="G391" s="27"/>
      <c r="H391" s="243"/>
      <c r="I391" s="27"/>
      <c r="J391" s="27"/>
      <c r="K391" s="27"/>
      <c r="L391" s="27"/>
      <c r="M391" s="27"/>
    </row>
    <row r="392" spans="2:13" ht="15.75" customHeight="1" x14ac:dyDescent="0.2">
      <c r="B392" s="2"/>
      <c r="C392" s="26"/>
      <c r="D392" s="27"/>
      <c r="E392" s="27"/>
      <c r="F392" s="27"/>
      <c r="G392" s="27"/>
      <c r="H392" s="243"/>
      <c r="I392" s="27"/>
      <c r="J392" s="27"/>
      <c r="K392" s="27"/>
      <c r="L392" s="27"/>
      <c r="M392" s="27"/>
    </row>
    <row r="393" spans="2:13" ht="15.75" customHeight="1" x14ac:dyDescent="0.2">
      <c r="B393" s="2"/>
      <c r="C393" s="26"/>
      <c r="D393" s="27"/>
      <c r="E393" s="27"/>
      <c r="F393" s="27"/>
      <c r="G393" s="27"/>
      <c r="H393" s="243"/>
      <c r="I393" s="27"/>
      <c r="J393" s="27"/>
      <c r="K393" s="27"/>
      <c r="L393" s="27"/>
      <c r="M393" s="27"/>
    </row>
    <row r="394" spans="2:13" ht="15.75" customHeight="1" x14ac:dyDescent="0.2">
      <c r="B394" s="2"/>
      <c r="C394" s="26"/>
      <c r="D394" s="27"/>
      <c r="E394" s="27"/>
      <c r="F394" s="27"/>
      <c r="G394" s="27"/>
      <c r="H394" s="243"/>
      <c r="I394" s="27"/>
      <c r="J394" s="27"/>
      <c r="K394" s="27"/>
      <c r="L394" s="27"/>
      <c r="M394" s="27"/>
    </row>
    <row r="395" spans="2:13" ht="15.75" customHeight="1" x14ac:dyDescent="0.2">
      <c r="B395" s="2"/>
      <c r="C395" s="26"/>
      <c r="D395" s="27"/>
      <c r="E395" s="27"/>
      <c r="F395" s="27"/>
      <c r="G395" s="27"/>
      <c r="H395" s="243"/>
      <c r="I395" s="27"/>
      <c r="J395" s="27"/>
      <c r="K395" s="27"/>
      <c r="L395" s="27"/>
      <c r="M395" s="27"/>
    </row>
    <row r="396" spans="2:13" ht="15.75" customHeight="1" x14ac:dyDescent="0.2">
      <c r="B396" s="2"/>
      <c r="C396" s="26"/>
      <c r="D396" s="27"/>
      <c r="E396" s="27"/>
      <c r="F396" s="27"/>
      <c r="G396" s="27"/>
      <c r="H396" s="243"/>
      <c r="I396" s="27"/>
      <c r="J396" s="27"/>
      <c r="K396" s="27"/>
      <c r="L396" s="27"/>
      <c r="M396" s="27"/>
    </row>
    <row r="397" spans="2:13" ht="15.75" customHeight="1" x14ac:dyDescent="0.2">
      <c r="B397" s="2"/>
      <c r="C397" s="26"/>
      <c r="D397" s="27"/>
      <c r="E397" s="27"/>
      <c r="F397" s="27"/>
      <c r="G397" s="27"/>
      <c r="H397" s="243"/>
      <c r="I397" s="27"/>
      <c r="J397" s="27"/>
      <c r="K397" s="27"/>
      <c r="L397" s="27"/>
      <c r="M397" s="27"/>
    </row>
    <row r="398" spans="2:13" ht="15.75" customHeight="1" x14ac:dyDescent="0.2">
      <c r="B398" s="2"/>
      <c r="C398" s="26"/>
      <c r="D398" s="27"/>
      <c r="E398" s="27"/>
      <c r="F398" s="27"/>
      <c r="G398" s="27"/>
      <c r="H398" s="243"/>
      <c r="I398" s="27"/>
      <c r="J398" s="27"/>
      <c r="K398" s="27"/>
      <c r="L398" s="27"/>
      <c r="M398" s="27"/>
    </row>
    <row r="399" spans="2:13" ht="15.75" customHeight="1" x14ac:dyDescent="0.2">
      <c r="B399" s="2"/>
      <c r="C399" s="26"/>
      <c r="D399" s="27"/>
      <c r="E399" s="27"/>
      <c r="F399" s="27"/>
      <c r="G399" s="27"/>
      <c r="H399" s="243"/>
      <c r="I399" s="27"/>
      <c r="J399" s="27"/>
      <c r="K399" s="27"/>
      <c r="L399" s="27"/>
      <c r="M399" s="27"/>
    </row>
    <row r="400" spans="2:13" ht="15.75" customHeight="1" x14ac:dyDescent="0.2">
      <c r="B400" s="2"/>
      <c r="C400" s="26"/>
      <c r="D400" s="27"/>
      <c r="E400" s="27"/>
      <c r="F400" s="27"/>
      <c r="G400" s="27"/>
      <c r="H400" s="243"/>
      <c r="I400" s="27"/>
      <c r="J400" s="27"/>
      <c r="K400" s="27"/>
      <c r="L400" s="27"/>
      <c r="M400" s="27"/>
    </row>
    <row r="401" spans="2:13" ht="15.75" customHeight="1" x14ac:dyDescent="0.2">
      <c r="B401" s="2"/>
      <c r="C401" s="26"/>
      <c r="D401" s="27"/>
      <c r="E401" s="27"/>
      <c r="F401" s="27"/>
      <c r="G401" s="27"/>
      <c r="H401" s="243"/>
      <c r="I401" s="27"/>
      <c r="J401" s="27"/>
      <c r="K401" s="27"/>
      <c r="L401" s="27"/>
      <c r="M401" s="27"/>
    </row>
    <row r="402" spans="2:13" ht="15.75" customHeight="1" x14ac:dyDescent="0.2">
      <c r="B402" s="2"/>
      <c r="C402" s="26"/>
      <c r="D402" s="27"/>
      <c r="E402" s="27"/>
      <c r="F402" s="27"/>
      <c r="G402" s="27"/>
      <c r="H402" s="243"/>
      <c r="I402" s="27"/>
      <c r="J402" s="27"/>
      <c r="K402" s="27"/>
      <c r="L402" s="27"/>
      <c r="M402" s="27"/>
    </row>
    <row r="403" spans="2:13" ht="15.75" customHeight="1" x14ac:dyDescent="0.2">
      <c r="B403" s="2"/>
      <c r="C403" s="26"/>
      <c r="D403" s="27"/>
      <c r="E403" s="27"/>
      <c r="F403" s="27"/>
      <c r="G403" s="27"/>
      <c r="H403" s="243"/>
      <c r="I403" s="27"/>
      <c r="J403" s="27"/>
      <c r="K403" s="27"/>
      <c r="L403" s="27"/>
      <c r="M403" s="27"/>
    </row>
    <row r="404" spans="2:13" ht="15.75" customHeight="1" x14ac:dyDescent="0.2">
      <c r="B404" s="2"/>
      <c r="C404" s="26"/>
      <c r="D404" s="27"/>
      <c r="E404" s="27"/>
      <c r="F404" s="27"/>
      <c r="G404" s="27"/>
      <c r="H404" s="243"/>
      <c r="I404" s="27"/>
      <c r="J404" s="27"/>
      <c r="K404" s="27"/>
      <c r="L404" s="27"/>
      <c r="M404" s="27"/>
    </row>
    <row r="405" spans="2:13" ht="15.75" customHeight="1" x14ac:dyDescent="0.2">
      <c r="B405" s="2"/>
      <c r="C405" s="26"/>
      <c r="D405" s="27"/>
      <c r="E405" s="27"/>
      <c r="F405" s="27"/>
      <c r="G405" s="27"/>
      <c r="H405" s="243"/>
      <c r="I405" s="27"/>
      <c r="J405" s="27"/>
      <c r="K405" s="27"/>
      <c r="L405" s="27"/>
      <c r="M405" s="27"/>
    </row>
    <row r="406" spans="2:13" ht="15.75" customHeight="1" x14ac:dyDescent="0.2">
      <c r="B406" s="2"/>
      <c r="C406" s="26"/>
      <c r="D406" s="27"/>
      <c r="E406" s="27"/>
      <c r="F406" s="27"/>
      <c r="G406" s="27"/>
      <c r="H406" s="243"/>
      <c r="I406" s="27"/>
      <c r="J406" s="27"/>
      <c r="K406" s="27"/>
      <c r="L406" s="27"/>
      <c r="M406" s="27"/>
    </row>
    <row r="407" spans="2:13" ht="15.75" customHeight="1" x14ac:dyDescent="0.2">
      <c r="B407" s="2"/>
      <c r="C407" s="26"/>
      <c r="D407" s="27"/>
      <c r="E407" s="27"/>
      <c r="F407" s="27"/>
      <c r="G407" s="27"/>
      <c r="H407" s="243"/>
      <c r="I407" s="27"/>
      <c r="J407" s="27"/>
      <c r="K407" s="27"/>
      <c r="L407" s="27"/>
      <c r="M407" s="27"/>
    </row>
    <row r="408" spans="2:13" ht="15.75" customHeight="1" x14ac:dyDescent="0.2">
      <c r="B408" s="2"/>
      <c r="C408" s="26"/>
      <c r="D408" s="27"/>
      <c r="E408" s="27"/>
      <c r="F408" s="27"/>
      <c r="G408" s="27"/>
      <c r="H408" s="243"/>
      <c r="I408" s="27"/>
      <c r="J408" s="27"/>
      <c r="K408" s="27"/>
      <c r="L408" s="27"/>
      <c r="M408" s="27"/>
    </row>
    <row r="409" spans="2:13" ht="15.75" customHeight="1" x14ac:dyDescent="0.2">
      <c r="B409" s="2"/>
      <c r="C409" s="26"/>
      <c r="D409" s="27"/>
      <c r="E409" s="27"/>
      <c r="F409" s="27"/>
      <c r="G409" s="27"/>
      <c r="H409" s="243"/>
      <c r="I409" s="27"/>
      <c r="J409" s="27"/>
      <c r="K409" s="27"/>
      <c r="L409" s="27"/>
      <c r="M409" s="27"/>
    </row>
    <row r="410" spans="2:13" ht="15.75" customHeight="1" x14ac:dyDescent="0.2">
      <c r="B410" s="2"/>
      <c r="C410" s="26"/>
      <c r="D410" s="27"/>
      <c r="E410" s="27"/>
      <c r="F410" s="27"/>
      <c r="G410" s="27"/>
      <c r="H410" s="243"/>
      <c r="I410" s="27"/>
      <c r="J410" s="27"/>
      <c r="K410" s="27"/>
      <c r="L410" s="27"/>
      <c r="M410" s="27"/>
    </row>
    <row r="411" spans="2:13" ht="15.75" customHeight="1" x14ac:dyDescent="0.2">
      <c r="B411" s="2"/>
      <c r="C411" s="26"/>
      <c r="D411" s="27"/>
      <c r="E411" s="27"/>
      <c r="F411" s="27"/>
      <c r="G411" s="27"/>
      <c r="H411" s="243"/>
      <c r="I411" s="27"/>
      <c r="J411" s="27"/>
      <c r="K411" s="27"/>
      <c r="L411" s="27"/>
      <c r="M411" s="27"/>
    </row>
    <row r="412" spans="2:13" ht="15.75" customHeight="1" x14ac:dyDescent="0.2">
      <c r="B412" s="2"/>
      <c r="C412" s="26"/>
      <c r="D412" s="27"/>
      <c r="E412" s="27"/>
      <c r="F412" s="27"/>
      <c r="G412" s="27"/>
      <c r="H412" s="243"/>
      <c r="I412" s="27"/>
      <c r="J412" s="27"/>
      <c r="K412" s="27"/>
      <c r="L412" s="27"/>
      <c r="M412" s="27"/>
    </row>
    <row r="413" spans="2:13" ht="15.75" customHeight="1" x14ac:dyDescent="0.2">
      <c r="B413" s="2"/>
      <c r="C413" s="26"/>
      <c r="D413" s="27"/>
      <c r="E413" s="27"/>
      <c r="F413" s="27"/>
      <c r="G413" s="27"/>
      <c r="H413" s="243"/>
      <c r="I413" s="27"/>
      <c r="J413" s="27"/>
      <c r="K413" s="27"/>
      <c r="L413" s="27"/>
      <c r="M413" s="27"/>
    </row>
    <row r="414" spans="2:13" ht="15.75" customHeight="1" x14ac:dyDescent="0.2">
      <c r="B414" s="2"/>
      <c r="C414" s="26"/>
      <c r="D414" s="27"/>
      <c r="E414" s="27"/>
      <c r="F414" s="27"/>
      <c r="G414" s="27"/>
      <c r="H414" s="243"/>
      <c r="I414" s="27"/>
      <c r="J414" s="27"/>
      <c r="K414" s="27"/>
      <c r="L414" s="27"/>
      <c r="M414" s="27"/>
    </row>
    <row r="415" spans="2:13" ht="15.75" customHeight="1" x14ac:dyDescent="0.2">
      <c r="B415" s="2"/>
      <c r="C415" s="26"/>
      <c r="D415" s="27"/>
      <c r="E415" s="27"/>
      <c r="F415" s="27"/>
      <c r="G415" s="27"/>
      <c r="H415" s="243"/>
      <c r="I415" s="27"/>
      <c r="J415" s="27"/>
      <c r="K415" s="27"/>
      <c r="L415" s="27"/>
      <c r="M415" s="27"/>
    </row>
    <row r="416" spans="2:13" ht="15.75" customHeight="1" x14ac:dyDescent="0.2">
      <c r="B416" s="2"/>
      <c r="C416" s="26"/>
      <c r="D416" s="27"/>
      <c r="E416" s="27"/>
      <c r="F416" s="27"/>
      <c r="G416" s="27"/>
      <c r="H416" s="243"/>
      <c r="I416" s="27"/>
      <c r="J416" s="27"/>
      <c r="K416" s="27"/>
      <c r="L416" s="27"/>
      <c r="M416" s="27"/>
    </row>
    <row r="417" spans="2:13" ht="15.75" customHeight="1" x14ac:dyDescent="0.2">
      <c r="B417" s="2"/>
      <c r="C417" s="26"/>
      <c r="D417" s="27"/>
      <c r="E417" s="27"/>
      <c r="F417" s="27"/>
      <c r="G417" s="27"/>
      <c r="H417" s="243"/>
      <c r="I417" s="27"/>
      <c r="J417" s="27"/>
      <c r="K417" s="27"/>
      <c r="L417" s="27"/>
      <c r="M417" s="27"/>
    </row>
    <row r="418" spans="2:13" ht="15.75" customHeight="1" x14ac:dyDescent="0.2">
      <c r="B418" s="2"/>
      <c r="C418" s="26"/>
      <c r="D418" s="27"/>
      <c r="E418" s="27"/>
      <c r="F418" s="27"/>
      <c r="G418" s="27"/>
      <c r="H418" s="243"/>
      <c r="I418" s="27"/>
      <c r="J418" s="27"/>
      <c r="K418" s="27"/>
      <c r="L418" s="27"/>
      <c r="M418" s="27"/>
    </row>
    <row r="419" spans="2:13" ht="15.75" customHeight="1" x14ac:dyDescent="0.2">
      <c r="B419" s="2"/>
      <c r="C419" s="26"/>
      <c r="D419" s="27"/>
      <c r="E419" s="27"/>
      <c r="F419" s="27"/>
      <c r="G419" s="27"/>
      <c r="H419" s="243"/>
      <c r="I419" s="27"/>
      <c r="J419" s="27"/>
      <c r="K419" s="27"/>
      <c r="L419" s="27"/>
      <c r="M419" s="27"/>
    </row>
    <row r="420" spans="2:13" ht="15.75" customHeight="1" x14ac:dyDescent="0.2">
      <c r="B420" s="2"/>
      <c r="C420" s="26"/>
      <c r="D420" s="27"/>
      <c r="E420" s="27"/>
      <c r="F420" s="27"/>
      <c r="G420" s="27"/>
      <c r="H420" s="243"/>
      <c r="I420" s="27"/>
      <c r="J420" s="27"/>
      <c r="K420" s="27"/>
      <c r="L420" s="27"/>
      <c r="M420" s="27"/>
    </row>
    <row r="421" spans="2:13" ht="15.75" customHeight="1" x14ac:dyDescent="0.2">
      <c r="B421" s="2"/>
      <c r="C421" s="26"/>
      <c r="D421" s="27"/>
      <c r="E421" s="27"/>
      <c r="F421" s="27"/>
      <c r="G421" s="27"/>
      <c r="H421" s="243"/>
      <c r="I421" s="27"/>
      <c r="J421" s="27"/>
      <c r="K421" s="27"/>
      <c r="L421" s="27"/>
      <c r="M421" s="27"/>
    </row>
    <row r="422" spans="2:13" ht="15.75" customHeight="1" x14ac:dyDescent="0.2">
      <c r="B422" s="2"/>
      <c r="C422" s="26"/>
      <c r="D422" s="27"/>
      <c r="E422" s="27"/>
      <c r="F422" s="27"/>
      <c r="G422" s="27"/>
      <c r="H422" s="243"/>
      <c r="I422" s="27"/>
      <c r="J422" s="27"/>
      <c r="K422" s="27"/>
      <c r="L422" s="27"/>
      <c r="M422" s="27"/>
    </row>
    <row r="423" spans="2:13" ht="15.75" customHeight="1" x14ac:dyDescent="0.2">
      <c r="B423" s="2"/>
      <c r="C423" s="26"/>
      <c r="D423" s="27"/>
      <c r="E423" s="27"/>
      <c r="F423" s="27"/>
      <c r="G423" s="27"/>
      <c r="H423" s="243"/>
      <c r="I423" s="27"/>
      <c r="J423" s="27"/>
      <c r="K423" s="27"/>
      <c r="L423" s="27"/>
      <c r="M423" s="27"/>
    </row>
    <row r="424" spans="2:13" ht="15.75" customHeight="1" x14ac:dyDescent="0.2">
      <c r="B424" s="2"/>
      <c r="C424" s="26"/>
      <c r="D424" s="27"/>
      <c r="E424" s="27"/>
      <c r="F424" s="27"/>
      <c r="G424" s="27"/>
      <c r="H424" s="243"/>
      <c r="I424" s="27"/>
      <c r="J424" s="27"/>
      <c r="K424" s="27"/>
      <c r="L424" s="27"/>
      <c r="M424" s="27"/>
    </row>
    <row r="425" spans="2:13" ht="15.75" customHeight="1" x14ac:dyDescent="0.2">
      <c r="B425" s="2"/>
      <c r="C425" s="26"/>
      <c r="D425" s="27"/>
      <c r="E425" s="27"/>
      <c r="F425" s="27"/>
      <c r="G425" s="27"/>
      <c r="H425" s="243"/>
      <c r="I425" s="27"/>
      <c r="J425" s="27"/>
      <c r="K425" s="27"/>
      <c r="L425" s="27"/>
      <c r="M425" s="27"/>
    </row>
    <row r="426" spans="2:13" ht="15.75" customHeight="1" x14ac:dyDescent="0.2">
      <c r="B426" s="2"/>
      <c r="C426" s="26"/>
      <c r="D426" s="27"/>
      <c r="E426" s="27"/>
      <c r="F426" s="27"/>
      <c r="G426" s="27"/>
      <c r="H426" s="243"/>
      <c r="I426" s="27"/>
      <c r="J426" s="27"/>
      <c r="K426" s="27"/>
      <c r="L426" s="27"/>
      <c r="M426" s="27"/>
    </row>
    <row r="427" spans="2:13" ht="15.75" customHeight="1" x14ac:dyDescent="0.2">
      <c r="B427" s="2"/>
      <c r="C427" s="26"/>
      <c r="D427" s="27"/>
      <c r="E427" s="27"/>
      <c r="F427" s="27"/>
      <c r="G427" s="27"/>
      <c r="H427" s="243"/>
      <c r="I427" s="27"/>
      <c r="J427" s="27"/>
      <c r="K427" s="27"/>
      <c r="L427" s="27"/>
      <c r="M427" s="27"/>
    </row>
    <row r="428" spans="2:13" ht="15.75" customHeight="1" x14ac:dyDescent="0.2">
      <c r="B428" s="2"/>
      <c r="C428" s="26"/>
      <c r="D428" s="27"/>
      <c r="E428" s="27"/>
      <c r="F428" s="27"/>
      <c r="G428" s="27"/>
      <c r="H428" s="243"/>
      <c r="I428" s="27"/>
      <c r="J428" s="27"/>
      <c r="K428" s="27"/>
      <c r="L428" s="27"/>
      <c r="M428" s="27"/>
    </row>
    <row r="429" spans="2:13" ht="15.75" customHeight="1" x14ac:dyDescent="0.2">
      <c r="B429" s="2"/>
      <c r="C429" s="26"/>
      <c r="D429" s="27"/>
      <c r="E429" s="27"/>
      <c r="F429" s="27"/>
      <c r="G429" s="27"/>
      <c r="H429" s="243"/>
      <c r="I429" s="27"/>
      <c r="J429" s="27"/>
      <c r="K429" s="27"/>
      <c r="L429" s="27"/>
      <c r="M429" s="27"/>
    </row>
    <row r="430" spans="2:13" ht="15.75" customHeight="1" x14ac:dyDescent="0.2">
      <c r="B430" s="2"/>
      <c r="C430" s="26"/>
      <c r="D430" s="27"/>
      <c r="E430" s="27"/>
      <c r="F430" s="27"/>
      <c r="G430" s="27"/>
      <c r="H430" s="243"/>
      <c r="I430" s="27"/>
      <c r="J430" s="27"/>
      <c r="K430" s="27"/>
      <c r="L430" s="27"/>
      <c r="M430" s="27"/>
    </row>
    <row r="431" spans="2:13" ht="15.75" customHeight="1" x14ac:dyDescent="0.2">
      <c r="B431" s="2"/>
      <c r="C431" s="26"/>
      <c r="D431" s="27"/>
      <c r="E431" s="27"/>
      <c r="F431" s="27"/>
      <c r="G431" s="27"/>
      <c r="H431" s="243"/>
      <c r="I431" s="27"/>
      <c r="J431" s="27"/>
      <c r="K431" s="27"/>
      <c r="L431" s="27"/>
      <c r="M431" s="27"/>
    </row>
    <row r="432" spans="2:13" ht="15.75" customHeight="1" x14ac:dyDescent="0.2">
      <c r="B432" s="2"/>
      <c r="C432" s="26"/>
      <c r="D432" s="27"/>
      <c r="E432" s="27"/>
      <c r="F432" s="27"/>
      <c r="G432" s="27"/>
      <c r="H432" s="243"/>
      <c r="I432" s="27"/>
      <c r="J432" s="27"/>
      <c r="K432" s="27"/>
      <c r="L432" s="27"/>
      <c r="M432" s="27"/>
    </row>
    <row r="433" spans="2:13" ht="15.75" customHeight="1" x14ac:dyDescent="0.2">
      <c r="B433" s="2"/>
      <c r="C433" s="26"/>
      <c r="D433" s="27"/>
      <c r="E433" s="27"/>
      <c r="F433" s="27"/>
      <c r="G433" s="27"/>
      <c r="H433" s="243"/>
      <c r="I433" s="27"/>
      <c r="J433" s="27"/>
      <c r="K433" s="27"/>
      <c r="L433" s="27"/>
      <c r="M433" s="27"/>
    </row>
    <row r="434" spans="2:13" ht="15.75" customHeight="1" x14ac:dyDescent="0.2">
      <c r="B434" s="2"/>
      <c r="C434" s="26"/>
      <c r="D434" s="27"/>
      <c r="E434" s="27"/>
      <c r="F434" s="27"/>
      <c r="G434" s="27"/>
      <c r="H434" s="243"/>
      <c r="I434" s="27"/>
      <c r="J434" s="27"/>
      <c r="K434" s="27"/>
      <c r="L434" s="27"/>
      <c r="M434" s="27"/>
    </row>
    <row r="435" spans="2:13" ht="15.75" customHeight="1" x14ac:dyDescent="0.2">
      <c r="B435" s="2"/>
      <c r="C435" s="26"/>
      <c r="D435" s="27"/>
      <c r="E435" s="27"/>
      <c r="F435" s="27"/>
      <c r="G435" s="27"/>
      <c r="H435" s="243"/>
      <c r="I435" s="27"/>
      <c r="J435" s="27"/>
      <c r="K435" s="27"/>
      <c r="L435" s="27"/>
      <c r="M435" s="27"/>
    </row>
    <row r="436" spans="2:13" ht="15.75" customHeight="1" x14ac:dyDescent="0.2">
      <c r="B436" s="2"/>
      <c r="C436" s="26"/>
      <c r="D436" s="27"/>
      <c r="E436" s="27"/>
      <c r="F436" s="27"/>
      <c r="G436" s="27"/>
      <c r="H436" s="243"/>
      <c r="I436" s="27"/>
      <c r="J436" s="27"/>
      <c r="K436" s="27"/>
      <c r="L436" s="27"/>
      <c r="M436" s="27"/>
    </row>
    <row r="437" spans="2:13" ht="15.75" customHeight="1" x14ac:dyDescent="0.2">
      <c r="B437" s="2"/>
      <c r="C437" s="26"/>
      <c r="D437" s="27"/>
      <c r="E437" s="27"/>
      <c r="F437" s="27"/>
      <c r="G437" s="27"/>
      <c r="H437" s="243"/>
      <c r="I437" s="27"/>
      <c r="J437" s="27"/>
      <c r="K437" s="27"/>
      <c r="L437" s="27"/>
      <c r="M437" s="27"/>
    </row>
    <row r="438" spans="2:13" ht="15.75" customHeight="1" x14ac:dyDescent="0.2">
      <c r="B438" s="2"/>
      <c r="C438" s="26"/>
      <c r="D438" s="27"/>
      <c r="E438" s="27"/>
      <c r="F438" s="27"/>
      <c r="G438" s="27"/>
      <c r="H438" s="243"/>
      <c r="I438" s="27"/>
      <c r="J438" s="27"/>
      <c r="K438" s="27"/>
      <c r="L438" s="27"/>
      <c r="M438" s="27"/>
    </row>
    <row r="439" spans="2:13" ht="15.75" customHeight="1" x14ac:dyDescent="0.2">
      <c r="B439" s="2"/>
      <c r="C439" s="26"/>
      <c r="D439" s="27"/>
      <c r="E439" s="27"/>
      <c r="F439" s="27"/>
      <c r="G439" s="27"/>
      <c r="H439" s="243"/>
      <c r="I439" s="27"/>
      <c r="J439" s="27"/>
      <c r="K439" s="27"/>
      <c r="L439" s="27"/>
      <c r="M439" s="27"/>
    </row>
    <row r="440" spans="2:13" ht="15.75" customHeight="1" x14ac:dyDescent="0.2">
      <c r="B440" s="2"/>
      <c r="C440" s="26"/>
      <c r="D440" s="27"/>
      <c r="E440" s="27"/>
      <c r="F440" s="27"/>
      <c r="G440" s="27"/>
      <c r="H440" s="243"/>
      <c r="I440" s="27"/>
      <c r="J440" s="27"/>
      <c r="K440" s="27"/>
      <c r="L440" s="27"/>
      <c r="M440" s="27"/>
    </row>
    <row r="441" spans="2:13" ht="15.75" customHeight="1" x14ac:dyDescent="0.2">
      <c r="B441" s="2"/>
      <c r="C441" s="26"/>
      <c r="D441" s="27"/>
      <c r="E441" s="27"/>
      <c r="F441" s="27"/>
      <c r="G441" s="27"/>
      <c r="H441" s="243"/>
      <c r="I441" s="27"/>
      <c r="J441" s="27"/>
      <c r="K441" s="27"/>
      <c r="L441" s="27"/>
      <c r="M441" s="27"/>
    </row>
    <row r="442" spans="2:13" ht="15.75" customHeight="1" x14ac:dyDescent="0.2">
      <c r="B442" s="2"/>
      <c r="C442" s="26"/>
      <c r="D442" s="27"/>
      <c r="E442" s="27"/>
      <c r="F442" s="27"/>
      <c r="G442" s="27"/>
      <c r="H442" s="243"/>
      <c r="I442" s="27"/>
      <c r="J442" s="27"/>
      <c r="K442" s="27"/>
      <c r="L442" s="27"/>
      <c r="M442" s="27"/>
    </row>
    <row r="443" spans="2:13" ht="15.75" customHeight="1" x14ac:dyDescent="0.2">
      <c r="B443" s="2"/>
      <c r="C443" s="26"/>
      <c r="D443" s="27"/>
      <c r="E443" s="27"/>
      <c r="F443" s="27"/>
      <c r="G443" s="27"/>
      <c r="H443" s="243"/>
      <c r="I443" s="27"/>
      <c r="J443" s="27"/>
      <c r="K443" s="27"/>
      <c r="L443" s="27"/>
      <c r="M443" s="27"/>
    </row>
    <row r="444" spans="2:13" ht="15.75" customHeight="1" x14ac:dyDescent="0.2">
      <c r="B444" s="2"/>
      <c r="C444" s="26"/>
      <c r="D444" s="27"/>
      <c r="E444" s="27"/>
      <c r="F444" s="27"/>
      <c r="G444" s="27"/>
      <c r="H444" s="243"/>
      <c r="I444" s="27"/>
      <c r="J444" s="27"/>
      <c r="K444" s="27"/>
      <c r="L444" s="27"/>
      <c r="M444" s="27"/>
    </row>
    <row r="445" spans="2:13" ht="15.75" customHeight="1" x14ac:dyDescent="0.2">
      <c r="B445" s="2"/>
      <c r="C445" s="26"/>
      <c r="D445" s="27"/>
      <c r="E445" s="27"/>
      <c r="F445" s="27"/>
      <c r="G445" s="27"/>
      <c r="H445" s="243"/>
      <c r="I445" s="27"/>
      <c r="J445" s="27"/>
      <c r="K445" s="27"/>
      <c r="L445" s="27"/>
      <c r="M445" s="27"/>
    </row>
    <row r="446" spans="2:13" ht="15.75" customHeight="1" x14ac:dyDescent="0.2">
      <c r="B446" s="2"/>
      <c r="C446" s="26"/>
      <c r="D446" s="27"/>
      <c r="E446" s="27"/>
      <c r="F446" s="27"/>
      <c r="G446" s="27"/>
      <c r="H446" s="243"/>
      <c r="I446" s="27"/>
      <c r="J446" s="27"/>
      <c r="K446" s="27"/>
      <c r="L446" s="27"/>
      <c r="M446" s="27"/>
    </row>
    <row r="447" spans="2:13" ht="15.75" customHeight="1" x14ac:dyDescent="0.2">
      <c r="B447" s="2"/>
      <c r="C447" s="26"/>
      <c r="D447" s="27"/>
      <c r="E447" s="27"/>
      <c r="F447" s="27"/>
      <c r="G447" s="27"/>
      <c r="H447" s="243"/>
      <c r="I447" s="27"/>
      <c r="J447" s="27"/>
      <c r="K447" s="27"/>
      <c r="L447" s="27"/>
      <c r="M447" s="27"/>
    </row>
    <row r="448" spans="2:13" ht="15.75" customHeight="1" x14ac:dyDescent="0.2">
      <c r="B448" s="2"/>
      <c r="C448" s="26"/>
      <c r="D448" s="27"/>
      <c r="E448" s="27"/>
      <c r="F448" s="27"/>
      <c r="G448" s="27"/>
      <c r="H448" s="243"/>
      <c r="I448" s="27"/>
      <c r="J448" s="27"/>
      <c r="K448" s="27"/>
      <c r="L448" s="27"/>
      <c r="M448" s="27"/>
    </row>
    <row r="449" spans="2:13" ht="15.75" customHeight="1" x14ac:dyDescent="0.2">
      <c r="B449" s="2"/>
      <c r="C449" s="26"/>
      <c r="D449" s="27"/>
      <c r="E449" s="27"/>
      <c r="F449" s="27"/>
      <c r="G449" s="27"/>
      <c r="H449" s="243"/>
      <c r="I449" s="27"/>
      <c r="J449" s="27"/>
      <c r="K449" s="27"/>
      <c r="L449" s="27"/>
      <c r="M449" s="27"/>
    </row>
    <row r="450" spans="2:13" ht="15.75" customHeight="1" x14ac:dyDescent="0.2">
      <c r="B450" s="2"/>
      <c r="C450" s="26"/>
      <c r="D450" s="27"/>
      <c r="E450" s="27"/>
      <c r="F450" s="27"/>
      <c r="G450" s="27"/>
      <c r="H450" s="243"/>
      <c r="I450" s="27"/>
      <c r="J450" s="27"/>
      <c r="K450" s="27"/>
      <c r="L450" s="27"/>
      <c r="M450" s="27"/>
    </row>
    <row r="451" spans="2:13" ht="15.75" customHeight="1" x14ac:dyDescent="0.2">
      <c r="B451" s="2"/>
      <c r="C451" s="26"/>
      <c r="D451" s="27"/>
      <c r="E451" s="27"/>
      <c r="F451" s="27"/>
      <c r="G451" s="27"/>
      <c r="H451" s="243"/>
      <c r="I451" s="27"/>
      <c r="J451" s="27"/>
      <c r="K451" s="27"/>
      <c r="L451" s="27"/>
      <c r="M451" s="27"/>
    </row>
    <row r="452" spans="2:13" ht="15.75" customHeight="1" x14ac:dyDescent="0.2">
      <c r="B452" s="2"/>
      <c r="C452" s="26"/>
      <c r="D452" s="27"/>
      <c r="E452" s="27"/>
      <c r="F452" s="27"/>
      <c r="G452" s="27"/>
      <c r="H452" s="243"/>
      <c r="I452" s="27"/>
      <c r="J452" s="27"/>
      <c r="K452" s="27"/>
      <c r="L452" s="27"/>
      <c r="M452" s="27"/>
    </row>
    <row r="453" spans="2:13" ht="15.75" customHeight="1" x14ac:dyDescent="0.2">
      <c r="B453" s="2"/>
      <c r="C453" s="26"/>
      <c r="D453" s="27"/>
      <c r="E453" s="27"/>
      <c r="F453" s="27"/>
      <c r="G453" s="27"/>
      <c r="H453" s="243"/>
      <c r="I453" s="27"/>
      <c r="J453" s="27"/>
      <c r="K453" s="27"/>
      <c r="L453" s="27"/>
      <c r="M453" s="27"/>
    </row>
    <row r="454" spans="2:13" ht="15.75" customHeight="1" x14ac:dyDescent="0.2">
      <c r="B454" s="2"/>
      <c r="C454" s="26"/>
      <c r="D454" s="27"/>
      <c r="E454" s="27"/>
      <c r="F454" s="27"/>
      <c r="G454" s="27"/>
      <c r="H454" s="243"/>
      <c r="I454" s="27"/>
      <c r="J454" s="27"/>
      <c r="K454" s="27"/>
      <c r="L454" s="27"/>
      <c r="M454" s="27"/>
    </row>
    <row r="455" spans="2:13" ht="15.75" customHeight="1" x14ac:dyDescent="0.2">
      <c r="B455" s="2"/>
      <c r="C455" s="26"/>
      <c r="D455" s="27"/>
      <c r="E455" s="27"/>
      <c r="F455" s="27"/>
      <c r="G455" s="27"/>
      <c r="H455" s="243"/>
      <c r="I455" s="27"/>
      <c r="J455" s="27"/>
      <c r="K455" s="27"/>
      <c r="L455" s="27"/>
      <c r="M455" s="27"/>
    </row>
    <row r="456" spans="2:13" ht="15.75" customHeight="1" x14ac:dyDescent="0.2">
      <c r="B456" s="2"/>
      <c r="C456" s="26"/>
      <c r="D456" s="27"/>
      <c r="E456" s="27"/>
      <c r="F456" s="27"/>
      <c r="G456" s="27"/>
      <c r="H456" s="243"/>
      <c r="I456" s="27"/>
      <c r="J456" s="27"/>
      <c r="K456" s="27"/>
      <c r="L456" s="27"/>
      <c r="M456" s="27"/>
    </row>
    <row r="457" spans="2:13" ht="15.75" customHeight="1" x14ac:dyDescent="0.2">
      <c r="B457" s="2"/>
      <c r="C457" s="26"/>
      <c r="D457" s="27"/>
      <c r="E457" s="27"/>
      <c r="F457" s="27"/>
      <c r="G457" s="27"/>
      <c r="H457" s="243"/>
      <c r="I457" s="27"/>
      <c r="J457" s="27"/>
      <c r="K457" s="27"/>
      <c r="L457" s="27"/>
      <c r="M457" s="27"/>
    </row>
    <row r="458" spans="2:13" ht="15.75" customHeight="1" x14ac:dyDescent="0.2">
      <c r="B458" s="2"/>
      <c r="C458" s="26"/>
      <c r="D458" s="27"/>
      <c r="E458" s="27"/>
      <c r="F458" s="27"/>
      <c r="G458" s="27"/>
      <c r="H458" s="243"/>
      <c r="I458" s="27"/>
      <c r="J458" s="27"/>
      <c r="K458" s="27"/>
      <c r="L458" s="27"/>
      <c r="M458" s="27"/>
    </row>
    <row r="459" spans="2:13" ht="15.75" customHeight="1" x14ac:dyDescent="0.2">
      <c r="B459" s="2"/>
      <c r="C459" s="26"/>
      <c r="D459" s="27"/>
      <c r="E459" s="27"/>
      <c r="F459" s="27"/>
      <c r="G459" s="27"/>
      <c r="H459" s="243"/>
      <c r="I459" s="27"/>
      <c r="J459" s="27"/>
      <c r="K459" s="27"/>
      <c r="L459" s="27"/>
      <c r="M459" s="27"/>
    </row>
    <row r="460" spans="2:13" ht="15.75" customHeight="1" x14ac:dyDescent="0.2">
      <c r="B460" s="2"/>
      <c r="C460" s="26"/>
      <c r="D460" s="27"/>
      <c r="E460" s="27"/>
      <c r="F460" s="27"/>
      <c r="G460" s="27"/>
      <c r="H460" s="243"/>
      <c r="I460" s="27"/>
      <c r="J460" s="27"/>
      <c r="K460" s="27"/>
      <c r="L460" s="27"/>
      <c r="M460" s="27"/>
    </row>
    <row r="461" spans="2:13" ht="15.75" customHeight="1" x14ac:dyDescent="0.2">
      <c r="B461" s="2"/>
      <c r="C461" s="26"/>
      <c r="D461" s="27"/>
      <c r="E461" s="27"/>
      <c r="F461" s="27"/>
      <c r="G461" s="27"/>
      <c r="H461" s="243"/>
      <c r="I461" s="27"/>
      <c r="J461" s="27"/>
      <c r="K461" s="27"/>
      <c r="L461" s="27"/>
      <c r="M461" s="27"/>
    </row>
    <row r="462" spans="2:13" ht="15.75" customHeight="1" x14ac:dyDescent="0.2">
      <c r="B462" s="2"/>
      <c r="C462" s="26"/>
      <c r="D462" s="27"/>
      <c r="E462" s="27"/>
      <c r="F462" s="27"/>
      <c r="G462" s="27"/>
      <c r="H462" s="243"/>
      <c r="I462" s="27"/>
      <c r="J462" s="27"/>
      <c r="K462" s="27"/>
      <c r="L462" s="27"/>
      <c r="M462" s="27"/>
    </row>
    <row r="463" spans="2:13" ht="15.75" customHeight="1" x14ac:dyDescent="0.2">
      <c r="B463" s="2"/>
      <c r="C463" s="26"/>
      <c r="D463" s="27"/>
      <c r="E463" s="27"/>
      <c r="F463" s="27"/>
      <c r="G463" s="27"/>
      <c r="H463" s="243"/>
      <c r="I463" s="27"/>
      <c r="J463" s="27"/>
      <c r="K463" s="27"/>
      <c r="L463" s="27"/>
      <c r="M463" s="27"/>
    </row>
    <row r="464" spans="2:13" ht="15.75" customHeight="1" x14ac:dyDescent="0.2">
      <c r="B464" s="2"/>
      <c r="C464" s="26"/>
      <c r="D464" s="27"/>
      <c r="E464" s="27"/>
      <c r="F464" s="27"/>
      <c r="G464" s="27"/>
      <c r="H464" s="243"/>
      <c r="I464" s="27"/>
      <c r="J464" s="27"/>
      <c r="K464" s="27"/>
      <c r="L464" s="27"/>
      <c r="M464" s="27"/>
    </row>
    <row r="465" spans="2:13" ht="15.75" customHeight="1" x14ac:dyDescent="0.2">
      <c r="B465" s="2"/>
      <c r="C465" s="26"/>
      <c r="D465" s="27"/>
      <c r="E465" s="27"/>
      <c r="F465" s="27"/>
      <c r="G465" s="27"/>
      <c r="H465" s="243"/>
      <c r="I465" s="27"/>
      <c r="J465" s="27"/>
      <c r="K465" s="27"/>
      <c r="L465" s="27"/>
      <c r="M465" s="27"/>
    </row>
    <row r="466" spans="2:13" ht="15.75" customHeight="1" x14ac:dyDescent="0.2">
      <c r="B466" s="2"/>
      <c r="C466" s="26"/>
      <c r="D466" s="27"/>
      <c r="E466" s="27"/>
      <c r="F466" s="27"/>
      <c r="G466" s="27"/>
      <c r="H466" s="243"/>
      <c r="I466" s="27"/>
      <c r="J466" s="27"/>
      <c r="K466" s="27"/>
      <c r="L466" s="27"/>
      <c r="M466" s="27"/>
    </row>
    <row r="467" spans="2:13" ht="15.75" customHeight="1" x14ac:dyDescent="0.2">
      <c r="B467" s="2"/>
      <c r="C467" s="26"/>
      <c r="D467" s="27"/>
      <c r="E467" s="27"/>
      <c r="F467" s="27"/>
      <c r="G467" s="27"/>
      <c r="H467" s="243"/>
      <c r="I467" s="27"/>
      <c r="J467" s="27"/>
      <c r="K467" s="27"/>
      <c r="L467" s="27"/>
      <c r="M467" s="27"/>
    </row>
    <row r="468" spans="2:13" ht="15.75" customHeight="1" x14ac:dyDescent="0.2">
      <c r="B468" s="2"/>
      <c r="C468" s="26"/>
      <c r="D468" s="27"/>
      <c r="E468" s="27"/>
      <c r="F468" s="27"/>
      <c r="G468" s="27"/>
      <c r="H468" s="243"/>
      <c r="I468" s="27"/>
      <c r="J468" s="27"/>
      <c r="K468" s="27"/>
      <c r="L468" s="27"/>
      <c r="M468" s="27"/>
    </row>
    <row r="469" spans="2:13" ht="15.75" customHeight="1" x14ac:dyDescent="0.2">
      <c r="B469" s="2"/>
      <c r="C469" s="26"/>
      <c r="D469" s="27"/>
      <c r="E469" s="27"/>
      <c r="F469" s="27"/>
      <c r="G469" s="27"/>
      <c r="H469" s="243"/>
      <c r="I469" s="27"/>
      <c r="J469" s="27"/>
      <c r="K469" s="27"/>
      <c r="L469" s="27"/>
      <c r="M469" s="27"/>
    </row>
    <row r="470" spans="2:13" ht="15.75" customHeight="1" x14ac:dyDescent="0.2">
      <c r="B470" s="2"/>
      <c r="C470" s="26"/>
      <c r="D470" s="27"/>
      <c r="E470" s="27"/>
      <c r="F470" s="27"/>
      <c r="G470" s="27"/>
      <c r="H470" s="243"/>
      <c r="I470" s="27"/>
      <c r="J470" s="27"/>
      <c r="K470" s="27"/>
      <c r="L470" s="27"/>
      <c r="M470" s="27"/>
    </row>
    <row r="471" spans="2:13" ht="15.75" customHeight="1" x14ac:dyDescent="0.2">
      <c r="B471" s="2"/>
      <c r="C471" s="26"/>
      <c r="D471" s="27"/>
      <c r="E471" s="27"/>
      <c r="F471" s="27"/>
      <c r="G471" s="27"/>
      <c r="H471" s="243"/>
      <c r="I471" s="27"/>
      <c r="J471" s="27"/>
      <c r="K471" s="27"/>
      <c r="L471" s="27"/>
      <c r="M471" s="27"/>
    </row>
    <row r="472" spans="2:13" ht="15.75" customHeight="1" x14ac:dyDescent="0.2">
      <c r="B472" s="2"/>
      <c r="C472" s="26"/>
      <c r="D472" s="27"/>
      <c r="E472" s="27"/>
      <c r="F472" s="27"/>
      <c r="G472" s="27"/>
      <c r="H472" s="243"/>
      <c r="I472" s="27"/>
      <c r="J472" s="27"/>
      <c r="K472" s="27"/>
      <c r="L472" s="27"/>
      <c r="M472" s="27"/>
    </row>
    <row r="473" spans="2:13" ht="15.75" customHeight="1" x14ac:dyDescent="0.2">
      <c r="B473" s="2"/>
      <c r="C473" s="26"/>
      <c r="D473" s="27"/>
      <c r="E473" s="27"/>
      <c r="F473" s="27"/>
      <c r="G473" s="27"/>
      <c r="H473" s="243"/>
      <c r="I473" s="27"/>
      <c r="J473" s="27"/>
      <c r="K473" s="27"/>
      <c r="L473" s="27"/>
      <c r="M473" s="27"/>
    </row>
    <row r="474" spans="2:13" ht="15.75" customHeight="1" x14ac:dyDescent="0.2">
      <c r="B474" s="2"/>
      <c r="C474" s="26"/>
      <c r="D474" s="27"/>
      <c r="E474" s="27"/>
      <c r="F474" s="27"/>
      <c r="G474" s="27"/>
      <c r="H474" s="243"/>
      <c r="I474" s="27"/>
      <c r="J474" s="27"/>
      <c r="K474" s="27"/>
      <c r="L474" s="27"/>
      <c r="M474" s="27"/>
    </row>
    <row r="475" spans="2:13" ht="15.75" customHeight="1" x14ac:dyDescent="0.2">
      <c r="B475" s="2"/>
      <c r="C475" s="26"/>
      <c r="D475" s="27"/>
      <c r="E475" s="27"/>
      <c r="F475" s="27"/>
      <c r="G475" s="27"/>
      <c r="H475" s="243"/>
      <c r="I475" s="27"/>
      <c r="J475" s="27"/>
      <c r="K475" s="27"/>
      <c r="L475" s="27"/>
      <c r="M475" s="27"/>
    </row>
    <row r="476" spans="2:13" ht="15.75" customHeight="1" x14ac:dyDescent="0.2">
      <c r="B476" s="2"/>
      <c r="C476" s="26"/>
      <c r="D476" s="27"/>
      <c r="E476" s="27"/>
      <c r="F476" s="27"/>
      <c r="G476" s="27"/>
      <c r="H476" s="243"/>
      <c r="I476" s="27"/>
      <c r="J476" s="27"/>
      <c r="K476" s="27"/>
      <c r="L476" s="27"/>
      <c r="M476" s="27"/>
    </row>
    <row r="477" spans="2:13" ht="15.75" customHeight="1" x14ac:dyDescent="0.2">
      <c r="B477" s="2"/>
      <c r="C477" s="26"/>
      <c r="D477" s="27"/>
      <c r="E477" s="27"/>
      <c r="F477" s="27"/>
      <c r="G477" s="27"/>
      <c r="H477" s="243"/>
      <c r="I477" s="27"/>
      <c r="J477" s="27"/>
      <c r="K477" s="27"/>
      <c r="L477" s="27"/>
      <c r="M477" s="27"/>
    </row>
    <row r="478" spans="2:13" ht="15.75" customHeight="1" x14ac:dyDescent="0.2">
      <c r="B478" s="2"/>
      <c r="C478" s="26"/>
      <c r="D478" s="27"/>
      <c r="E478" s="27"/>
      <c r="F478" s="27"/>
      <c r="G478" s="27"/>
      <c r="H478" s="243"/>
      <c r="I478" s="27"/>
      <c r="J478" s="27"/>
      <c r="K478" s="27"/>
      <c r="L478" s="27"/>
      <c r="M478" s="27"/>
    </row>
    <row r="479" spans="2:13" ht="15.75" customHeight="1" x14ac:dyDescent="0.2">
      <c r="B479" s="2"/>
      <c r="C479" s="26"/>
      <c r="D479" s="27"/>
      <c r="E479" s="27"/>
      <c r="F479" s="27"/>
      <c r="G479" s="27"/>
      <c r="H479" s="243"/>
      <c r="I479" s="27"/>
      <c r="J479" s="27"/>
      <c r="K479" s="27"/>
      <c r="L479" s="27"/>
      <c r="M479" s="27"/>
    </row>
    <row r="480" spans="2:13" ht="15.75" customHeight="1" x14ac:dyDescent="0.2">
      <c r="B480" s="2"/>
      <c r="C480" s="26"/>
      <c r="D480" s="27"/>
      <c r="E480" s="27"/>
      <c r="F480" s="27"/>
      <c r="G480" s="27"/>
      <c r="H480" s="243"/>
      <c r="I480" s="27"/>
      <c r="J480" s="27"/>
      <c r="K480" s="27"/>
      <c r="L480" s="27"/>
      <c r="M480" s="27"/>
    </row>
    <row r="481" spans="2:13" ht="15.75" customHeight="1" x14ac:dyDescent="0.2">
      <c r="B481" s="2"/>
      <c r="C481" s="26"/>
      <c r="D481" s="27"/>
      <c r="E481" s="27"/>
      <c r="F481" s="27"/>
      <c r="G481" s="27"/>
      <c r="H481" s="243"/>
      <c r="I481" s="27"/>
      <c r="J481" s="27"/>
      <c r="K481" s="27"/>
      <c r="L481" s="27"/>
      <c r="M481" s="27"/>
    </row>
    <row r="482" spans="2:13" ht="15.75" customHeight="1" x14ac:dyDescent="0.2">
      <c r="B482" s="2"/>
      <c r="C482" s="26"/>
      <c r="D482" s="27"/>
      <c r="E482" s="27"/>
      <c r="F482" s="27"/>
      <c r="G482" s="27"/>
      <c r="H482" s="243"/>
      <c r="I482" s="27"/>
      <c r="J482" s="27"/>
      <c r="K482" s="27"/>
      <c r="L482" s="27"/>
      <c r="M482" s="27"/>
    </row>
    <row r="483" spans="2:13" ht="15.75" customHeight="1" x14ac:dyDescent="0.2">
      <c r="B483" s="2"/>
      <c r="C483" s="26"/>
      <c r="D483" s="27"/>
      <c r="E483" s="27"/>
      <c r="F483" s="27"/>
      <c r="G483" s="27"/>
      <c r="H483" s="243"/>
      <c r="I483" s="27"/>
      <c r="J483" s="27"/>
      <c r="K483" s="27"/>
      <c r="L483" s="27"/>
      <c r="M483" s="27"/>
    </row>
    <row r="484" spans="2:13" ht="15.75" customHeight="1" x14ac:dyDescent="0.2">
      <c r="B484" s="2"/>
      <c r="C484" s="26"/>
      <c r="D484" s="27"/>
      <c r="E484" s="27"/>
      <c r="F484" s="27"/>
      <c r="G484" s="27"/>
      <c r="H484" s="243"/>
      <c r="I484" s="27"/>
      <c r="J484" s="27"/>
      <c r="K484" s="27"/>
      <c r="L484" s="27"/>
      <c r="M484" s="27"/>
    </row>
    <row r="485" spans="2:13" ht="15.75" customHeight="1" x14ac:dyDescent="0.2">
      <c r="B485" s="2"/>
      <c r="C485" s="26"/>
      <c r="D485" s="27"/>
      <c r="E485" s="27"/>
      <c r="F485" s="27"/>
      <c r="G485" s="27"/>
      <c r="H485" s="243"/>
      <c r="I485" s="27"/>
      <c r="J485" s="27"/>
      <c r="K485" s="27"/>
      <c r="L485" s="27"/>
      <c r="M485" s="27"/>
    </row>
    <row r="486" spans="2:13" ht="15.75" customHeight="1" x14ac:dyDescent="0.2">
      <c r="B486" s="2"/>
      <c r="C486" s="26"/>
      <c r="D486" s="27"/>
      <c r="E486" s="27"/>
      <c r="F486" s="27"/>
      <c r="G486" s="27"/>
      <c r="H486" s="243"/>
      <c r="I486" s="27"/>
      <c r="J486" s="27"/>
      <c r="K486" s="27"/>
      <c r="L486" s="27"/>
      <c r="M486" s="27"/>
    </row>
    <row r="487" spans="2:13" ht="15.75" customHeight="1" x14ac:dyDescent="0.2">
      <c r="B487" s="2"/>
      <c r="C487" s="26"/>
      <c r="D487" s="27"/>
      <c r="E487" s="27"/>
      <c r="F487" s="27"/>
      <c r="G487" s="27"/>
      <c r="H487" s="243"/>
      <c r="I487" s="27"/>
      <c r="J487" s="27"/>
      <c r="K487" s="27"/>
      <c r="L487" s="27"/>
      <c r="M487" s="27"/>
    </row>
    <row r="488" spans="2:13" ht="15.75" customHeight="1" x14ac:dyDescent="0.2">
      <c r="B488" s="2"/>
      <c r="C488" s="26"/>
      <c r="D488" s="27"/>
      <c r="E488" s="27"/>
      <c r="F488" s="27"/>
      <c r="G488" s="27"/>
      <c r="H488" s="243"/>
      <c r="I488" s="27"/>
      <c r="J488" s="27"/>
      <c r="K488" s="27"/>
      <c r="L488" s="27"/>
      <c r="M488" s="27"/>
    </row>
    <row r="489" spans="2:13" ht="15.75" customHeight="1" x14ac:dyDescent="0.2">
      <c r="B489" s="2"/>
      <c r="C489" s="26"/>
      <c r="D489" s="27"/>
      <c r="E489" s="27"/>
      <c r="F489" s="27"/>
      <c r="G489" s="27"/>
      <c r="H489" s="243"/>
      <c r="I489" s="27"/>
      <c r="J489" s="27"/>
      <c r="K489" s="27"/>
      <c r="L489" s="27"/>
      <c r="M489" s="27"/>
    </row>
    <row r="490" spans="2:13" ht="15.75" customHeight="1" x14ac:dyDescent="0.2">
      <c r="B490" s="2"/>
      <c r="C490" s="26"/>
      <c r="D490" s="27"/>
      <c r="E490" s="27"/>
      <c r="F490" s="27"/>
      <c r="G490" s="27"/>
      <c r="H490" s="243"/>
      <c r="I490" s="27"/>
      <c r="J490" s="27"/>
      <c r="K490" s="27"/>
      <c r="L490" s="27"/>
      <c r="M490" s="27"/>
    </row>
    <row r="491" spans="2:13" ht="15.75" customHeight="1" x14ac:dyDescent="0.2">
      <c r="B491" s="2"/>
      <c r="C491" s="26"/>
      <c r="D491" s="27"/>
      <c r="E491" s="27"/>
      <c r="F491" s="27"/>
      <c r="G491" s="27"/>
      <c r="H491" s="243"/>
      <c r="I491" s="27"/>
      <c r="J491" s="27"/>
      <c r="K491" s="27"/>
      <c r="L491" s="27"/>
      <c r="M491" s="27"/>
    </row>
    <row r="492" spans="2:13" ht="15.75" customHeight="1" x14ac:dyDescent="0.2">
      <c r="B492" s="2"/>
      <c r="C492" s="26"/>
      <c r="D492" s="27"/>
      <c r="E492" s="27"/>
      <c r="F492" s="27"/>
      <c r="G492" s="27"/>
      <c r="H492" s="243"/>
      <c r="I492" s="27"/>
      <c r="J492" s="27"/>
      <c r="K492" s="27"/>
      <c r="L492" s="27"/>
      <c r="M492" s="27"/>
    </row>
    <row r="493" spans="2:13" ht="15.75" customHeight="1" x14ac:dyDescent="0.2">
      <c r="B493" s="2"/>
      <c r="C493" s="26"/>
      <c r="D493" s="27"/>
      <c r="E493" s="27"/>
      <c r="F493" s="27"/>
      <c r="G493" s="27"/>
      <c r="H493" s="243"/>
      <c r="I493" s="27"/>
      <c r="J493" s="27"/>
      <c r="K493" s="27"/>
      <c r="L493" s="27"/>
      <c r="M493" s="27"/>
    </row>
    <row r="494" spans="2:13" ht="15.75" customHeight="1" x14ac:dyDescent="0.2">
      <c r="B494" s="2"/>
      <c r="C494" s="26"/>
      <c r="D494" s="27"/>
      <c r="E494" s="27"/>
      <c r="F494" s="27"/>
      <c r="G494" s="27"/>
      <c r="H494" s="243"/>
      <c r="I494" s="27"/>
      <c r="J494" s="27"/>
      <c r="K494" s="27"/>
      <c r="L494" s="27"/>
      <c r="M494" s="27"/>
    </row>
    <row r="495" spans="2:13" ht="15.75" customHeight="1" x14ac:dyDescent="0.2">
      <c r="B495" s="2"/>
      <c r="C495" s="26"/>
      <c r="D495" s="27"/>
      <c r="E495" s="27"/>
      <c r="F495" s="27"/>
      <c r="G495" s="27"/>
      <c r="H495" s="243"/>
      <c r="I495" s="27"/>
      <c r="J495" s="27"/>
      <c r="K495" s="27"/>
      <c r="L495" s="27"/>
      <c r="M495" s="27"/>
    </row>
    <row r="496" spans="2:13" ht="15.75" customHeight="1" x14ac:dyDescent="0.2">
      <c r="B496" s="2"/>
      <c r="C496" s="26"/>
      <c r="D496" s="27"/>
      <c r="E496" s="27"/>
      <c r="F496" s="27"/>
      <c r="G496" s="27"/>
      <c r="H496" s="243"/>
      <c r="I496" s="27"/>
      <c r="J496" s="27"/>
      <c r="K496" s="27"/>
      <c r="L496" s="27"/>
      <c r="M496" s="27"/>
    </row>
    <row r="497" spans="2:13" ht="15.75" customHeight="1" x14ac:dyDescent="0.2">
      <c r="B497" s="2"/>
      <c r="C497" s="26"/>
      <c r="D497" s="27"/>
      <c r="E497" s="27"/>
      <c r="F497" s="27"/>
      <c r="G497" s="27"/>
      <c r="H497" s="243"/>
      <c r="I497" s="27"/>
      <c r="J497" s="27"/>
      <c r="K497" s="27"/>
      <c r="L497" s="27"/>
      <c r="M497" s="27"/>
    </row>
    <row r="498" spans="2:13" ht="15.75" customHeight="1" x14ac:dyDescent="0.2">
      <c r="B498" s="2"/>
      <c r="C498" s="26"/>
      <c r="D498" s="27"/>
      <c r="E498" s="27"/>
      <c r="F498" s="27"/>
      <c r="G498" s="27"/>
      <c r="H498" s="243"/>
      <c r="I498" s="27"/>
      <c r="J498" s="27"/>
      <c r="K498" s="27"/>
      <c r="L498" s="27"/>
      <c r="M498" s="27"/>
    </row>
    <row r="499" spans="2:13" ht="15.75" customHeight="1" x14ac:dyDescent="0.2">
      <c r="B499" s="2"/>
      <c r="C499" s="26"/>
      <c r="D499" s="27"/>
      <c r="E499" s="27"/>
      <c r="F499" s="27"/>
      <c r="G499" s="27"/>
      <c r="H499" s="243"/>
      <c r="I499" s="27"/>
      <c r="J499" s="27"/>
      <c r="K499" s="27"/>
      <c r="L499" s="27"/>
      <c r="M499" s="27"/>
    </row>
    <row r="500" spans="2:13" ht="15.75" customHeight="1" x14ac:dyDescent="0.2">
      <c r="B500" s="2"/>
      <c r="C500" s="26"/>
      <c r="D500" s="27"/>
      <c r="E500" s="27"/>
      <c r="F500" s="27"/>
      <c r="G500" s="27"/>
      <c r="H500" s="243"/>
      <c r="I500" s="27"/>
      <c r="J500" s="27"/>
      <c r="K500" s="27"/>
      <c r="L500" s="27"/>
      <c r="M500" s="27"/>
    </row>
    <row r="501" spans="2:13" ht="15.75" customHeight="1" x14ac:dyDescent="0.2">
      <c r="B501" s="2"/>
      <c r="C501" s="26"/>
      <c r="D501" s="27"/>
      <c r="E501" s="27"/>
      <c r="F501" s="27"/>
      <c r="G501" s="27"/>
      <c r="H501" s="243"/>
      <c r="I501" s="27"/>
      <c r="J501" s="27"/>
      <c r="K501" s="27"/>
      <c r="L501" s="27"/>
      <c r="M501" s="27"/>
    </row>
    <row r="502" spans="2:13" ht="15.75" customHeight="1" x14ac:dyDescent="0.2">
      <c r="B502" s="2"/>
      <c r="C502" s="26"/>
      <c r="D502" s="27"/>
      <c r="E502" s="27"/>
      <c r="F502" s="27"/>
      <c r="G502" s="27"/>
      <c r="H502" s="243"/>
      <c r="I502" s="27"/>
      <c r="J502" s="27"/>
      <c r="K502" s="27"/>
      <c r="L502" s="27"/>
      <c r="M502" s="27"/>
    </row>
    <row r="503" spans="2:13" ht="15.75" customHeight="1" x14ac:dyDescent="0.2">
      <c r="B503" s="2"/>
      <c r="C503" s="26"/>
      <c r="D503" s="27"/>
      <c r="E503" s="27"/>
      <c r="F503" s="27"/>
      <c r="G503" s="27"/>
      <c r="H503" s="243"/>
      <c r="I503" s="27"/>
      <c r="J503" s="27"/>
      <c r="K503" s="27"/>
      <c r="L503" s="27"/>
      <c r="M503" s="27"/>
    </row>
    <row r="504" spans="2:13" ht="15.75" customHeight="1" x14ac:dyDescent="0.2">
      <c r="B504" s="2"/>
      <c r="C504" s="26"/>
      <c r="D504" s="27"/>
      <c r="E504" s="27"/>
      <c r="F504" s="27"/>
      <c r="G504" s="27"/>
      <c r="H504" s="243"/>
      <c r="I504" s="27"/>
      <c r="J504" s="27"/>
      <c r="K504" s="27"/>
      <c r="L504" s="27"/>
      <c r="M504" s="27"/>
    </row>
    <row r="505" spans="2:13" ht="15.75" customHeight="1" x14ac:dyDescent="0.2">
      <c r="B505" s="2"/>
      <c r="C505" s="26"/>
      <c r="D505" s="27"/>
      <c r="E505" s="27"/>
      <c r="F505" s="27"/>
      <c r="G505" s="27"/>
      <c r="H505" s="243"/>
      <c r="I505" s="27"/>
      <c r="J505" s="27"/>
      <c r="K505" s="27"/>
      <c r="L505" s="27"/>
      <c r="M505" s="27"/>
    </row>
    <row r="506" spans="2:13" ht="15.75" customHeight="1" x14ac:dyDescent="0.2">
      <c r="B506" s="2"/>
      <c r="C506" s="26"/>
      <c r="D506" s="27"/>
      <c r="E506" s="27"/>
      <c r="F506" s="27"/>
      <c r="G506" s="27"/>
      <c r="H506" s="243"/>
      <c r="I506" s="27"/>
      <c r="J506" s="27"/>
      <c r="K506" s="27"/>
      <c r="L506" s="27"/>
      <c r="M506" s="27"/>
    </row>
    <row r="507" spans="2:13" ht="15.75" customHeight="1" x14ac:dyDescent="0.2">
      <c r="B507" s="2"/>
      <c r="C507" s="26"/>
      <c r="D507" s="27"/>
      <c r="E507" s="27"/>
      <c r="F507" s="27"/>
      <c r="G507" s="27"/>
      <c r="H507" s="243"/>
      <c r="I507" s="27"/>
      <c r="J507" s="27"/>
      <c r="K507" s="27"/>
      <c r="L507" s="27"/>
      <c r="M507" s="27"/>
    </row>
    <row r="508" spans="2:13" ht="15.75" customHeight="1" x14ac:dyDescent="0.2">
      <c r="B508" s="2"/>
      <c r="C508" s="26"/>
      <c r="D508" s="27"/>
      <c r="E508" s="27"/>
      <c r="F508" s="27"/>
      <c r="G508" s="27"/>
      <c r="H508" s="243"/>
      <c r="I508" s="27"/>
      <c r="J508" s="27"/>
      <c r="K508" s="27"/>
      <c r="L508" s="27"/>
      <c r="M508" s="27"/>
    </row>
    <row r="509" spans="2:13" ht="15.75" customHeight="1" x14ac:dyDescent="0.2">
      <c r="B509" s="2"/>
      <c r="C509" s="26"/>
      <c r="D509" s="27"/>
      <c r="E509" s="27"/>
      <c r="F509" s="27"/>
      <c r="G509" s="27"/>
      <c r="H509" s="243"/>
      <c r="I509" s="27"/>
      <c r="J509" s="27"/>
      <c r="K509" s="27"/>
      <c r="L509" s="27"/>
      <c r="M509" s="27"/>
    </row>
    <row r="510" spans="2:13" ht="15.75" customHeight="1" x14ac:dyDescent="0.2">
      <c r="B510" s="2"/>
      <c r="C510" s="26"/>
      <c r="D510" s="27"/>
      <c r="E510" s="27"/>
      <c r="F510" s="27"/>
      <c r="G510" s="27"/>
      <c r="H510" s="243"/>
      <c r="I510" s="27"/>
      <c r="J510" s="27"/>
      <c r="K510" s="27"/>
      <c r="L510" s="27"/>
      <c r="M510" s="27"/>
    </row>
    <row r="511" spans="2:13" ht="15.75" customHeight="1" x14ac:dyDescent="0.2">
      <c r="B511" s="2"/>
      <c r="C511" s="26"/>
      <c r="D511" s="27"/>
      <c r="E511" s="27"/>
      <c r="F511" s="27"/>
      <c r="G511" s="27"/>
      <c r="H511" s="243"/>
      <c r="I511" s="27"/>
      <c r="J511" s="27"/>
      <c r="K511" s="27"/>
      <c r="L511" s="27"/>
      <c r="M511" s="27"/>
    </row>
    <row r="512" spans="2:13" ht="15.75" customHeight="1" x14ac:dyDescent="0.2">
      <c r="B512" s="2"/>
      <c r="C512" s="26"/>
      <c r="D512" s="27"/>
      <c r="E512" s="27"/>
      <c r="F512" s="27"/>
      <c r="G512" s="27"/>
      <c r="H512" s="243"/>
      <c r="I512" s="27"/>
      <c r="J512" s="27"/>
      <c r="K512" s="27"/>
      <c r="L512" s="27"/>
      <c r="M512" s="27"/>
    </row>
    <row r="513" spans="2:13" ht="15.75" customHeight="1" x14ac:dyDescent="0.2">
      <c r="B513" s="2"/>
      <c r="C513" s="26"/>
      <c r="D513" s="27"/>
      <c r="E513" s="27"/>
      <c r="F513" s="27"/>
      <c r="G513" s="27"/>
      <c r="H513" s="243"/>
      <c r="I513" s="27"/>
      <c r="J513" s="27"/>
      <c r="K513" s="27"/>
      <c r="L513" s="27"/>
      <c r="M513" s="27"/>
    </row>
    <row r="514" spans="2:13" ht="15.75" customHeight="1" x14ac:dyDescent="0.2">
      <c r="B514" s="2"/>
      <c r="C514" s="26"/>
      <c r="D514" s="27"/>
      <c r="E514" s="27"/>
      <c r="F514" s="27"/>
      <c r="G514" s="27"/>
      <c r="H514" s="243"/>
      <c r="I514" s="27"/>
      <c r="J514" s="27"/>
      <c r="K514" s="27"/>
      <c r="L514" s="27"/>
      <c r="M514" s="27"/>
    </row>
    <row r="515" spans="2:13" ht="15.75" customHeight="1" x14ac:dyDescent="0.2">
      <c r="B515" s="2"/>
      <c r="C515" s="26"/>
      <c r="D515" s="27"/>
      <c r="E515" s="27"/>
      <c r="F515" s="27"/>
      <c r="G515" s="27"/>
      <c r="H515" s="243"/>
      <c r="I515" s="27"/>
      <c r="J515" s="27"/>
      <c r="K515" s="27"/>
      <c r="L515" s="27"/>
      <c r="M515" s="27"/>
    </row>
    <row r="516" spans="2:13" ht="15.75" customHeight="1" x14ac:dyDescent="0.2">
      <c r="B516" s="2"/>
      <c r="C516" s="26"/>
      <c r="D516" s="27"/>
      <c r="E516" s="27"/>
      <c r="F516" s="27"/>
      <c r="G516" s="27"/>
      <c r="H516" s="243"/>
      <c r="I516" s="27"/>
      <c r="J516" s="27"/>
      <c r="K516" s="27"/>
      <c r="L516" s="27"/>
      <c r="M516" s="27"/>
    </row>
    <row r="517" spans="2:13" ht="15.75" customHeight="1" x14ac:dyDescent="0.2">
      <c r="B517" s="2"/>
      <c r="C517" s="26"/>
      <c r="D517" s="27"/>
      <c r="E517" s="27"/>
      <c r="F517" s="27"/>
      <c r="G517" s="27"/>
      <c r="H517" s="243"/>
      <c r="I517" s="27"/>
      <c r="J517" s="27"/>
      <c r="K517" s="27"/>
      <c r="L517" s="27"/>
      <c r="M517" s="27"/>
    </row>
    <row r="518" spans="2:13" ht="15.75" customHeight="1" x14ac:dyDescent="0.2">
      <c r="B518" s="2"/>
      <c r="C518" s="26"/>
      <c r="D518" s="27"/>
      <c r="E518" s="27"/>
      <c r="F518" s="27"/>
      <c r="G518" s="27"/>
      <c r="H518" s="243"/>
      <c r="I518" s="27"/>
      <c r="J518" s="27"/>
      <c r="K518" s="27"/>
      <c r="L518" s="27"/>
      <c r="M518" s="27"/>
    </row>
    <row r="519" spans="2:13" ht="15.75" customHeight="1" x14ac:dyDescent="0.2">
      <c r="B519" s="2"/>
      <c r="C519" s="26"/>
      <c r="D519" s="27"/>
      <c r="E519" s="27"/>
      <c r="F519" s="27"/>
      <c r="G519" s="27"/>
      <c r="H519" s="243"/>
      <c r="I519" s="27"/>
      <c r="J519" s="27"/>
      <c r="K519" s="27"/>
      <c r="L519" s="27"/>
      <c r="M519" s="27"/>
    </row>
    <row r="520" spans="2:13" ht="15.75" customHeight="1" x14ac:dyDescent="0.2">
      <c r="B520" s="2"/>
      <c r="C520" s="26"/>
      <c r="D520" s="27"/>
      <c r="E520" s="27"/>
      <c r="F520" s="27"/>
      <c r="G520" s="27"/>
      <c r="H520" s="243"/>
      <c r="I520" s="27"/>
      <c r="J520" s="27"/>
      <c r="K520" s="27"/>
      <c r="L520" s="27"/>
      <c r="M520" s="27"/>
    </row>
    <row r="521" spans="2:13" ht="15.75" customHeight="1" x14ac:dyDescent="0.2">
      <c r="B521" s="2"/>
      <c r="C521" s="26"/>
      <c r="D521" s="27"/>
      <c r="E521" s="27"/>
      <c r="F521" s="27"/>
      <c r="G521" s="27"/>
      <c r="H521" s="243"/>
      <c r="I521" s="27"/>
      <c r="J521" s="27"/>
      <c r="K521" s="27"/>
      <c r="L521" s="27"/>
      <c r="M521" s="27"/>
    </row>
    <row r="522" spans="2:13" ht="15.75" customHeight="1" x14ac:dyDescent="0.2">
      <c r="B522" s="2"/>
      <c r="C522" s="26"/>
      <c r="D522" s="27"/>
      <c r="E522" s="27"/>
      <c r="F522" s="27"/>
      <c r="G522" s="27"/>
      <c r="H522" s="243"/>
      <c r="I522" s="27"/>
      <c r="J522" s="27"/>
      <c r="K522" s="27"/>
      <c r="L522" s="27"/>
      <c r="M522" s="27"/>
    </row>
    <row r="523" spans="2:13" ht="15.75" customHeight="1" x14ac:dyDescent="0.2">
      <c r="B523" s="2"/>
      <c r="C523" s="26"/>
      <c r="D523" s="27"/>
      <c r="E523" s="27"/>
      <c r="F523" s="27"/>
      <c r="G523" s="27"/>
      <c r="H523" s="243"/>
      <c r="I523" s="27"/>
      <c r="J523" s="27"/>
      <c r="K523" s="27"/>
      <c r="L523" s="27"/>
      <c r="M523" s="27"/>
    </row>
    <row r="524" spans="2:13" ht="15.75" customHeight="1" x14ac:dyDescent="0.2">
      <c r="B524" s="2"/>
      <c r="C524" s="26"/>
      <c r="D524" s="27"/>
      <c r="E524" s="27"/>
      <c r="F524" s="27"/>
      <c r="G524" s="27"/>
      <c r="H524" s="243"/>
      <c r="I524" s="27"/>
      <c r="J524" s="27"/>
      <c r="K524" s="27"/>
      <c r="L524" s="27"/>
      <c r="M524" s="27"/>
    </row>
    <row r="525" spans="2:13" ht="15.75" customHeight="1" x14ac:dyDescent="0.2">
      <c r="B525" s="2"/>
      <c r="C525" s="26"/>
      <c r="D525" s="27"/>
      <c r="E525" s="27"/>
      <c r="F525" s="27"/>
      <c r="G525" s="27"/>
      <c r="H525" s="243"/>
      <c r="I525" s="27"/>
      <c r="J525" s="27"/>
      <c r="K525" s="27"/>
      <c r="L525" s="27"/>
      <c r="M525" s="27"/>
    </row>
    <row r="526" spans="2:13" ht="15.75" customHeight="1" x14ac:dyDescent="0.2">
      <c r="B526" s="2"/>
      <c r="C526" s="26"/>
      <c r="D526" s="27"/>
      <c r="E526" s="27"/>
      <c r="F526" s="27"/>
      <c r="G526" s="27"/>
      <c r="H526" s="243"/>
      <c r="I526" s="27"/>
      <c r="J526" s="27"/>
      <c r="K526" s="27"/>
      <c r="L526" s="27"/>
      <c r="M526" s="27"/>
    </row>
    <row r="527" spans="2:13" ht="15.75" customHeight="1" x14ac:dyDescent="0.2">
      <c r="B527" s="2"/>
      <c r="C527" s="26"/>
      <c r="D527" s="27"/>
      <c r="E527" s="27"/>
      <c r="F527" s="27"/>
      <c r="G527" s="27"/>
      <c r="H527" s="243"/>
      <c r="I527" s="27"/>
      <c r="J527" s="27"/>
      <c r="K527" s="27"/>
      <c r="L527" s="27"/>
      <c r="M527" s="27"/>
    </row>
    <row r="528" spans="2:13" ht="15.75" customHeight="1" x14ac:dyDescent="0.2">
      <c r="B528" s="2"/>
      <c r="C528" s="26"/>
      <c r="D528" s="27"/>
      <c r="E528" s="27"/>
      <c r="F528" s="27"/>
      <c r="G528" s="27"/>
      <c r="H528" s="243"/>
      <c r="I528" s="27"/>
      <c r="J528" s="27"/>
      <c r="K528" s="27"/>
      <c r="L528" s="27"/>
      <c r="M528" s="27"/>
    </row>
    <row r="529" spans="2:13" ht="15.75" customHeight="1" x14ac:dyDescent="0.2">
      <c r="B529" s="2"/>
      <c r="C529" s="26"/>
      <c r="D529" s="27"/>
      <c r="E529" s="27"/>
      <c r="F529" s="27"/>
      <c r="G529" s="27"/>
      <c r="H529" s="243"/>
      <c r="I529" s="27"/>
      <c r="J529" s="27"/>
      <c r="K529" s="27"/>
      <c r="L529" s="27"/>
      <c r="M529" s="27"/>
    </row>
    <row r="530" spans="2:13" ht="15.75" customHeight="1" x14ac:dyDescent="0.2">
      <c r="B530" s="2"/>
      <c r="C530" s="26"/>
      <c r="D530" s="27"/>
      <c r="E530" s="27"/>
      <c r="F530" s="27"/>
      <c r="G530" s="27"/>
      <c r="H530" s="243"/>
      <c r="I530" s="27"/>
      <c r="J530" s="27"/>
      <c r="K530" s="27"/>
      <c r="L530" s="27"/>
      <c r="M530" s="27"/>
    </row>
    <row r="531" spans="2:13" ht="15.75" customHeight="1" x14ac:dyDescent="0.2">
      <c r="B531" s="2"/>
      <c r="C531" s="26"/>
      <c r="D531" s="27"/>
      <c r="E531" s="27"/>
      <c r="F531" s="27"/>
      <c r="G531" s="27"/>
      <c r="H531" s="243"/>
      <c r="I531" s="27"/>
      <c r="J531" s="27"/>
      <c r="K531" s="27"/>
      <c r="L531" s="27"/>
      <c r="M531" s="27"/>
    </row>
    <row r="532" spans="2:13" ht="15.75" customHeight="1" x14ac:dyDescent="0.2">
      <c r="B532" s="2"/>
      <c r="C532" s="26"/>
      <c r="D532" s="27"/>
      <c r="E532" s="27"/>
      <c r="F532" s="27"/>
      <c r="G532" s="27"/>
      <c r="H532" s="243"/>
      <c r="I532" s="27"/>
      <c r="J532" s="27"/>
      <c r="K532" s="27"/>
      <c r="L532" s="27"/>
      <c r="M532" s="27"/>
    </row>
    <row r="533" spans="2:13" ht="15.75" customHeight="1" x14ac:dyDescent="0.2">
      <c r="B533" s="2"/>
      <c r="C533" s="26"/>
      <c r="D533" s="27"/>
      <c r="E533" s="27"/>
      <c r="F533" s="27"/>
      <c r="G533" s="27"/>
      <c r="H533" s="243"/>
      <c r="I533" s="27"/>
      <c r="J533" s="27"/>
      <c r="K533" s="27"/>
      <c r="L533" s="27"/>
      <c r="M533" s="27"/>
    </row>
    <row r="534" spans="2:13" ht="15.75" customHeight="1" x14ac:dyDescent="0.2">
      <c r="B534" s="2"/>
      <c r="C534" s="26"/>
      <c r="D534" s="27"/>
      <c r="E534" s="27"/>
      <c r="F534" s="27"/>
      <c r="G534" s="27"/>
      <c r="H534" s="243"/>
      <c r="I534" s="27"/>
      <c r="J534" s="27"/>
      <c r="K534" s="27"/>
      <c r="L534" s="27"/>
      <c r="M534" s="27"/>
    </row>
    <row r="535" spans="2:13" ht="15.75" customHeight="1" x14ac:dyDescent="0.2">
      <c r="B535" s="2"/>
      <c r="C535" s="26"/>
      <c r="D535" s="27"/>
      <c r="E535" s="27"/>
      <c r="F535" s="27"/>
      <c r="G535" s="27"/>
      <c r="H535" s="243"/>
      <c r="I535" s="27"/>
      <c r="J535" s="27"/>
      <c r="K535" s="27"/>
      <c r="L535" s="27"/>
      <c r="M535" s="27"/>
    </row>
    <row r="536" spans="2:13" ht="15.75" customHeight="1" x14ac:dyDescent="0.2">
      <c r="B536" s="2"/>
      <c r="C536" s="26"/>
      <c r="D536" s="27"/>
      <c r="E536" s="27"/>
      <c r="F536" s="27"/>
      <c r="G536" s="27"/>
      <c r="H536" s="243"/>
      <c r="I536" s="27"/>
      <c r="J536" s="27"/>
      <c r="K536" s="27"/>
      <c r="L536" s="27"/>
      <c r="M536" s="27"/>
    </row>
    <row r="537" spans="2:13" ht="15.75" customHeight="1" x14ac:dyDescent="0.2">
      <c r="B537" s="2"/>
      <c r="C537" s="26"/>
      <c r="D537" s="27"/>
      <c r="E537" s="27"/>
      <c r="F537" s="27"/>
      <c r="G537" s="27"/>
      <c r="H537" s="243"/>
      <c r="I537" s="27"/>
      <c r="J537" s="27"/>
      <c r="K537" s="27"/>
      <c r="L537" s="27"/>
      <c r="M537" s="27"/>
    </row>
    <row r="538" spans="2:13" ht="15.75" customHeight="1" x14ac:dyDescent="0.2">
      <c r="B538" s="2"/>
      <c r="C538" s="26"/>
      <c r="D538" s="27"/>
      <c r="E538" s="27"/>
      <c r="F538" s="27"/>
      <c r="G538" s="27"/>
      <c r="H538" s="243"/>
      <c r="I538" s="27"/>
      <c r="J538" s="27"/>
      <c r="K538" s="27"/>
      <c r="L538" s="27"/>
      <c r="M538" s="27"/>
    </row>
    <row r="539" spans="2:13" ht="15.75" customHeight="1" x14ac:dyDescent="0.2">
      <c r="B539" s="2"/>
      <c r="C539" s="26"/>
      <c r="D539" s="27"/>
      <c r="E539" s="27"/>
      <c r="F539" s="27"/>
      <c r="G539" s="27"/>
      <c r="H539" s="243"/>
      <c r="I539" s="27"/>
      <c r="J539" s="27"/>
      <c r="K539" s="27"/>
      <c r="L539" s="27"/>
      <c r="M539" s="27"/>
    </row>
    <row r="540" spans="2:13" ht="15.75" customHeight="1" x14ac:dyDescent="0.2">
      <c r="B540" s="2"/>
      <c r="C540" s="26"/>
      <c r="D540" s="27"/>
      <c r="E540" s="27"/>
      <c r="F540" s="27"/>
      <c r="G540" s="27"/>
      <c r="H540" s="243"/>
      <c r="I540" s="27"/>
      <c r="J540" s="27"/>
      <c r="K540" s="27"/>
      <c r="L540" s="27"/>
      <c r="M540" s="27"/>
    </row>
    <row r="541" spans="2:13" ht="15.75" customHeight="1" x14ac:dyDescent="0.2">
      <c r="B541" s="2"/>
      <c r="C541" s="26"/>
      <c r="D541" s="27"/>
      <c r="E541" s="27"/>
      <c r="F541" s="27"/>
      <c r="G541" s="27"/>
      <c r="H541" s="243"/>
      <c r="I541" s="27"/>
      <c r="J541" s="27"/>
      <c r="K541" s="27"/>
      <c r="L541" s="27"/>
      <c r="M541" s="27"/>
    </row>
    <row r="542" spans="2:13" ht="15.75" customHeight="1" x14ac:dyDescent="0.2">
      <c r="B542" s="2"/>
      <c r="C542" s="26"/>
      <c r="D542" s="27"/>
      <c r="E542" s="27"/>
      <c r="F542" s="27"/>
      <c r="G542" s="27"/>
      <c r="H542" s="243"/>
      <c r="I542" s="27"/>
      <c r="J542" s="27"/>
      <c r="K542" s="27"/>
      <c r="L542" s="27"/>
      <c r="M542" s="27"/>
    </row>
    <row r="543" spans="2:13" ht="15.75" customHeight="1" x14ac:dyDescent="0.2">
      <c r="B543" s="2"/>
      <c r="C543" s="26"/>
      <c r="D543" s="27"/>
      <c r="E543" s="27"/>
      <c r="F543" s="27"/>
      <c r="G543" s="27"/>
      <c r="H543" s="243"/>
      <c r="I543" s="27"/>
      <c r="J543" s="27"/>
      <c r="K543" s="27"/>
      <c r="L543" s="27"/>
      <c r="M543" s="27"/>
    </row>
    <row r="544" spans="2:13" ht="15.75" customHeight="1" x14ac:dyDescent="0.2">
      <c r="B544" s="2"/>
      <c r="C544" s="26"/>
      <c r="D544" s="27"/>
      <c r="E544" s="27"/>
      <c r="F544" s="27"/>
      <c r="G544" s="27"/>
      <c r="H544" s="243"/>
      <c r="I544" s="27"/>
      <c r="J544" s="27"/>
      <c r="K544" s="27"/>
      <c r="L544" s="27"/>
      <c r="M544" s="27"/>
    </row>
    <row r="545" spans="2:13" ht="15.75" customHeight="1" x14ac:dyDescent="0.2">
      <c r="B545" s="2"/>
      <c r="C545" s="26"/>
      <c r="D545" s="27"/>
      <c r="E545" s="27"/>
      <c r="F545" s="27"/>
      <c r="G545" s="27"/>
      <c r="H545" s="243"/>
      <c r="I545" s="27"/>
      <c r="J545" s="27"/>
      <c r="K545" s="27"/>
      <c r="L545" s="27"/>
      <c r="M545" s="27"/>
    </row>
    <row r="546" spans="2:13" ht="15.75" customHeight="1" x14ac:dyDescent="0.2">
      <c r="B546" s="2"/>
      <c r="C546" s="26"/>
      <c r="D546" s="27"/>
      <c r="E546" s="27"/>
      <c r="F546" s="27"/>
      <c r="G546" s="27"/>
      <c r="H546" s="243"/>
      <c r="I546" s="27"/>
      <c r="J546" s="27"/>
      <c r="K546" s="27"/>
      <c r="L546" s="27"/>
      <c r="M546" s="27"/>
    </row>
    <row r="547" spans="2:13" ht="15.75" customHeight="1" x14ac:dyDescent="0.2">
      <c r="B547" s="2"/>
      <c r="C547" s="26"/>
      <c r="D547" s="27"/>
      <c r="E547" s="27"/>
      <c r="F547" s="27"/>
      <c r="G547" s="27"/>
      <c r="H547" s="243"/>
      <c r="I547" s="27"/>
      <c r="J547" s="27"/>
      <c r="K547" s="27"/>
      <c r="L547" s="27"/>
      <c r="M547" s="27"/>
    </row>
    <row r="548" spans="2:13" ht="15.75" customHeight="1" x14ac:dyDescent="0.2">
      <c r="B548" s="2"/>
      <c r="C548" s="26"/>
      <c r="D548" s="27"/>
      <c r="E548" s="27"/>
      <c r="F548" s="27"/>
      <c r="G548" s="27"/>
      <c r="H548" s="243"/>
      <c r="I548" s="27"/>
      <c r="J548" s="27"/>
      <c r="K548" s="27"/>
      <c r="L548" s="27"/>
      <c r="M548" s="27"/>
    </row>
    <row r="549" spans="2:13" ht="15.75" customHeight="1" x14ac:dyDescent="0.2">
      <c r="B549" s="2"/>
      <c r="C549" s="26"/>
      <c r="D549" s="27"/>
      <c r="E549" s="27"/>
      <c r="F549" s="27"/>
      <c r="G549" s="27"/>
      <c r="H549" s="243"/>
      <c r="I549" s="27"/>
      <c r="J549" s="27"/>
      <c r="K549" s="27"/>
      <c r="L549" s="27"/>
      <c r="M549" s="27"/>
    </row>
    <row r="550" spans="2:13" ht="15.75" customHeight="1" x14ac:dyDescent="0.2">
      <c r="B550" s="2"/>
      <c r="C550" s="26"/>
      <c r="D550" s="27"/>
      <c r="E550" s="27"/>
      <c r="F550" s="27"/>
      <c r="G550" s="27"/>
      <c r="H550" s="243"/>
      <c r="I550" s="27"/>
      <c r="J550" s="27"/>
      <c r="K550" s="27"/>
      <c r="L550" s="27"/>
      <c r="M550" s="27"/>
    </row>
    <row r="551" spans="2:13" ht="15.75" customHeight="1" x14ac:dyDescent="0.2">
      <c r="B551" s="2"/>
      <c r="C551" s="26"/>
      <c r="D551" s="27"/>
      <c r="E551" s="27"/>
      <c r="F551" s="27"/>
      <c r="G551" s="27"/>
      <c r="H551" s="243"/>
      <c r="I551" s="27"/>
      <c r="J551" s="27"/>
      <c r="K551" s="27"/>
      <c r="L551" s="27"/>
      <c r="M551" s="27"/>
    </row>
    <row r="552" spans="2:13" ht="15.75" customHeight="1" x14ac:dyDescent="0.2">
      <c r="B552" s="2"/>
      <c r="C552" s="26"/>
      <c r="D552" s="27"/>
      <c r="E552" s="27"/>
      <c r="F552" s="27"/>
      <c r="G552" s="27"/>
      <c r="H552" s="243"/>
      <c r="I552" s="27"/>
      <c r="J552" s="27"/>
      <c r="K552" s="27"/>
      <c r="L552" s="27"/>
      <c r="M552" s="27"/>
    </row>
    <row r="553" spans="2:13" ht="15.75" customHeight="1" x14ac:dyDescent="0.2">
      <c r="B553" s="2"/>
      <c r="C553" s="26"/>
      <c r="D553" s="27"/>
      <c r="E553" s="27"/>
      <c r="F553" s="27"/>
      <c r="G553" s="27"/>
      <c r="H553" s="243"/>
      <c r="I553" s="27"/>
      <c r="J553" s="27"/>
      <c r="K553" s="27"/>
      <c r="L553" s="27"/>
      <c r="M553" s="27"/>
    </row>
    <row r="554" spans="2:13" ht="15.75" customHeight="1" x14ac:dyDescent="0.2">
      <c r="B554" s="2"/>
      <c r="C554" s="26"/>
      <c r="D554" s="27"/>
      <c r="E554" s="27"/>
      <c r="F554" s="27"/>
      <c r="G554" s="27"/>
      <c r="H554" s="243"/>
      <c r="I554" s="27"/>
      <c r="J554" s="27"/>
      <c r="K554" s="27"/>
      <c r="L554" s="27"/>
      <c r="M554" s="27"/>
    </row>
    <row r="555" spans="2:13" ht="15.75" customHeight="1" x14ac:dyDescent="0.2">
      <c r="B555" s="2"/>
      <c r="C555" s="26"/>
      <c r="D555" s="27"/>
      <c r="E555" s="27"/>
      <c r="F555" s="27"/>
      <c r="G555" s="27"/>
      <c r="H555" s="243"/>
      <c r="I555" s="27"/>
      <c r="J555" s="27"/>
      <c r="K555" s="27"/>
      <c r="L555" s="27"/>
      <c r="M555" s="27"/>
    </row>
    <row r="556" spans="2:13" ht="15.75" customHeight="1" x14ac:dyDescent="0.2">
      <c r="B556" s="2"/>
      <c r="C556" s="26"/>
      <c r="D556" s="27"/>
      <c r="E556" s="27"/>
      <c r="F556" s="27"/>
      <c r="G556" s="27"/>
      <c r="H556" s="243"/>
      <c r="I556" s="27"/>
      <c r="J556" s="27"/>
      <c r="K556" s="27"/>
      <c r="L556" s="27"/>
      <c r="M556" s="27"/>
    </row>
    <row r="557" spans="2:13" ht="15.75" customHeight="1" x14ac:dyDescent="0.2">
      <c r="B557" s="2"/>
      <c r="C557" s="26"/>
      <c r="D557" s="27"/>
      <c r="E557" s="27"/>
      <c r="F557" s="27"/>
      <c r="G557" s="27"/>
      <c r="H557" s="243"/>
      <c r="I557" s="27"/>
      <c r="J557" s="27"/>
      <c r="K557" s="27"/>
      <c r="L557" s="27"/>
      <c r="M557" s="27"/>
    </row>
    <row r="558" spans="2:13" ht="15.75" customHeight="1" x14ac:dyDescent="0.2">
      <c r="B558" s="2"/>
      <c r="C558" s="26"/>
      <c r="D558" s="27"/>
      <c r="E558" s="27"/>
      <c r="F558" s="27"/>
      <c r="G558" s="27"/>
      <c r="H558" s="243"/>
      <c r="I558" s="27"/>
      <c r="J558" s="27"/>
      <c r="K558" s="27"/>
      <c r="L558" s="27"/>
      <c r="M558" s="27"/>
    </row>
    <row r="559" spans="2:13" ht="15.75" customHeight="1" x14ac:dyDescent="0.2">
      <c r="B559" s="2"/>
      <c r="C559" s="26"/>
      <c r="D559" s="27"/>
      <c r="E559" s="27"/>
      <c r="F559" s="27"/>
      <c r="G559" s="27"/>
      <c r="H559" s="243"/>
      <c r="I559" s="27"/>
      <c r="J559" s="27"/>
      <c r="K559" s="27"/>
      <c r="L559" s="27"/>
      <c r="M559" s="27"/>
    </row>
    <row r="560" spans="2:13" ht="15.75" customHeight="1" x14ac:dyDescent="0.2">
      <c r="B560" s="2"/>
      <c r="C560" s="26"/>
      <c r="D560" s="27"/>
      <c r="E560" s="27"/>
      <c r="F560" s="27"/>
      <c r="G560" s="27"/>
      <c r="H560" s="243"/>
      <c r="I560" s="27"/>
      <c r="J560" s="27"/>
      <c r="K560" s="27"/>
      <c r="L560" s="27"/>
      <c r="M560" s="27"/>
    </row>
    <row r="561" spans="2:13" ht="15.75" customHeight="1" x14ac:dyDescent="0.2">
      <c r="B561" s="2"/>
      <c r="C561" s="26"/>
      <c r="D561" s="27"/>
      <c r="E561" s="27"/>
      <c r="F561" s="27"/>
      <c r="G561" s="27"/>
      <c r="H561" s="243"/>
      <c r="I561" s="27"/>
      <c r="J561" s="27"/>
      <c r="K561" s="27"/>
      <c r="L561" s="27"/>
      <c r="M561" s="27"/>
    </row>
    <row r="562" spans="2:13" ht="15.75" customHeight="1" x14ac:dyDescent="0.2">
      <c r="B562" s="2"/>
      <c r="C562" s="26"/>
      <c r="D562" s="27"/>
      <c r="E562" s="27"/>
      <c r="F562" s="27"/>
      <c r="G562" s="27"/>
      <c r="H562" s="243"/>
      <c r="I562" s="27"/>
      <c r="J562" s="27"/>
      <c r="K562" s="27"/>
      <c r="L562" s="27"/>
      <c r="M562" s="27"/>
    </row>
    <row r="563" spans="2:13" ht="15.75" customHeight="1" x14ac:dyDescent="0.2">
      <c r="B563" s="2"/>
      <c r="C563" s="26"/>
      <c r="D563" s="27"/>
      <c r="E563" s="27"/>
      <c r="F563" s="27"/>
      <c r="G563" s="27"/>
      <c r="H563" s="243"/>
      <c r="I563" s="27"/>
      <c r="J563" s="27"/>
      <c r="K563" s="27"/>
      <c r="L563" s="27"/>
      <c r="M563" s="27"/>
    </row>
    <row r="564" spans="2:13" ht="15.75" customHeight="1" x14ac:dyDescent="0.2">
      <c r="B564" s="2"/>
      <c r="C564" s="26"/>
      <c r="D564" s="27"/>
      <c r="E564" s="27"/>
      <c r="F564" s="27"/>
      <c r="G564" s="27"/>
      <c r="H564" s="243"/>
      <c r="I564" s="27"/>
      <c r="J564" s="27"/>
      <c r="K564" s="27"/>
      <c r="L564" s="27"/>
      <c r="M564" s="27"/>
    </row>
    <row r="565" spans="2:13" ht="15.75" customHeight="1" x14ac:dyDescent="0.2">
      <c r="B565" s="2"/>
      <c r="C565" s="26"/>
      <c r="D565" s="27"/>
      <c r="E565" s="27"/>
      <c r="F565" s="27"/>
      <c r="G565" s="27"/>
      <c r="H565" s="243"/>
      <c r="I565" s="27"/>
      <c r="J565" s="27"/>
      <c r="K565" s="27"/>
      <c r="L565" s="27"/>
      <c r="M565" s="27"/>
    </row>
    <row r="566" spans="2:13" ht="15.75" customHeight="1" x14ac:dyDescent="0.2">
      <c r="B566" s="2"/>
      <c r="C566" s="26"/>
      <c r="D566" s="27"/>
      <c r="E566" s="27"/>
      <c r="F566" s="27"/>
      <c r="G566" s="27"/>
      <c r="H566" s="243"/>
      <c r="I566" s="27"/>
      <c r="J566" s="27"/>
      <c r="K566" s="27"/>
      <c r="L566" s="27"/>
      <c r="M566" s="27"/>
    </row>
    <row r="567" spans="2:13" ht="15.75" customHeight="1" x14ac:dyDescent="0.2">
      <c r="B567" s="2"/>
      <c r="C567" s="26"/>
      <c r="D567" s="27"/>
      <c r="E567" s="27"/>
      <c r="F567" s="27"/>
      <c r="G567" s="27"/>
      <c r="H567" s="243"/>
      <c r="I567" s="27"/>
      <c r="J567" s="27"/>
      <c r="K567" s="27"/>
      <c r="L567" s="27"/>
      <c r="M567" s="27"/>
    </row>
    <row r="568" spans="2:13" ht="15.75" customHeight="1" x14ac:dyDescent="0.2">
      <c r="B568" s="2"/>
      <c r="C568" s="26"/>
      <c r="D568" s="27"/>
      <c r="E568" s="27"/>
      <c r="F568" s="27"/>
      <c r="G568" s="27"/>
      <c r="H568" s="243"/>
      <c r="I568" s="27"/>
      <c r="J568" s="27"/>
      <c r="K568" s="27"/>
      <c r="L568" s="27"/>
      <c r="M568" s="27"/>
    </row>
    <row r="569" spans="2:13" ht="15.75" customHeight="1" x14ac:dyDescent="0.2">
      <c r="B569" s="2"/>
      <c r="C569" s="26"/>
      <c r="D569" s="27"/>
      <c r="E569" s="27"/>
      <c r="F569" s="27"/>
      <c r="G569" s="27"/>
      <c r="H569" s="243"/>
      <c r="I569" s="27"/>
      <c r="J569" s="27"/>
      <c r="K569" s="27"/>
      <c r="L569" s="27"/>
      <c r="M569" s="27"/>
    </row>
    <row r="570" spans="2:13" ht="15.75" customHeight="1" x14ac:dyDescent="0.2">
      <c r="B570" s="2"/>
      <c r="C570" s="26"/>
      <c r="D570" s="27"/>
      <c r="E570" s="27"/>
      <c r="F570" s="27"/>
      <c r="G570" s="27"/>
      <c r="H570" s="243"/>
      <c r="I570" s="27"/>
      <c r="J570" s="27"/>
      <c r="K570" s="27"/>
      <c r="L570" s="27"/>
      <c r="M570" s="27"/>
    </row>
    <row r="571" spans="2:13" ht="15.75" customHeight="1" x14ac:dyDescent="0.2">
      <c r="B571" s="2"/>
      <c r="C571" s="26"/>
      <c r="D571" s="27"/>
      <c r="E571" s="27"/>
      <c r="F571" s="27"/>
      <c r="G571" s="27"/>
      <c r="H571" s="243"/>
      <c r="I571" s="27"/>
      <c r="J571" s="27"/>
      <c r="K571" s="27"/>
      <c r="L571" s="27"/>
      <c r="M571" s="27"/>
    </row>
    <row r="572" spans="2:13" ht="15.75" customHeight="1" x14ac:dyDescent="0.2">
      <c r="B572" s="2"/>
      <c r="C572" s="26"/>
      <c r="D572" s="27"/>
      <c r="E572" s="27"/>
      <c r="F572" s="27"/>
      <c r="G572" s="27"/>
      <c r="H572" s="243"/>
      <c r="I572" s="27"/>
      <c r="J572" s="27"/>
      <c r="K572" s="27"/>
      <c r="L572" s="27"/>
      <c r="M572" s="27"/>
    </row>
    <row r="573" spans="2:13" ht="15.75" customHeight="1" x14ac:dyDescent="0.2">
      <c r="B573" s="2"/>
      <c r="C573" s="26"/>
      <c r="D573" s="27"/>
      <c r="E573" s="27"/>
      <c r="F573" s="27"/>
      <c r="G573" s="27"/>
      <c r="H573" s="243"/>
      <c r="I573" s="27"/>
      <c r="J573" s="27"/>
      <c r="K573" s="27"/>
      <c r="L573" s="27"/>
      <c r="M573" s="27"/>
    </row>
    <row r="574" spans="2:13" ht="15.75" customHeight="1" x14ac:dyDescent="0.2">
      <c r="B574" s="2"/>
      <c r="C574" s="26"/>
      <c r="D574" s="27"/>
      <c r="E574" s="27"/>
      <c r="F574" s="27"/>
      <c r="G574" s="27"/>
      <c r="H574" s="243"/>
      <c r="I574" s="27"/>
      <c r="J574" s="27"/>
      <c r="K574" s="27"/>
      <c r="L574" s="27"/>
      <c r="M574" s="27"/>
    </row>
    <row r="575" spans="2:13" ht="15.75" customHeight="1" x14ac:dyDescent="0.2">
      <c r="B575" s="2"/>
      <c r="C575" s="26"/>
      <c r="D575" s="27"/>
      <c r="E575" s="27"/>
      <c r="F575" s="27"/>
      <c r="G575" s="27"/>
      <c r="H575" s="243"/>
      <c r="I575" s="27"/>
      <c r="J575" s="27"/>
      <c r="K575" s="27"/>
      <c r="L575" s="27"/>
      <c r="M575" s="27"/>
    </row>
    <row r="576" spans="2:13" ht="15.75" customHeight="1" x14ac:dyDescent="0.2">
      <c r="B576" s="2"/>
      <c r="C576" s="26"/>
      <c r="D576" s="27"/>
      <c r="E576" s="27"/>
      <c r="F576" s="27"/>
      <c r="G576" s="27"/>
      <c r="H576" s="243"/>
      <c r="I576" s="27"/>
      <c r="J576" s="27"/>
      <c r="K576" s="27"/>
      <c r="L576" s="27"/>
      <c r="M576" s="27"/>
    </row>
    <row r="577" spans="2:13" ht="15.75" customHeight="1" x14ac:dyDescent="0.2">
      <c r="B577" s="2"/>
      <c r="C577" s="26"/>
      <c r="D577" s="27"/>
      <c r="E577" s="27"/>
      <c r="F577" s="27"/>
      <c r="G577" s="27"/>
      <c r="H577" s="243"/>
      <c r="I577" s="27"/>
      <c r="J577" s="27"/>
      <c r="K577" s="27"/>
      <c r="L577" s="27"/>
      <c r="M577" s="27"/>
    </row>
    <row r="578" spans="2:13" ht="15.75" customHeight="1" x14ac:dyDescent="0.2">
      <c r="B578" s="2"/>
      <c r="C578" s="26"/>
      <c r="D578" s="27"/>
      <c r="E578" s="27"/>
      <c r="F578" s="27"/>
      <c r="G578" s="27"/>
      <c r="H578" s="243"/>
      <c r="I578" s="27"/>
      <c r="J578" s="27"/>
      <c r="K578" s="27"/>
      <c r="L578" s="27"/>
      <c r="M578" s="27"/>
    </row>
    <row r="579" spans="2:13" ht="15.75" customHeight="1" x14ac:dyDescent="0.2">
      <c r="B579" s="2"/>
      <c r="C579" s="26"/>
      <c r="D579" s="27"/>
      <c r="E579" s="27"/>
      <c r="F579" s="27"/>
      <c r="G579" s="27"/>
      <c r="H579" s="243"/>
      <c r="I579" s="27"/>
      <c r="J579" s="27"/>
      <c r="K579" s="27"/>
      <c r="L579" s="27"/>
      <c r="M579" s="27"/>
    </row>
    <row r="580" spans="2:13" ht="15.75" customHeight="1" x14ac:dyDescent="0.2">
      <c r="B580" s="2"/>
      <c r="C580" s="26"/>
      <c r="D580" s="27"/>
      <c r="E580" s="27"/>
      <c r="F580" s="27"/>
      <c r="G580" s="27"/>
      <c r="H580" s="243"/>
      <c r="I580" s="27"/>
      <c r="J580" s="27"/>
      <c r="K580" s="27"/>
      <c r="L580" s="27"/>
      <c r="M580" s="27"/>
    </row>
    <row r="581" spans="2:13" ht="15.75" customHeight="1" x14ac:dyDescent="0.2">
      <c r="B581" s="2"/>
      <c r="C581" s="26"/>
      <c r="D581" s="27"/>
      <c r="E581" s="27"/>
      <c r="F581" s="27"/>
      <c r="G581" s="27"/>
      <c r="H581" s="243"/>
      <c r="I581" s="27"/>
      <c r="J581" s="27"/>
      <c r="K581" s="27"/>
      <c r="L581" s="27"/>
      <c r="M581" s="27"/>
    </row>
    <row r="582" spans="2:13" ht="15.75" customHeight="1" x14ac:dyDescent="0.2">
      <c r="B582" s="2"/>
      <c r="C582" s="26"/>
      <c r="D582" s="27"/>
      <c r="E582" s="27"/>
      <c r="F582" s="27"/>
      <c r="G582" s="27"/>
      <c r="H582" s="243"/>
      <c r="I582" s="27"/>
      <c r="J582" s="27"/>
      <c r="K582" s="27"/>
      <c r="L582" s="27"/>
      <c r="M582" s="27"/>
    </row>
    <row r="583" spans="2:13" ht="15.75" customHeight="1" x14ac:dyDescent="0.2">
      <c r="B583" s="2"/>
      <c r="C583" s="26"/>
      <c r="D583" s="27"/>
      <c r="E583" s="27"/>
      <c r="F583" s="27"/>
      <c r="G583" s="27"/>
      <c r="H583" s="243"/>
      <c r="I583" s="27"/>
      <c r="J583" s="27"/>
      <c r="K583" s="27"/>
      <c r="L583" s="27"/>
      <c r="M583" s="27"/>
    </row>
    <row r="584" spans="2:13" ht="15.75" customHeight="1" x14ac:dyDescent="0.2">
      <c r="B584" s="2"/>
      <c r="C584" s="26"/>
      <c r="D584" s="27"/>
      <c r="E584" s="27"/>
      <c r="F584" s="27"/>
      <c r="G584" s="27"/>
      <c r="H584" s="243"/>
      <c r="I584" s="27"/>
      <c r="J584" s="27"/>
      <c r="K584" s="27"/>
      <c r="L584" s="27"/>
      <c r="M584" s="27"/>
    </row>
    <row r="585" spans="2:13" ht="15.75" customHeight="1" x14ac:dyDescent="0.2">
      <c r="B585" s="2"/>
      <c r="C585" s="26"/>
      <c r="D585" s="27"/>
      <c r="E585" s="27"/>
      <c r="F585" s="27"/>
      <c r="G585" s="27"/>
      <c r="H585" s="243"/>
      <c r="I585" s="27"/>
      <c r="J585" s="27"/>
      <c r="K585" s="27"/>
      <c r="L585" s="27"/>
      <c r="M585" s="27"/>
    </row>
    <row r="586" spans="2:13" ht="15.75" customHeight="1" x14ac:dyDescent="0.2">
      <c r="B586" s="2"/>
      <c r="C586" s="26"/>
      <c r="D586" s="27"/>
      <c r="E586" s="27"/>
      <c r="F586" s="27"/>
      <c r="G586" s="27"/>
      <c r="H586" s="243"/>
      <c r="I586" s="27"/>
      <c r="J586" s="27"/>
      <c r="K586" s="27"/>
      <c r="L586" s="27"/>
      <c r="M586" s="27"/>
    </row>
    <row r="587" spans="2:13" ht="15.75" customHeight="1" x14ac:dyDescent="0.2">
      <c r="B587" s="2"/>
      <c r="C587" s="26"/>
      <c r="D587" s="27"/>
      <c r="E587" s="27"/>
      <c r="F587" s="27"/>
      <c r="G587" s="27"/>
      <c r="H587" s="243"/>
      <c r="I587" s="27"/>
      <c r="J587" s="27"/>
      <c r="K587" s="27"/>
      <c r="L587" s="27"/>
      <c r="M587" s="27"/>
    </row>
    <row r="588" spans="2:13" ht="15.75" customHeight="1" x14ac:dyDescent="0.2">
      <c r="B588" s="2"/>
      <c r="C588" s="26"/>
      <c r="D588" s="27"/>
      <c r="E588" s="27"/>
      <c r="F588" s="27"/>
      <c r="G588" s="27"/>
      <c r="H588" s="243"/>
      <c r="I588" s="27"/>
      <c r="J588" s="27"/>
      <c r="K588" s="27"/>
      <c r="L588" s="27"/>
      <c r="M588" s="27"/>
    </row>
    <row r="589" spans="2:13" ht="15.75" customHeight="1" x14ac:dyDescent="0.2">
      <c r="B589" s="2"/>
      <c r="C589" s="26"/>
      <c r="D589" s="27"/>
      <c r="E589" s="27"/>
      <c r="F589" s="27"/>
      <c r="G589" s="27"/>
      <c r="H589" s="243"/>
      <c r="I589" s="27"/>
      <c r="J589" s="27"/>
      <c r="K589" s="27"/>
      <c r="L589" s="27"/>
      <c r="M589" s="27"/>
    </row>
    <row r="590" spans="2:13" ht="15.75" customHeight="1" x14ac:dyDescent="0.2">
      <c r="B590" s="2"/>
      <c r="C590" s="26"/>
      <c r="D590" s="27"/>
      <c r="E590" s="27"/>
      <c r="F590" s="27"/>
      <c r="G590" s="27"/>
      <c r="H590" s="243"/>
      <c r="I590" s="27"/>
      <c r="J590" s="27"/>
      <c r="K590" s="27"/>
      <c r="L590" s="27"/>
      <c r="M590" s="27"/>
    </row>
    <row r="591" spans="2:13" ht="15.75" customHeight="1" x14ac:dyDescent="0.2">
      <c r="B591" s="2"/>
      <c r="C591" s="26"/>
      <c r="D591" s="27"/>
      <c r="E591" s="27"/>
      <c r="F591" s="27"/>
      <c r="G591" s="27"/>
      <c r="H591" s="243"/>
      <c r="I591" s="27"/>
      <c r="J591" s="27"/>
      <c r="K591" s="27"/>
      <c r="L591" s="27"/>
      <c r="M591" s="27"/>
    </row>
    <row r="592" spans="2:13" ht="15.75" customHeight="1" x14ac:dyDescent="0.2">
      <c r="B592" s="2"/>
      <c r="C592" s="26"/>
      <c r="D592" s="27"/>
      <c r="E592" s="27"/>
      <c r="F592" s="27"/>
      <c r="G592" s="27"/>
      <c r="H592" s="243"/>
      <c r="I592" s="27"/>
      <c r="J592" s="27"/>
      <c r="K592" s="27"/>
      <c r="L592" s="27"/>
      <c r="M592" s="27"/>
    </row>
    <row r="593" spans="2:13" ht="15.75" customHeight="1" x14ac:dyDescent="0.2">
      <c r="B593" s="2"/>
      <c r="C593" s="26"/>
      <c r="D593" s="27"/>
      <c r="E593" s="27"/>
      <c r="F593" s="27"/>
      <c r="G593" s="27"/>
      <c r="H593" s="243"/>
      <c r="I593" s="27"/>
      <c r="J593" s="27"/>
      <c r="K593" s="27"/>
      <c r="L593" s="27"/>
      <c r="M593" s="27"/>
    </row>
    <row r="594" spans="2:13" ht="15.75" customHeight="1" x14ac:dyDescent="0.2">
      <c r="B594" s="2"/>
      <c r="C594" s="26"/>
      <c r="D594" s="27"/>
      <c r="E594" s="27"/>
      <c r="F594" s="27"/>
      <c r="G594" s="27"/>
      <c r="H594" s="243"/>
      <c r="I594" s="27"/>
      <c r="J594" s="27"/>
      <c r="K594" s="27"/>
      <c r="L594" s="27"/>
      <c r="M594" s="27"/>
    </row>
    <row r="595" spans="2:13" ht="15.75" customHeight="1" x14ac:dyDescent="0.2">
      <c r="B595" s="2"/>
      <c r="C595" s="26"/>
      <c r="D595" s="27"/>
      <c r="E595" s="27"/>
      <c r="F595" s="27"/>
      <c r="G595" s="27"/>
      <c r="H595" s="243"/>
      <c r="I595" s="27"/>
      <c r="J595" s="27"/>
      <c r="K595" s="27"/>
      <c r="L595" s="27"/>
      <c r="M595" s="27"/>
    </row>
    <row r="596" spans="2:13" ht="15.75" customHeight="1" x14ac:dyDescent="0.2">
      <c r="B596" s="2"/>
      <c r="C596" s="26"/>
      <c r="D596" s="27"/>
      <c r="E596" s="27"/>
      <c r="F596" s="27"/>
      <c r="G596" s="27"/>
      <c r="H596" s="243"/>
      <c r="I596" s="27"/>
      <c r="J596" s="27"/>
      <c r="K596" s="27"/>
      <c r="L596" s="27"/>
      <c r="M596" s="27"/>
    </row>
    <row r="597" spans="2:13" ht="15.75" customHeight="1" x14ac:dyDescent="0.2">
      <c r="B597" s="2"/>
      <c r="C597" s="26"/>
      <c r="D597" s="27"/>
      <c r="E597" s="27"/>
      <c r="F597" s="27"/>
      <c r="G597" s="27"/>
      <c r="H597" s="243"/>
      <c r="I597" s="27"/>
      <c r="J597" s="27"/>
      <c r="K597" s="27"/>
      <c r="L597" s="27"/>
      <c r="M597" s="27"/>
    </row>
    <row r="598" spans="2:13" ht="15.75" customHeight="1" x14ac:dyDescent="0.2">
      <c r="B598" s="2"/>
      <c r="C598" s="26"/>
      <c r="D598" s="27"/>
      <c r="E598" s="27"/>
      <c r="F598" s="27"/>
      <c r="G598" s="27"/>
      <c r="H598" s="243"/>
      <c r="I598" s="27"/>
      <c r="J598" s="27"/>
      <c r="K598" s="27"/>
      <c r="L598" s="27"/>
      <c r="M598" s="27"/>
    </row>
    <row r="599" spans="2:13" ht="15.75" customHeight="1" x14ac:dyDescent="0.2">
      <c r="B599" s="2"/>
      <c r="C599" s="26"/>
      <c r="D599" s="27"/>
      <c r="E599" s="27"/>
      <c r="F599" s="27"/>
      <c r="G599" s="27"/>
      <c r="H599" s="243"/>
      <c r="I599" s="27"/>
      <c r="J599" s="27"/>
      <c r="K599" s="27"/>
      <c r="L599" s="27"/>
      <c r="M599" s="27"/>
    </row>
    <row r="600" spans="2:13" ht="15.75" customHeight="1" x14ac:dyDescent="0.2">
      <c r="B600" s="2"/>
      <c r="C600" s="26"/>
      <c r="D600" s="27"/>
      <c r="E600" s="27"/>
      <c r="F600" s="27"/>
      <c r="G600" s="27"/>
      <c r="H600" s="243"/>
      <c r="I600" s="27"/>
      <c r="J600" s="27"/>
      <c r="K600" s="27"/>
      <c r="L600" s="27"/>
      <c r="M600" s="27"/>
    </row>
    <row r="601" spans="2:13" ht="15.75" customHeight="1" x14ac:dyDescent="0.2">
      <c r="B601" s="2"/>
      <c r="C601" s="26"/>
      <c r="D601" s="27"/>
      <c r="E601" s="27"/>
      <c r="F601" s="27"/>
      <c r="G601" s="27"/>
      <c r="H601" s="243"/>
      <c r="I601" s="27"/>
      <c r="J601" s="27"/>
      <c r="K601" s="27"/>
      <c r="L601" s="27"/>
      <c r="M601" s="27"/>
    </row>
    <row r="602" spans="2:13" ht="15.75" customHeight="1" x14ac:dyDescent="0.2">
      <c r="B602" s="2"/>
      <c r="C602" s="26"/>
      <c r="D602" s="27"/>
      <c r="E602" s="27"/>
      <c r="F602" s="27"/>
      <c r="G602" s="27"/>
      <c r="H602" s="243"/>
      <c r="I602" s="27"/>
      <c r="J602" s="27"/>
      <c r="K602" s="27"/>
      <c r="L602" s="27"/>
      <c r="M602" s="27"/>
    </row>
    <row r="603" spans="2:13" ht="15.75" customHeight="1" x14ac:dyDescent="0.2">
      <c r="B603" s="2"/>
      <c r="C603" s="26"/>
      <c r="D603" s="27"/>
      <c r="E603" s="27"/>
      <c r="F603" s="27"/>
      <c r="G603" s="27"/>
      <c r="H603" s="243"/>
      <c r="I603" s="27"/>
      <c r="J603" s="27"/>
      <c r="K603" s="27"/>
      <c r="L603" s="27"/>
      <c r="M603" s="27"/>
    </row>
    <row r="604" spans="2:13" ht="15.75" customHeight="1" x14ac:dyDescent="0.2">
      <c r="B604" s="2"/>
      <c r="C604" s="26"/>
      <c r="D604" s="27"/>
      <c r="E604" s="27"/>
      <c r="F604" s="27"/>
      <c r="G604" s="27"/>
      <c r="H604" s="243"/>
      <c r="I604" s="27"/>
      <c r="J604" s="27"/>
      <c r="K604" s="27"/>
      <c r="L604" s="27"/>
      <c r="M604" s="27"/>
    </row>
    <row r="605" spans="2:13" ht="15.75" customHeight="1" x14ac:dyDescent="0.2">
      <c r="B605" s="2"/>
      <c r="C605" s="26"/>
      <c r="D605" s="27"/>
      <c r="E605" s="27"/>
      <c r="F605" s="27"/>
      <c r="G605" s="27"/>
      <c r="H605" s="243"/>
      <c r="I605" s="27"/>
      <c r="J605" s="27"/>
      <c r="K605" s="27"/>
      <c r="L605" s="27"/>
      <c r="M605" s="27"/>
    </row>
    <row r="606" spans="2:13" ht="15.75" customHeight="1" x14ac:dyDescent="0.2">
      <c r="B606" s="2"/>
      <c r="C606" s="26"/>
      <c r="D606" s="27"/>
      <c r="E606" s="27"/>
      <c r="F606" s="27"/>
      <c r="G606" s="27"/>
      <c r="H606" s="243"/>
      <c r="I606" s="27"/>
      <c r="J606" s="27"/>
      <c r="K606" s="27"/>
      <c r="L606" s="27"/>
      <c r="M606" s="27"/>
    </row>
    <row r="607" spans="2:13" ht="15.75" customHeight="1" x14ac:dyDescent="0.2">
      <c r="B607" s="2"/>
      <c r="C607" s="26"/>
      <c r="D607" s="27"/>
      <c r="E607" s="27"/>
      <c r="F607" s="27"/>
      <c r="G607" s="27"/>
      <c r="H607" s="243"/>
      <c r="I607" s="27"/>
      <c r="J607" s="27"/>
      <c r="K607" s="27"/>
      <c r="L607" s="27"/>
      <c r="M607" s="27"/>
    </row>
    <row r="608" spans="2:13" ht="15.75" customHeight="1" x14ac:dyDescent="0.2">
      <c r="B608" s="2"/>
      <c r="C608" s="26"/>
      <c r="D608" s="27"/>
      <c r="E608" s="27"/>
      <c r="F608" s="27"/>
      <c r="G608" s="27"/>
      <c r="H608" s="243"/>
      <c r="I608" s="27"/>
      <c r="J608" s="27"/>
      <c r="K608" s="27"/>
      <c r="L608" s="27"/>
      <c r="M608" s="27"/>
    </row>
    <row r="609" spans="2:13" ht="15.75" customHeight="1" x14ac:dyDescent="0.2">
      <c r="B609" s="2"/>
      <c r="C609" s="26"/>
      <c r="D609" s="27"/>
      <c r="E609" s="27"/>
      <c r="F609" s="27"/>
      <c r="G609" s="27"/>
      <c r="H609" s="243"/>
      <c r="I609" s="27"/>
      <c r="J609" s="27"/>
      <c r="K609" s="27"/>
      <c r="L609" s="27"/>
      <c r="M609" s="27"/>
    </row>
    <row r="610" spans="2:13" ht="15.75" customHeight="1" x14ac:dyDescent="0.2">
      <c r="B610" s="2"/>
      <c r="C610" s="26"/>
      <c r="D610" s="27"/>
      <c r="E610" s="27"/>
      <c r="F610" s="27"/>
      <c r="G610" s="27"/>
      <c r="H610" s="243"/>
      <c r="I610" s="27"/>
      <c r="J610" s="27"/>
      <c r="K610" s="27"/>
      <c r="L610" s="27"/>
      <c r="M610" s="27"/>
    </row>
    <row r="611" spans="2:13" ht="15.75" customHeight="1" x14ac:dyDescent="0.2">
      <c r="B611" s="2"/>
      <c r="C611" s="26"/>
      <c r="D611" s="27"/>
      <c r="E611" s="27"/>
      <c r="F611" s="27"/>
      <c r="G611" s="27"/>
      <c r="H611" s="243"/>
      <c r="I611" s="27"/>
      <c r="J611" s="27"/>
      <c r="K611" s="27"/>
      <c r="L611" s="27"/>
      <c r="M611" s="27"/>
    </row>
    <row r="612" spans="2:13" ht="15.75" customHeight="1" x14ac:dyDescent="0.2">
      <c r="B612" s="2"/>
      <c r="C612" s="26"/>
      <c r="D612" s="27"/>
      <c r="E612" s="27"/>
      <c r="F612" s="27"/>
      <c r="G612" s="27"/>
      <c r="H612" s="243"/>
      <c r="I612" s="27"/>
      <c r="J612" s="27"/>
      <c r="K612" s="27"/>
      <c r="L612" s="27"/>
      <c r="M612" s="27"/>
    </row>
    <row r="613" spans="2:13" ht="15.75" customHeight="1" x14ac:dyDescent="0.2">
      <c r="B613" s="2"/>
      <c r="C613" s="26"/>
      <c r="D613" s="27"/>
      <c r="E613" s="27"/>
      <c r="F613" s="27"/>
      <c r="G613" s="27"/>
      <c r="H613" s="243"/>
      <c r="I613" s="27"/>
      <c r="J613" s="27"/>
      <c r="K613" s="27"/>
      <c r="L613" s="27"/>
      <c r="M613" s="27"/>
    </row>
    <row r="614" spans="2:13" ht="15.75" customHeight="1" x14ac:dyDescent="0.2">
      <c r="B614" s="2"/>
      <c r="C614" s="26"/>
      <c r="D614" s="27"/>
      <c r="E614" s="27"/>
      <c r="F614" s="27"/>
      <c r="G614" s="27"/>
      <c r="H614" s="243"/>
      <c r="I614" s="27"/>
      <c r="J614" s="27"/>
      <c r="K614" s="27"/>
      <c r="L614" s="27"/>
      <c r="M614" s="27"/>
    </row>
    <row r="615" spans="2:13" ht="15.75" customHeight="1" x14ac:dyDescent="0.2">
      <c r="B615" s="2"/>
      <c r="C615" s="26"/>
      <c r="D615" s="27"/>
      <c r="E615" s="27"/>
      <c r="F615" s="27"/>
      <c r="G615" s="27"/>
      <c r="H615" s="243"/>
      <c r="I615" s="27"/>
      <c r="J615" s="27"/>
      <c r="K615" s="27"/>
      <c r="L615" s="27"/>
      <c r="M615" s="27"/>
    </row>
    <row r="616" spans="2:13" ht="15.75" customHeight="1" x14ac:dyDescent="0.2">
      <c r="B616" s="2"/>
      <c r="C616" s="26"/>
      <c r="D616" s="27"/>
      <c r="E616" s="27"/>
      <c r="F616" s="27"/>
      <c r="G616" s="27"/>
      <c r="H616" s="243"/>
      <c r="I616" s="27"/>
      <c r="J616" s="27"/>
      <c r="K616" s="27"/>
      <c r="L616" s="27"/>
      <c r="M616" s="27"/>
    </row>
    <row r="617" spans="2:13" ht="15.75" customHeight="1" x14ac:dyDescent="0.2">
      <c r="B617" s="2"/>
      <c r="C617" s="26"/>
      <c r="D617" s="27"/>
      <c r="E617" s="27"/>
      <c r="F617" s="27"/>
      <c r="G617" s="27"/>
      <c r="H617" s="243"/>
      <c r="I617" s="27"/>
      <c r="J617" s="27"/>
      <c r="K617" s="27"/>
      <c r="L617" s="27"/>
      <c r="M617" s="27"/>
    </row>
    <row r="618" spans="2:13" ht="15.75" customHeight="1" x14ac:dyDescent="0.2">
      <c r="B618" s="2"/>
      <c r="C618" s="26"/>
      <c r="D618" s="27"/>
      <c r="E618" s="27"/>
      <c r="F618" s="27"/>
      <c r="G618" s="27"/>
      <c r="H618" s="243"/>
      <c r="I618" s="27"/>
      <c r="J618" s="27"/>
      <c r="K618" s="27"/>
      <c r="L618" s="27"/>
      <c r="M618" s="27"/>
    </row>
    <row r="619" spans="2:13" ht="15.75" customHeight="1" x14ac:dyDescent="0.2">
      <c r="B619" s="2"/>
      <c r="C619" s="26"/>
      <c r="D619" s="27"/>
      <c r="E619" s="27"/>
      <c r="F619" s="27"/>
      <c r="G619" s="27"/>
      <c r="H619" s="243"/>
      <c r="I619" s="27"/>
      <c r="J619" s="27"/>
      <c r="K619" s="27"/>
      <c r="L619" s="27"/>
      <c r="M619" s="27"/>
    </row>
    <row r="620" spans="2:13" ht="15.75" customHeight="1" x14ac:dyDescent="0.2">
      <c r="B620" s="2"/>
      <c r="C620" s="26"/>
      <c r="D620" s="27"/>
      <c r="E620" s="27"/>
      <c r="F620" s="27"/>
      <c r="G620" s="27"/>
      <c r="H620" s="243"/>
      <c r="I620" s="27"/>
      <c r="J620" s="27"/>
      <c r="K620" s="27"/>
      <c r="L620" s="27"/>
      <c r="M620" s="27"/>
    </row>
    <row r="621" spans="2:13" ht="15.75" customHeight="1" x14ac:dyDescent="0.2">
      <c r="B621" s="2"/>
      <c r="C621" s="26"/>
      <c r="D621" s="27"/>
      <c r="E621" s="27"/>
      <c r="F621" s="27"/>
      <c r="G621" s="27"/>
      <c r="H621" s="243"/>
      <c r="I621" s="27"/>
      <c r="J621" s="27"/>
      <c r="K621" s="27"/>
      <c r="L621" s="27"/>
      <c r="M621" s="27"/>
    </row>
    <row r="622" spans="2:13" ht="15.75" customHeight="1" x14ac:dyDescent="0.2">
      <c r="B622" s="2"/>
      <c r="C622" s="26"/>
      <c r="D622" s="27"/>
      <c r="E622" s="27"/>
      <c r="F622" s="27"/>
      <c r="G622" s="27"/>
      <c r="H622" s="243"/>
      <c r="I622" s="27"/>
      <c r="J622" s="27"/>
      <c r="K622" s="27"/>
      <c r="L622" s="27"/>
      <c r="M622" s="27"/>
    </row>
    <row r="623" spans="2:13" ht="15.75" customHeight="1" x14ac:dyDescent="0.2">
      <c r="B623" s="2"/>
      <c r="C623" s="26"/>
      <c r="D623" s="27"/>
      <c r="E623" s="27"/>
      <c r="F623" s="27"/>
      <c r="G623" s="27"/>
      <c r="H623" s="243"/>
      <c r="I623" s="27"/>
      <c r="J623" s="27"/>
      <c r="K623" s="27"/>
      <c r="L623" s="27"/>
      <c r="M623" s="27"/>
    </row>
    <row r="624" spans="2:13" ht="15.75" customHeight="1" x14ac:dyDescent="0.2">
      <c r="B624" s="2"/>
      <c r="C624" s="26"/>
      <c r="D624" s="27"/>
      <c r="E624" s="27"/>
      <c r="F624" s="27"/>
      <c r="G624" s="27"/>
      <c r="H624" s="243"/>
      <c r="I624" s="27"/>
      <c r="J624" s="27"/>
      <c r="K624" s="27"/>
      <c r="L624" s="27"/>
      <c r="M624" s="27"/>
    </row>
    <row r="625" spans="2:13" ht="15.75" customHeight="1" x14ac:dyDescent="0.2">
      <c r="B625" s="2"/>
      <c r="C625" s="26"/>
      <c r="D625" s="27"/>
      <c r="E625" s="27"/>
      <c r="F625" s="27"/>
      <c r="G625" s="27"/>
      <c r="H625" s="243"/>
      <c r="I625" s="27"/>
      <c r="J625" s="27"/>
      <c r="K625" s="27"/>
      <c r="L625" s="27"/>
      <c r="M625" s="27"/>
    </row>
    <row r="626" spans="2:13" ht="15.75" customHeight="1" x14ac:dyDescent="0.2">
      <c r="B626" s="2"/>
      <c r="C626" s="26"/>
      <c r="D626" s="27"/>
      <c r="E626" s="27"/>
      <c r="F626" s="27"/>
      <c r="G626" s="27"/>
      <c r="H626" s="243"/>
      <c r="I626" s="27"/>
      <c r="J626" s="27"/>
      <c r="K626" s="27"/>
      <c r="L626" s="27"/>
      <c r="M626" s="27"/>
    </row>
    <row r="627" spans="2:13" ht="15.75" customHeight="1" x14ac:dyDescent="0.2">
      <c r="B627" s="2"/>
      <c r="C627" s="26"/>
      <c r="D627" s="27"/>
      <c r="E627" s="27"/>
      <c r="F627" s="27"/>
      <c r="G627" s="27"/>
      <c r="H627" s="243"/>
      <c r="I627" s="27"/>
      <c r="J627" s="27"/>
      <c r="K627" s="27"/>
      <c r="L627" s="27"/>
      <c r="M627" s="27"/>
    </row>
    <row r="628" spans="2:13" ht="15.75" customHeight="1" x14ac:dyDescent="0.2">
      <c r="B628" s="2"/>
      <c r="C628" s="26"/>
      <c r="D628" s="27"/>
      <c r="E628" s="27"/>
      <c r="F628" s="27"/>
      <c r="G628" s="27"/>
      <c r="H628" s="243"/>
      <c r="I628" s="27"/>
      <c r="J628" s="27"/>
      <c r="K628" s="27"/>
      <c r="L628" s="27"/>
      <c r="M628" s="27"/>
    </row>
    <row r="629" spans="2:13" ht="15.75" customHeight="1" x14ac:dyDescent="0.2">
      <c r="B629" s="2"/>
      <c r="C629" s="26"/>
      <c r="D629" s="27"/>
      <c r="E629" s="27"/>
      <c r="F629" s="27"/>
      <c r="G629" s="27"/>
      <c r="H629" s="243"/>
      <c r="I629" s="27"/>
      <c r="J629" s="27"/>
      <c r="K629" s="27"/>
      <c r="L629" s="27"/>
      <c r="M629" s="27"/>
    </row>
    <row r="630" spans="2:13" ht="15.75" customHeight="1" x14ac:dyDescent="0.2">
      <c r="B630" s="2"/>
      <c r="C630" s="26"/>
      <c r="D630" s="27"/>
      <c r="E630" s="27"/>
      <c r="F630" s="27"/>
      <c r="G630" s="27"/>
      <c r="H630" s="243"/>
      <c r="I630" s="27"/>
      <c r="J630" s="27"/>
      <c r="K630" s="27"/>
      <c r="L630" s="27"/>
      <c r="M630" s="27"/>
    </row>
    <row r="631" spans="2:13" ht="15.75" customHeight="1" x14ac:dyDescent="0.2">
      <c r="B631" s="2"/>
      <c r="C631" s="26"/>
      <c r="D631" s="27"/>
      <c r="E631" s="27"/>
      <c r="F631" s="27"/>
      <c r="G631" s="27"/>
      <c r="H631" s="243"/>
      <c r="I631" s="27"/>
      <c r="J631" s="27"/>
      <c r="K631" s="27"/>
      <c r="L631" s="27"/>
      <c r="M631" s="27"/>
    </row>
    <row r="632" spans="2:13" ht="15.75" customHeight="1" x14ac:dyDescent="0.2">
      <c r="B632" s="2"/>
      <c r="C632" s="26"/>
      <c r="D632" s="27"/>
      <c r="E632" s="27"/>
      <c r="F632" s="27"/>
      <c r="G632" s="27"/>
      <c r="H632" s="243"/>
      <c r="I632" s="27"/>
      <c r="J632" s="27"/>
      <c r="K632" s="27"/>
      <c r="L632" s="27"/>
      <c r="M632" s="27"/>
    </row>
    <row r="633" spans="2:13" ht="15.75" customHeight="1" x14ac:dyDescent="0.2">
      <c r="B633" s="2"/>
      <c r="C633" s="26"/>
      <c r="D633" s="27"/>
      <c r="E633" s="27"/>
      <c r="F633" s="27"/>
      <c r="G633" s="27"/>
      <c r="H633" s="243"/>
      <c r="I633" s="27"/>
      <c r="J633" s="27"/>
      <c r="K633" s="27"/>
      <c r="L633" s="27"/>
      <c r="M633" s="27"/>
    </row>
    <row r="634" spans="2:13" ht="15.75" customHeight="1" x14ac:dyDescent="0.2">
      <c r="B634" s="2"/>
      <c r="C634" s="26"/>
      <c r="D634" s="27"/>
      <c r="E634" s="27"/>
      <c r="F634" s="27"/>
      <c r="G634" s="27"/>
      <c r="H634" s="243"/>
      <c r="I634" s="27"/>
      <c r="J634" s="27"/>
      <c r="K634" s="27"/>
      <c r="L634" s="27"/>
      <c r="M634" s="27"/>
    </row>
    <row r="635" spans="2:13" ht="15.75" customHeight="1" x14ac:dyDescent="0.2">
      <c r="B635" s="2"/>
      <c r="C635" s="26"/>
      <c r="D635" s="27"/>
      <c r="E635" s="27"/>
      <c r="F635" s="27"/>
      <c r="G635" s="27"/>
      <c r="H635" s="243"/>
      <c r="I635" s="27"/>
      <c r="J635" s="27"/>
      <c r="K635" s="27"/>
      <c r="L635" s="27"/>
      <c r="M635" s="27"/>
    </row>
    <row r="636" spans="2:13" ht="15.75" customHeight="1" x14ac:dyDescent="0.2">
      <c r="B636" s="2"/>
      <c r="C636" s="26"/>
      <c r="D636" s="27"/>
      <c r="E636" s="27"/>
      <c r="F636" s="27"/>
      <c r="G636" s="27"/>
      <c r="H636" s="243"/>
      <c r="I636" s="27"/>
      <c r="J636" s="27"/>
      <c r="K636" s="27"/>
      <c r="L636" s="27"/>
      <c r="M636" s="27"/>
    </row>
    <row r="637" spans="2:13" ht="15.75" customHeight="1" x14ac:dyDescent="0.2">
      <c r="B637" s="2"/>
      <c r="C637" s="26"/>
      <c r="D637" s="27"/>
      <c r="E637" s="27"/>
      <c r="F637" s="27"/>
      <c r="G637" s="27"/>
      <c r="H637" s="243"/>
      <c r="I637" s="27"/>
      <c r="J637" s="27"/>
      <c r="K637" s="27"/>
      <c r="L637" s="27"/>
      <c r="M637" s="27"/>
    </row>
    <row r="638" spans="2:13" ht="15.75" customHeight="1" x14ac:dyDescent="0.2">
      <c r="B638" s="2"/>
      <c r="C638" s="26"/>
      <c r="D638" s="27"/>
      <c r="E638" s="27"/>
      <c r="F638" s="27"/>
      <c r="G638" s="27"/>
      <c r="H638" s="243"/>
      <c r="I638" s="27"/>
      <c r="J638" s="27"/>
      <c r="K638" s="27"/>
      <c r="L638" s="27"/>
      <c r="M638" s="27"/>
    </row>
    <row r="639" spans="2:13" ht="15.75" customHeight="1" x14ac:dyDescent="0.2">
      <c r="B639" s="2"/>
      <c r="C639" s="26"/>
      <c r="D639" s="27"/>
      <c r="E639" s="27"/>
      <c r="F639" s="27"/>
      <c r="G639" s="27"/>
      <c r="H639" s="243"/>
      <c r="I639" s="27"/>
      <c r="J639" s="27"/>
      <c r="K639" s="27"/>
      <c r="L639" s="27"/>
      <c r="M639" s="27"/>
    </row>
    <row r="640" spans="2:13" ht="15.75" customHeight="1" x14ac:dyDescent="0.2">
      <c r="B640" s="2"/>
      <c r="C640" s="26"/>
      <c r="D640" s="27"/>
      <c r="E640" s="27"/>
      <c r="F640" s="27"/>
      <c r="G640" s="27"/>
      <c r="H640" s="243"/>
      <c r="I640" s="27"/>
      <c r="J640" s="27"/>
      <c r="K640" s="27"/>
      <c r="L640" s="27"/>
      <c r="M640" s="27"/>
    </row>
    <row r="641" spans="2:13" ht="15.75" customHeight="1" x14ac:dyDescent="0.2">
      <c r="B641" s="2"/>
      <c r="C641" s="26"/>
      <c r="D641" s="27"/>
      <c r="E641" s="27"/>
      <c r="F641" s="27"/>
      <c r="G641" s="27"/>
      <c r="H641" s="243"/>
      <c r="I641" s="27"/>
      <c r="J641" s="27"/>
      <c r="K641" s="27"/>
      <c r="L641" s="27"/>
      <c r="M641" s="27"/>
    </row>
    <row r="642" spans="2:13" ht="15.75" customHeight="1" x14ac:dyDescent="0.2">
      <c r="B642" s="2"/>
      <c r="C642" s="26"/>
      <c r="D642" s="27"/>
      <c r="E642" s="27"/>
      <c r="F642" s="27"/>
      <c r="G642" s="27"/>
      <c r="H642" s="243"/>
      <c r="I642" s="27"/>
      <c r="J642" s="27"/>
      <c r="K642" s="27"/>
      <c r="L642" s="27"/>
      <c r="M642" s="27"/>
    </row>
    <row r="643" spans="2:13" ht="15.75" customHeight="1" x14ac:dyDescent="0.2">
      <c r="B643" s="2"/>
      <c r="C643" s="26"/>
      <c r="D643" s="27"/>
      <c r="E643" s="27"/>
      <c r="F643" s="27"/>
      <c r="G643" s="27"/>
      <c r="H643" s="243"/>
      <c r="I643" s="27"/>
      <c r="J643" s="27"/>
      <c r="K643" s="27"/>
      <c r="L643" s="27"/>
      <c r="M643" s="27"/>
    </row>
    <row r="644" spans="2:13" ht="15.75" customHeight="1" x14ac:dyDescent="0.2">
      <c r="B644" s="2"/>
      <c r="C644" s="26"/>
      <c r="D644" s="27"/>
      <c r="E644" s="27"/>
      <c r="F644" s="27"/>
      <c r="G644" s="27"/>
      <c r="H644" s="243"/>
      <c r="I644" s="27"/>
      <c r="J644" s="27"/>
      <c r="K644" s="27"/>
      <c r="L644" s="27"/>
      <c r="M644" s="27"/>
    </row>
    <row r="645" spans="2:13" ht="15.75" customHeight="1" x14ac:dyDescent="0.2">
      <c r="B645" s="2"/>
      <c r="C645" s="26"/>
      <c r="D645" s="27"/>
      <c r="E645" s="27"/>
      <c r="F645" s="27"/>
      <c r="G645" s="27"/>
      <c r="H645" s="243"/>
      <c r="I645" s="27"/>
      <c r="J645" s="27"/>
      <c r="K645" s="27"/>
      <c r="L645" s="27"/>
      <c r="M645" s="27"/>
    </row>
    <row r="646" spans="2:13" ht="15.75" customHeight="1" x14ac:dyDescent="0.2">
      <c r="B646" s="2"/>
      <c r="C646" s="26"/>
      <c r="D646" s="27"/>
      <c r="E646" s="27"/>
      <c r="F646" s="27"/>
      <c r="G646" s="27"/>
      <c r="H646" s="243"/>
      <c r="I646" s="27"/>
      <c r="J646" s="27"/>
      <c r="K646" s="27"/>
      <c r="L646" s="27"/>
      <c r="M646" s="27"/>
    </row>
    <row r="647" spans="2:13" ht="15.75" customHeight="1" x14ac:dyDescent="0.2">
      <c r="B647" s="2"/>
      <c r="C647" s="26"/>
      <c r="D647" s="27"/>
      <c r="E647" s="27"/>
      <c r="F647" s="27"/>
      <c r="G647" s="27"/>
      <c r="H647" s="243"/>
      <c r="I647" s="27"/>
      <c r="J647" s="27"/>
      <c r="K647" s="27"/>
      <c r="L647" s="27"/>
      <c r="M647" s="27"/>
    </row>
    <row r="648" spans="2:13" ht="15.75" customHeight="1" x14ac:dyDescent="0.2">
      <c r="B648" s="2"/>
      <c r="C648" s="26"/>
      <c r="D648" s="27"/>
      <c r="E648" s="27"/>
      <c r="F648" s="27"/>
      <c r="G648" s="27"/>
      <c r="H648" s="243"/>
      <c r="I648" s="27"/>
      <c r="J648" s="27"/>
      <c r="K648" s="27"/>
      <c r="L648" s="27"/>
      <c r="M648" s="27"/>
    </row>
    <row r="649" spans="2:13" ht="15.75" customHeight="1" x14ac:dyDescent="0.2">
      <c r="B649" s="2"/>
      <c r="C649" s="26"/>
      <c r="D649" s="27"/>
      <c r="E649" s="27"/>
      <c r="F649" s="27"/>
      <c r="G649" s="27"/>
      <c r="H649" s="243"/>
      <c r="I649" s="27"/>
      <c r="J649" s="27"/>
      <c r="K649" s="27"/>
      <c r="L649" s="27"/>
      <c r="M649" s="27"/>
    </row>
    <row r="650" spans="2:13" ht="15.75" customHeight="1" x14ac:dyDescent="0.2">
      <c r="B650" s="2"/>
      <c r="C650" s="26"/>
      <c r="D650" s="27"/>
      <c r="E650" s="27"/>
      <c r="F650" s="27"/>
      <c r="G650" s="27"/>
      <c r="H650" s="243"/>
      <c r="I650" s="27"/>
      <c r="J650" s="27"/>
      <c r="K650" s="27"/>
      <c r="L650" s="27"/>
      <c r="M650" s="27"/>
    </row>
    <row r="651" spans="2:13" ht="15.75" customHeight="1" x14ac:dyDescent="0.2">
      <c r="B651" s="2"/>
      <c r="C651" s="26"/>
      <c r="D651" s="27"/>
      <c r="E651" s="27"/>
      <c r="F651" s="27"/>
      <c r="G651" s="27"/>
      <c r="H651" s="243"/>
      <c r="I651" s="27"/>
      <c r="J651" s="27"/>
      <c r="K651" s="27"/>
      <c r="L651" s="27"/>
      <c r="M651" s="27"/>
    </row>
    <row r="652" spans="2:13" ht="15.75" customHeight="1" x14ac:dyDescent="0.2">
      <c r="B652" s="2"/>
      <c r="C652" s="26"/>
      <c r="D652" s="27"/>
      <c r="E652" s="27"/>
      <c r="F652" s="27"/>
      <c r="G652" s="27"/>
      <c r="H652" s="243"/>
      <c r="I652" s="27"/>
      <c r="J652" s="27"/>
      <c r="K652" s="27"/>
      <c r="L652" s="27"/>
      <c r="M652" s="27"/>
    </row>
    <row r="653" spans="2:13" ht="15.75" customHeight="1" x14ac:dyDescent="0.2">
      <c r="B653" s="2"/>
      <c r="C653" s="26"/>
      <c r="D653" s="27"/>
      <c r="E653" s="27"/>
      <c r="F653" s="27"/>
      <c r="G653" s="27"/>
      <c r="H653" s="243"/>
      <c r="I653" s="27"/>
      <c r="J653" s="27"/>
      <c r="K653" s="27"/>
      <c r="L653" s="27"/>
      <c r="M653" s="27"/>
    </row>
    <row r="654" spans="2:13" ht="15.75" customHeight="1" x14ac:dyDescent="0.2">
      <c r="B654" s="2"/>
      <c r="C654" s="26"/>
      <c r="D654" s="27"/>
      <c r="E654" s="27"/>
      <c r="F654" s="27"/>
      <c r="G654" s="27"/>
      <c r="H654" s="243"/>
      <c r="I654" s="27"/>
      <c r="J654" s="27"/>
      <c r="K654" s="27"/>
      <c r="L654" s="27"/>
      <c r="M654" s="27"/>
    </row>
    <row r="655" spans="2:13" ht="15.75" customHeight="1" x14ac:dyDescent="0.2">
      <c r="B655" s="2"/>
      <c r="C655" s="26"/>
      <c r="D655" s="27"/>
      <c r="E655" s="27"/>
      <c r="F655" s="27"/>
      <c r="G655" s="27"/>
      <c r="H655" s="243"/>
      <c r="I655" s="27"/>
      <c r="J655" s="27"/>
      <c r="K655" s="27"/>
      <c r="L655" s="27"/>
      <c r="M655" s="27"/>
    </row>
    <row r="656" spans="2:13" ht="15.75" customHeight="1" x14ac:dyDescent="0.2">
      <c r="B656" s="2"/>
      <c r="C656" s="26"/>
      <c r="D656" s="27"/>
      <c r="E656" s="27"/>
      <c r="F656" s="27"/>
      <c r="G656" s="27"/>
      <c r="H656" s="243"/>
      <c r="I656" s="27"/>
      <c r="J656" s="27"/>
      <c r="K656" s="27"/>
      <c r="L656" s="27"/>
      <c r="M656" s="27"/>
    </row>
    <row r="657" spans="2:13" ht="15.75" customHeight="1" x14ac:dyDescent="0.2">
      <c r="B657" s="2"/>
      <c r="C657" s="26"/>
      <c r="D657" s="27"/>
      <c r="E657" s="27"/>
      <c r="F657" s="27"/>
      <c r="G657" s="27"/>
      <c r="H657" s="243"/>
      <c r="I657" s="27"/>
      <c r="J657" s="27"/>
      <c r="K657" s="27"/>
      <c r="L657" s="27"/>
      <c r="M657" s="27"/>
    </row>
    <row r="658" spans="2:13" ht="15.75" customHeight="1" x14ac:dyDescent="0.2">
      <c r="B658" s="2"/>
      <c r="C658" s="26"/>
      <c r="D658" s="27"/>
      <c r="E658" s="27"/>
      <c r="F658" s="27"/>
      <c r="G658" s="27"/>
      <c r="H658" s="243"/>
      <c r="I658" s="27"/>
      <c r="J658" s="27"/>
      <c r="K658" s="27"/>
      <c r="L658" s="27"/>
      <c r="M658" s="27"/>
    </row>
    <row r="659" spans="2:13" ht="15.75" customHeight="1" x14ac:dyDescent="0.2">
      <c r="B659" s="2"/>
      <c r="C659" s="26"/>
      <c r="D659" s="27"/>
      <c r="E659" s="27"/>
      <c r="F659" s="27"/>
      <c r="G659" s="27"/>
      <c r="H659" s="243"/>
      <c r="I659" s="27"/>
      <c r="J659" s="27"/>
      <c r="K659" s="27"/>
      <c r="L659" s="27"/>
      <c r="M659" s="27"/>
    </row>
    <row r="660" spans="2:13" ht="15.75" customHeight="1" x14ac:dyDescent="0.2">
      <c r="B660" s="2"/>
      <c r="C660" s="26"/>
      <c r="D660" s="27"/>
      <c r="E660" s="27"/>
      <c r="F660" s="27"/>
      <c r="G660" s="27"/>
      <c r="H660" s="243"/>
      <c r="I660" s="27"/>
      <c r="J660" s="27"/>
      <c r="K660" s="27"/>
      <c r="L660" s="27"/>
      <c r="M660" s="27"/>
    </row>
    <row r="661" spans="2:13" ht="15.75" customHeight="1" x14ac:dyDescent="0.2">
      <c r="B661" s="2"/>
      <c r="C661" s="26"/>
      <c r="D661" s="27"/>
      <c r="E661" s="27"/>
      <c r="F661" s="27"/>
      <c r="G661" s="27"/>
      <c r="H661" s="243"/>
      <c r="I661" s="27"/>
      <c r="J661" s="27"/>
      <c r="K661" s="27"/>
      <c r="L661" s="27"/>
      <c r="M661" s="27"/>
    </row>
    <row r="662" spans="2:13" ht="15.75" customHeight="1" x14ac:dyDescent="0.2">
      <c r="B662" s="2"/>
      <c r="C662" s="26"/>
      <c r="D662" s="27"/>
      <c r="E662" s="27"/>
      <c r="F662" s="27"/>
      <c r="G662" s="27"/>
      <c r="H662" s="243"/>
      <c r="I662" s="27"/>
      <c r="J662" s="27"/>
      <c r="K662" s="27"/>
      <c r="L662" s="27"/>
      <c r="M662" s="27"/>
    </row>
    <row r="663" spans="2:13" ht="15.75" customHeight="1" x14ac:dyDescent="0.2">
      <c r="B663" s="2"/>
      <c r="C663" s="26"/>
      <c r="D663" s="27"/>
      <c r="E663" s="27"/>
      <c r="F663" s="27"/>
      <c r="G663" s="27"/>
      <c r="H663" s="243"/>
      <c r="I663" s="27"/>
      <c r="J663" s="27"/>
      <c r="K663" s="27"/>
      <c r="L663" s="27"/>
      <c r="M663" s="27"/>
    </row>
    <row r="664" spans="2:13" ht="15.75" customHeight="1" x14ac:dyDescent="0.2">
      <c r="B664" s="2"/>
      <c r="C664" s="26"/>
      <c r="D664" s="27"/>
      <c r="E664" s="27"/>
      <c r="F664" s="27"/>
      <c r="G664" s="27"/>
      <c r="H664" s="243"/>
      <c r="I664" s="27"/>
      <c r="J664" s="27"/>
      <c r="K664" s="27"/>
      <c r="L664" s="27"/>
      <c r="M664" s="27"/>
    </row>
    <row r="665" spans="2:13" ht="15.75" customHeight="1" x14ac:dyDescent="0.2">
      <c r="B665" s="2"/>
      <c r="C665" s="26"/>
      <c r="D665" s="27"/>
      <c r="E665" s="27"/>
      <c r="F665" s="27"/>
      <c r="G665" s="27"/>
      <c r="H665" s="243"/>
      <c r="I665" s="27"/>
      <c r="J665" s="27"/>
      <c r="K665" s="27"/>
      <c r="L665" s="27"/>
      <c r="M665" s="27"/>
    </row>
    <row r="666" spans="2:13" ht="15.75" customHeight="1" x14ac:dyDescent="0.2">
      <c r="B666" s="2"/>
      <c r="C666" s="26"/>
      <c r="D666" s="27"/>
      <c r="E666" s="27"/>
      <c r="F666" s="27"/>
      <c r="G666" s="27"/>
      <c r="H666" s="243"/>
      <c r="I666" s="27"/>
      <c r="J666" s="27"/>
      <c r="K666" s="27"/>
      <c r="L666" s="27"/>
      <c r="M666" s="27"/>
    </row>
    <row r="667" spans="2:13" ht="15.75" customHeight="1" x14ac:dyDescent="0.2">
      <c r="B667" s="2"/>
      <c r="C667" s="26"/>
      <c r="D667" s="27"/>
      <c r="E667" s="27"/>
      <c r="F667" s="27"/>
      <c r="G667" s="27"/>
      <c r="H667" s="243"/>
      <c r="I667" s="27"/>
      <c r="J667" s="27"/>
      <c r="K667" s="27"/>
      <c r="L667" s="27"/>
      <c r="M667" s="27"/>
    </row>
    <row r="668" spans="2:13" ht="15.75" customHeight="1" x14ac:dyDescent="0.2">
      <c r="B668" s="2"/>
      <c r="C668" s="26"/>
      <c r="D668" s="27"/>
      <c r="E668" s="27"/>
      <c r="F668" s="27"/>
      <c r="G668" s="27"/>
      <c r="H668" s="243"/>
      <c r="I668" s="27"/>
      <c r="J668" s="27"/>
      <c r="K668" s="27"/>
      <c r="L668" s="27"/>
      <c r="M668" s="27"/>
    </row>
    <row r="669" spans="2:13" ht="15.75" customHeight="1" x14ac:dyDescent="0.2">
      <c r="B669" s="2"/>
      <c r="C669" s="26"/>
      <c r="D669" s="27"/>
      <c r="E669" s="27"/>
      <c r="F669" s="27"/>
      <c r="G669" s="27"/>
      <c r="H669" s="243"/>
      <c r="I669" s="27"/>
      <c r="J669" s="27"/>
      <c r="K669" s="27"/>
      <c r="L669" s="27"/>
      <c r="M669" s="27"/>
    </row>
    <row r="670" spans="2:13" ht="15.75" customHeight="1" x14ac:dyDescent="0.2">
      <c r="B670" s="2"/>
      <c r="C670" s="26"/>
      <c r="D670" s="27"/>
      <c r="E670" s="27"/>
      <c r="F670" s="27"/>
      <c r="G670" s="27"/>
      <c r="H670" s="243"/>
      <c r="I670" s="27"/>
      <c r="J670" s="27"/>
      <c r="K670" s="27"/>
      <c r="L670" s="27"/>
      <c r="M670" s="27"/>
    </row>
    <row r="671" spans="2:13" ht="15.75" customHeight="1" x14ac:dyDescent="0.2">
      <c r="B671" s="2"/>
      <c r="C671" s="26"/>
      <c r="D671" s="27"/>
      <c r="E671" s="27"/>
      <c r="F671" s="27"/>
      <c r="G671" s="27"/>
      <c r="H671" s="243"/>
      <c r="I671" s="27"/>
      <c r="J671" s="27"/>
      <c r="K671" s="27"/>
      <c r="L671" s="27"/>
      <c r="M671" s="27"/>
    </row>
    <row r="672" spans="2:13" ht="15.75" customHeight="1" x14ac:dyDescent="0.2">
      <c r="B672" s="2"/>
      <c r="C672" s="26"/>
      <c r="D672" s="27"/>
      <c r="E672" s="27"/>
      <c r="F672" s="27"/>
      <c r="G672" s="27"/>
      <c r="H672" s="243"/>
      <c r="I672" s="27"/>
      <c r="J672" s="27"/>
      <c r="K672" s="27"/>
      <c r="L672" s="27"/>
      <c r="M672" s="27"/>
    </row>
    <row r="673" spans="2:13" ht="15.75" customHeight="1" x14ac:dyDescent="0.2">
      <c r="B673" s="2"/>
      <c r="C673" s="26"/>
      <c r="D673" s="27"/>
      <c r="E673" s="27"/>
      <c r="F673" s="27"/>
      <c r="G673" s="27"/>
      <c r="H673" s="243"/>
      <c r="I673" s="27"/>
      <c r="J673" s="27"/>
      <c r="K673" s="27"/>
      <c r="L673" s="27"/>
      <c r="M673" s="27"/>
    </row>
    <row r="674" spans="2:13" ht="15.75" customHeight="1" x14ac:dyDescent="0.2">
      <c r="B674" s="2"/>
      <c r="C674" s="26"/>
      <c r="D674" s="27"/>
      <c r="E674" s="27"/>
      <c r="F674" s="27"/>
      <c r="G674" s="27"/>
      <c r="H674" s="243"/>
      <c r="I674" s="27"/>
      <c r="J674" s="27"/>
      <c r="K674" s="27"/>
      <c r="L674" s="27"/>
      <c r="M674" s="27"/>
    </row>
    <row r="675" spans="2:13" ht="15.75" customHeight="1" x14ac:dyDescent="0.2">
      <c r="B675" s="2"/>
      <c r="C675" s="26"/>
      <c r="D675" s="27"/>
      <c r="E675" s="27"/>
      <c r="F675" s="27"/>
      <c r="G675" s="27"/>
      <c r="H675" s="243"/>
      <c r="I675" s="27"/>
      <c r="J675" s="27"/>
      <c r="K675" s="27"/>
      <c r="L675" s="27"/>
      <c r="M675" s="27"/>
    </row>
    <row r="676" spans="2:13" ht="15.75" customHeight="1" x14ac:dyDescent="0.2">
      <c r="B676" s="2"/>
      <c r="C676" s="26"/>
      <c r="D676" s="27"/>
      <c r="E676" s="27"/>
      <c r="F676" s="27"/>
      <c r="G676" s="27"/>
      <c r="H676" s="243"/>
      <c r="I676" s="27"/>
      <c r="J676" s="27"/>
      <c r="K676" s="27"/>
      <c r="L676" s="27"/>
      <c r="M676" s="27"/>
    </row>
    <row r="677" spans="2:13" ht="15.75" customHeight="1" x14ac:dyDescent="0.2">
      <c r="B677" s="2"/>
      <c r="C677" s="26"/>
      <c r="D677" s="27"/>
      <c r="E677" s="27"/>
      <c r="F677" s="27"/>
      <c r="G677" s="27"/>
      <c r="H677" s="243"/>
      <c r="I677" s="27"/>
      <c r="J677" s="27"/>
      <c r="K677" s="27"/>
      <c r="L677" s="27"/>
      <c r="M677" s="27"/>
    </row>
    <row r="678" spans="2:13" ht="15.75" customHeight="1" x14ac:dyDescent="0.2">
      <c r="B678" s="2"/>
      <c r="C678" s="26"/>
      <c r="D678" s="27"/>
      <c r="E678" s="27"/>
      <c r="F678" s="27"/>
      <c r="G678" s="27"/>
      <c r="H678" s="243"/>
      <c r="I678" s="27"/>
      <c r="J678" s="27"/>
      <c r="K678" s="27"/>
      <c r="L678" s="27"/>
      <c r="M678" s="27"/>
    </row>
    <row r="679" spans="2:13" ht="15.75" customHeight="1" x14ac:dyDescent="0.2">
      <c r="B679" s="2"/>
      <c r="C679" s="26"/>
      <c r="D679" s="27"/>
      <c r="E679" s="27"/>
      <c r="F679" s="27"/>
      <c r="G679" s="27"/>
      <c r="H679" s="243"/>
      <c r="I679" s="27"/>
      <c r="J679" s="27"/>
      <c r="K679" s="27"/>
      <c r="L679" s="27"/>
      <c r="M679" s="27"/>
    </row>
    <row r="680" spans="2:13" ht="15.75" customHeight="1" x14ac:dyDescent="0.2">
      <c r="B680" s="2"/>
      <c r="C680" s="26"/>
      <c r="D680" s="27"/>
      <c r="E680" s="27"/>
      <c r="F680" s="27"/>
      <c r="G680" s="27"/>
      <c r="H680" s="243"/>
      <c r="I680" s="27"/>
      <c r="J680" s="27"/>
      <c r="K680" s="27"/>
      <c r="L680" s="27"/>
      <c r="M680" s="27"/>
    </row>
    <row r="681" spans="2:13" ht="15.75" customHeight="1" x14ac:dyDescent="0.2">
      <c r="B681" s="2"/>
      <c r="C681" s="26"/>
      <c r="D681" s="27"/>
      <c r="E681" s="27"/>
      <c r="F681" s="27"/>
      <c r="G681" s="27"/>
      <c r="H681" s="243"/>
      <c r="I681" s="27"/>
      <c r="J681" s="27"/>
      <c r="K681" s="27"/>
      <c r="L681" s="27"/>
      <c r="M681" s="27"/>
    </row>
    <row r="682" spans="2:13" ht="15.75" customHeight="1" x14ac:dyDescent="0.2">
      <c r="B682" s="2"/>
      <c r="C682" s="26"/>
      <c r="D682" s="27"/>
      <c r="E682" s="27"/>
      <c r="F682" s="27"/>
      <c r="G682" s="27"/>
      <c r="H682" s="243"/>
      <c r="I682" s="27"/>
      <c r="J682" s="27"/>
      <c r="K682" s="27"/>
      <c r="L682" s="27"/>
      <c r="M682" s="27"/>
    </row>
    <row r="683" spans="2:13" ht="15.75" customHeight="1" x14ac:dyDescent="0.2">
      <c r="B683" s="2"/>
      <c r="C683" s="26"/>
      <c r="D683" s="27"/>
      <c r="E683" s="27"/>
      <c r="F683" s="27"/>
      <c r="G683" s="27"/>
      <c r="H683" s="243"/>
      <c r="I683" s="27"/>
      <c r="J683" s="27"/>
      <c r="K683" s="27"/>
      <c r="L683" s="27"/>
      <c r="M683" s="27"/>
    </row>
    <row r="684" spans="2:13" ht="15.75" customHeight="1" x14ac:dyDescent="0.2">
      <c r="B684" s="2"/>
      <c r="C684" s="26"/>
      <c r="D684" s="27"/>
      <c r="E684" s="27"/>
      <c r="F684" s="27"/>
      <c r="G684" s="27"/>
      <c r="H684" s="243"/>
      <c r="I684" s="27"/>
      <c r="J684" s="27"/>
      <c r="K684" s="27"/>
      <c r="L684" s="27"/>
      <c r="M684" s="27"/>
    </row>
    <row r="685" spans="2:13" ht="15.75" customHeight="1" x14ac:dyDescent="0.2">
      <c r="B685" s="2"/>
      <c r="C685" s="26"/>
      <c r="D685" s="27"/>
      <c r="E685" s="27"/>
      <c r="F685" s="27"/>
      <c r="G685" s="27"/>
      <c r="H685" s="243"/>
      <c r="I685" s="27"/>
      <c r="J685" s="27"/>
      <c r="K685" s="27"/>
      <c r="L685" s="27"/>
      <c r="M685" s="27"/>
    </row>
    <row r="686" spans="2:13" ht="15.75" customHeight="1" x14ac:dyDescent="0.2">
      <c r="B686" s="2"/>
      <c r="C686" s="26"/>
      <c r="D686" s="27"/>
      <c r="E686" s="27"/>
      <c r="F686" s="27"/>
      <c r="G686" s="27"/>
      <c r="H686" s="243"/>
      <c r="I686" s="27"/>
      <c r="J686" s="27"/>
      <c r="K686" s="27"/>
      <c r="L686" s="27"/>
      <c r="M686" s="27"/>
    </row>
    <row r="687" spans="2:13" ht="15.75" customHeight="1" x14ac:dyDescent="0.2">
      <c r="B687" s="2"/>
      <c r="C687" s="26"/>
      <c r="D687" s="27"/>
      <c r="E687" s="27"/>
      <c r="F687" s="27"/>
      <c r="G687" s="27"/>
      <c r="H687" s="243"/>
      <c r="I687" s="27"/>
      <c r="J687" s="27"/>
      <c r="K687" s="27"/>
      <c r="L687" s="27"/>
      <c r="M687" s="27"/>
    </row>
    <row r="688" spans="2:13" ht="15.75" customHeight="1" x14ac:dyDescent="0.2">
      <c r="B688" s="2"/>
      <c r="C688" s="26"/>
      <c r="D688" s="27"/>
      <c r="E688" s="27"/>
      <c r="F688" s="27"/>
      <c r="G688" s="27"/>
      <c r="H688" s="243"/>
      <c r="I688" s="27"/>
      <c r="J688" s="27"/>
      <c r="K688" s="27"/>
      <c r="L688" s="27"/>
      <c r="M688" s="27"/>
    </row>
    <row r="689" spans="2:13" ht="15.75" customHeight="1" x14ac:dyDescent="0.2">
      <c r="B689" s="2"/>
      <c r="C689" s="26"/>
      <c r="D689" s="27"/>
      <c r="E689" s="27"/>
      <c r="F689" s="27"/>
      <c r="G689" s="27"/>
      <c r="H689" s="243"/>
      <c r="I689" s="27"/>
      <c r="J689" s="27"/>
      <c r="K689" s="27"/>
      <c r="L689" s="27"/>
      <c r="M689" s="27"/>
    </row>
    <row r="690" spans="2:13" ht="15.75" customHeight="1" x14ac:dyDescent="0.2">
      <c r="B690" s="2"/>
      <c r="C690" s="26"/>
      <c r="D690" s="27"/>
      <c r="E690" s="27"/>
      <c r="F690" s="27"/>
      <c r="G690" s="27"/>
      <c r="H690" s="243"/>
      <c r="I690" s="27"/>
      <c r="J690" s="27"/>
      <c r="K690" s="27"/>
      <c r="L690" s="27"/>
      <c r="M690" s="27"/>
    </row>
    <row r="691" spans="2:13" ht="15.75" customHeight="1" x14ac:dyDescent="0.2">
      <c r="B691" s="2"/>
      <c r="C691" s="26"/>
      <c r="D691" s="27"/>
      <c r="E691" s="27"/>
      <c r="F691" s="27"/>
      <c r="G691" s="27"/>
      <c r="H691" s="243"/>
      <c r="I691" s="27"/>
      <c r="J691" s="27"/>
      <c r="K691" s="27"/>
      <c r="L691" s="27"/>
      <c r="M691" s="27"/>
    </row>
    <row r="692" spans="2:13" ht="15.75" customHeight="1" x14ac:dyDescent="0.2">
      <c r="B692" s="2"/>
      <c r="C692" s="26"/>
      <c r="D692" s="27"/>
      <c r="E692" s="27"/>
      <c r="F692" s="27"/>
      <c r="G692" s="27"/>
      <c r="H692" s="243"/>
      <c r="I692" s="27"/>
      <c r="J692" s="27"/>
      <c r="K692" s="27"/>
      <c r="L692" s="27"/>
      <c r="M692" s="27"/>
    </row>
    <row r="693" spans="2:13" ht="15.75" customHeight="1" x14ac:dyDescent="0.2">
      <c r="B693" s="2"/>
      <c r="C693" s="26"/>
      <c r="D693" s="27"/>
      <c r="E693" s="27"/>
      <c r="F693" s="27"/>
      <c r="G693" s="27"/>
      <c r="H693" s="243"/>
      <c r="I693" s="27"/>
      <c r="J693" s="27"/>
      <c r="K693" s="27"/>
      <c r="L693" s="27"/>
      <c r="M693" s="27"/>
    </row>
    <row r="694" spans="2:13" ht="15.75" customHeight="1" x14ac:dyDescent="0.2">
      <c r="B694" s="2"/>
      <c r="C694" s="26"/>
      <c r="D694" s="27"/>
      <c r="E694" s="27"/>
      <c r="F694" s="27"/>
      <c r="G694" s="27"/>
      <c r="H694" s="243"/>
      <c r="I694" s="27"/>
      <c r="J694" s="27"/>
      <c r="K694" s="27"/>
      <c r="L694" s="27"/>
      <c r="M694" s="27"/>
    </row>
    <row r="695" spans="2:13" ht="15.75" customHeight="1" x14ac:dyDescent="0.2">
      <c r="B695" s="2"/>
      <c r="C695" s="26"/>
      <c r="D695" s="27"/>
      <c r="E695" s="27"/>
      <c r="F695" s="27"/>
      <c r="G695" s="27"/>
      <c r="H695" s="243"/>
      <c r="I695" s="27"/>
      <c r="J695" s="27"/>
      <c r="K695" s="27"/>
      <c r="L695" s="27"/>
      <c r="M695" s="27"/>
    </row>
    <row r="696" spans="2:13" ht="15.75" customHeight="1" x14ac:dyDescent="0.2">
      <c r="B696" s="2"/>
      <c r="C696" s="26"/>
      <c r="D696" s="27"/>
      <c r="E696" s="27"/>
      <c r="F696" s="27"/>
      <c r="G696" s="27"/>
      <c r="H696" s="243"/>
      <c r="I696" s="27"/>
      <c r="J696" s="27"/>
      <c r="K696" s="27"/>
      <c r="L696" s="27"/>
      <c r="M696" s="27"/>
    </row>
    <row r="697" spans="2:13" ht="15.75" customHeight="1" x14ac:dyDescent="0.2">
      <c r="B697" s="2"/>
      <c r="C697" s="26"/>
      <c r="D697" s="27"/>
      <c r="E697" s="27"/>
      <c r="F697" s="27"/>
      <c r="G697" s="27"/>
      <c r="H697" s="243"/>
      <c r="I697" s="27"/>
      <c r="J697" s="27"/>
      <c r="K697" s="27"/>
      <c r="L697" s="27"/>
      <c r="M697" s="27"/>
    </row>
    <row r="698" spans="2:13" ht="15.75" customHeight="1" x14ac:dyDescent="0.2">
      <c r="B698" s="2"/>
      <c r="C698" s="26"/>
      <c r="D698" s="27"/>
      <c r="E698" s="27"/>
      <c r="F698" s="27"/>
      <c r="G698" s="27"/>
      <c r="H698" s="243"/>
      <c r="I698" s="27"/>
      <c r="J698" s="27"/>
      <c r="K698" s="27"/>
      <c r="L698" s="27"/>
      <c r="M698" s="27"/>
    </row>
    <row r="699" spans="2:13" ht="15.75" customHeight="1" x14ac:dyDescent="0.2">
      <c r="B699" s="2"/>
      <c r="C699" s="26"/>
      <c r="D699" s="27"/>
      <c r="E699" s="27"/>
      <c r="F699" s="27"/>
      <c r="G699" s="27"/>
      <c r="H699" s="243"/>
      <c r="I699" s="27"/>
      <c r="J699" s="27"/>
      <c r="K699" s="27"/>
      <c r="L699" s="27"/>
      <c r="M699" s="27"/>
    </row>
    <row r="700" spans="2:13" ht="15.75" customHeight="1" x14ac:dyDescent="0.2">
      <c r="B700" s="2"/>
      <c r="C700" s="26"/>
      <c r="D700" s="27"/>
      <c r="E700" s="27"/>
      <c r="F700" s="27"/>
      <c r="G700" s="27"/>
      <c r="H700" s="243"/>
      <c r="I700" s="27"/>
      <c r="J700" s="27"/>
      <c r="K700" s="27"/>
      <c r="L700" s="27"/>
      <c r="M700" s="27"/>
    </row>
    <row r="701" spans="2:13" ht="15.75" customHeight="1" x14ac:dyDescent="0.2">
      <c r="B701" s="2"/>
      <c r="C701" s="26"/>
      <c r="D701" s="27"/>
      <c r="E701" s="27"/>
      <c r="F701" s="27"/>
      <c r="G701" s="27"/>
      <c r="H701" s="243"/>
      <c r="I701" s="27"/>
      <c r="J701" s="27"/>
      <c r="K701" s="27"/>
      <c r="L701" s="27"/>
      <c r="M701" s="27"/>
    </row>
    <row r="702" spans="2:13" ht="15.75" customHeight="1" x14ac:dyDescent="0.2">
      <c r="B702" s="2"/>
      <c r="C702" s="26"/>
      <c r="D702" s="27"/>
      <c r="E702" s="27"/>
      <c r="F702" s="27"/>
      <c r="G702" s="27"/>
      <c r="H702" s="243"/>
      <c r="I702" s="27"/>
      <c r="J702" s="27"/>
      <c r="K702" s="27"/>
      <c r="L702" s="27"/>
      <c r="M702" s="27"/>
    </row>
    <row r="703" spans="2:13" ht="15.75" customHeight="1" x14ac:dyDescent="0.2">
      <c r="B703" s="2"/>
      <c r="C703" s="26"/>
      <c r="D703" s="27"/>
      <c r="E703" s="27"/>
      <c r="F703" s="27"/>
      <c r="G703" s="27"/>
      <c r="H703" s="243"/>
      <c r="I703" s="27"/>
      <c r="J703" s="27"/>
      <c r="K703" s="27"/>
      <c r="L703" s="27"/>
      <c r="M703" s="27"/>
    </row>
    <row r="704" spans="2:13" ht="15.75" customHeight="1" x14ac:dyDescent="0.2">
      <c r="B704" s="2"/>
      <c r="C704" s="26"/>
      <c r="D704" s="27"/>
      <c r="E704" s="27"/>
      <c r="F704" s="27"/>
      <c r="G704" s="27"/>
      <c r="H704" s="243"/>
      <c r="I704" s="27"/>
      <c r="J704" s="27"/>
      <c r="K704" s="27"/>
      <c r="L704" s="27"/>
      <c r="M704" s="27"/>
    </row>
    <row r="705" spans="2:13" ht="15.75" customHeight="1" x14ac:dyDescent="0.2">
      <c r="B705" s="2"/>
      <c r="C705" s="26"/>
      <c r="D705" s="27"/>
      <c r="E705" s="27"/>
      <c r="F705" s="27"/>
      <c r="G705" s="27"/>
      <c r="H705" s="243"/>
      <c r="I705" s="27"/>
      <c r="J705" s="27"/>
      <c r="K705" s="27"/>
      <c r="L705" s="27"/>
      <c r="M705" s="27"/>
    </row>
    <row r="706" spans="2:13" ht="15.75" customHeight="1" x14ac:dyDescent="0.2">
      <c r="B706" s="2"/>
      <c r="C706" s="26"/>
      <c r="D706" s="27"/>
      <c r="E706" s="27"/>
      <c r="F706" s="27"/>
      <c r="G706" s="27"/>
      <c r="H706" s="243"/>
      <c r="I706" s="27"/>
      <c r="J706" s="27"/>
      <c r="K706" s="27"/>
      <c r="L706" s="27"/>
      <c r="M706" s="27"/>
    </row>
    <row r="707" spans="2:13" ht="15.75" customHeight="1" x14ac:dyDescent="0.2">
      <c r="B707" s="2"/>
      <c r="C707" s="26"/>
      <c r="D707" s="27"/>
      <c r="E707" s="27"/>
      <c r="F707" s="27"/>
      <c r="G707" s="27"/>
      <c r="H707" s="243"/>
      <c r="I707" s="27"/>
      <c r="J707" s="27"/>
      <c r="K707" s="27"/>
      <c r="L707" s="27"/>
      <c r="M707" s="27"/>
    </row>
    <row r="708" spans="2:13" ht="15.75" customHeight="1" x14ac:dyDescent="0.2"/>
    <row r="709" spans="2:13" ht="15.75" customHeight="1" x14ac:dyDescent="0.2"/>
    <row r="710" spans="2:13" ht="15.75" customHeight="1" x14ac:dyDescent="0.2"/>
    <row r="711" spans="2:13" ht="15.75" customHeight="1" x14ac:dyDescent="0.2"/>
    <row r="712" spans="2:13" ht="15.75" customHeight="1" x14ac:dyDescent="0.2"/>
    <row r="713" spans="2:13" ht="15.75" customHeight="1" x14ac:dyDescent="0.2"/>
    <row r="714" spans="2:13" ht="15.75" customHeight="1" x14ac:dyDescent="0.2"/>
    <row r="715" spans="2:13" ht="15.75" customHeight="1" x14ac:dyDescent="0.2"/>
    <row r="716" spans="2:13" ht="15.75" customHeight="1" x14ac:dyDescent="0.2"/>
    <row r="717" spans="2:13" ht="15.75" customHeight="1" x14ac:dyDescent="0.2"/>
    <row r="718" spans="2:13" s="2" customFormat="1" ht="15.75" customHeight="1" x14ac:dyDescent="0.2">
      <c r="B718"/>
      <c r="C718" s="9"/>
      <c r="D718" s="35"/>
      <c r="E718" s="35"/>
      <c r="F718" s="35"/>
      <c r="G718" s="35"/>
      <c r="H718" s="159"/>
      <c r="I718" s="35"/>
      <c r="J718" s="35"/>
      <c r="K718" s="35"/>
      <c r="L718" s="35"/>
      <c r="M718" s="35"/>
    </row>
    <row r="719" spans="2:13" s="2" customFormat="1" ht="15.75" customHeight="1" x14ac:dyDescent="0.2">
      <c r="B719"/>
      <c r="C719" s="9"/>
      <c r="D719" s="35"/>
      <c r="E719" s="35"/>
      <c r="F719" s="35"/>
      <c r="G719" s="35"/>
      <c r="H719" s="159"/>
      <c r="I719" s="35"/>
      <c r="J719" s="35"/>
      <c r="K719" s="35"/>
      <c r="L719" s="35"/>
      <c r="M719" s="35"/>
    </row>
    <row r="720" spans="2:13" s="2" customFormat="1" ht="15.75" customHeight="1" x14ac:dyDescent="0.2">
      <c r="B720"/>
      <c r="C720" s="9"/>
      <c r="D720" s="35"/>
      <c r="E720" s="35"/>
      <c r="F720" s="35"/>
      <c r="G720" s="35"/>
      <c r="H720" s="159"/>
      <c r="I720" s="35"/>
      <c r="J720" s="35"/>
      <c r="K720" s="35"/>
      <c r="L720" s="35"/>
      <c r="M720" s="35"/>
    </row>
    <row r="721" spans="2:13" s="2" customFormat="1" ht="15.75" customHeight="1" x14ac:dyDescent="0.2">
      <c r="B721"/>
      <c r="C721" s="9"/>
      <c r="D721" s="35"/>
      <c r="E721" s="35"/>
      <c r="F721" s="35"/>
      <c r="G721" s="35"/>
      <c r="H721" s="159"/>
      <c r="I721" s="35"/>
      <c r="J721" s="35"/>
      <c r="K721" s="35"/>
      <c r="L721" s="35"/>
      <c r="M721" s="35"/>
    </row>
    <row r="722" spans="2:13" s="2" customFormat="1" ht="15.75" customHeight="1" x14ac:dyDescent="0.2">
      <c r="B722"/>
      <c r="C722" s="9"/>
      <c r="D722" s="35"/>
      <c r="E722" s="35"/>
      <c r="F722" s="35"/>
      <c r="G722" s="35"/>
      <c r="H722" s="159"/>
      <c r="I722" s="35"/>
      <c r="J722" s="35"/>
      <c r="K722" s="35"/>
      <c r="L722" s="35"/>
      <c r="M722" s="35"/>
    </row>
    <row r="723" spans="2:13" s="2" customFormat="1" ht="15.75" customHeight="1" x14ac:dyDescent="0.2">
      <c r="B723"/>
      <c r="C723" s="9"/>
      <c r="D723" s="35"/>
      <c r="E723" s="35"/>
      <c r="F723" s="35"/>
      <c r="G723" s="35"/>
      <c r="H723" s="159"/>
      <c r="I723" s="35"/>
      <c r="J723" s="35"/>
      <c r="K723" s="35"/>
      <c r="L723" s="35"/>
      <c r="M723" s="35"/>
    </row>
    <row r="724" spans="2:13" s="2" customFormat="1" ht="15.75" customHeight="1" x14ac:dyDescent="0.2">
      <c r="B724"/>
      <c r="C724" s="9"/>
      <c r="D724" s="35"/>
      <c r="E724" s="35"/>
      <c r="F724" s="35"/>
      <c r="G724" s="35"/>
      <c r="H724" s="159"/>
      <c r="I724" s="35"/>
      <c r="J724" s="35"/>
      <c r="K724" s="35"/>
      <c r="L724" s="35"/>
      <c r="M724" s="35"/>
    </row>
    <row r="725" spans="2:13" s="2" customFormat="1" ht="15.75" customHeight="1" x14ac:dyDescent="0.2">
      <c r="B725"/>
      <c r="C725" s="9"/>
      <c r="D725" s="35"/>
      <c r="E725" s="35"/>
      <c r="F725" s="35"/>
      <c r="G725" s="35"/>
      <c r="H725" s="159"/>
      <c r="I725" s="35"/>
      <c r="J725" s="35"/>
      <c r="K725" s="35"/>
      <c r="L725" s="35"/>
      <c r="M725" s="35"/>
    </row>
    <row r="726" spans="2:13" s="2" customFormat="1" ht="15.75" customHeight="1" x14ac:dyDescent="0.2">
      <c r="B726"/>
      <c r="C726" s="9"/>
      <c r="D726" s="35"/>
      <c r="E726" s="35"/>
      <c r="F726" s="35"/>
      <c r="G726" s="35"/>
      <c r="H726" s="159"/>
      <c r="I726" s="35"/>
      <c r="J726" s="35"/>
      <c r="K726" s="35"/>
      <c r="L726" s="35"/>
      <c r="M726" s="35"/>
    </row>
    <row r="727" spans="2:13" s="2" customFormat="1" ht="15.75" customHeight="1" x14ac:dyDescent="0.2">
      <c r="B727"/>
      <c r="C727" s="9"/>
      <c r="D727" s="35"/>
      <c r="E727" s="35"/>
      <c r="F727" s="35"/>
      <c r="G727" s="35"/>
      <c r="H727" s="159"/>
      <c r="I727" s="35"/>
      <c r="J727" s="35"/>
      <c r="K727" s="35"/>
      <c r="L727" s="35"/>
      <c r="M727" s="35"/>
    </row>
    <row r="728" spans="2:13" s="2" customFormat="1" ht="15.75" customHeight="1" x14ac:dyDescent="0.2">
      <c r="B728"/>
      <c r="C728" s="9"/>
      <c r="D728" s="35"/>
      <c r="E728" s="35"/>
      <c r="F728" s="35"/>
      <c r="G728" s="35"/>
      <c r="H728" s="159"/>
      <c r="I728" s="35"/>
      <c r="J728" s="35"/>
      <c r="K728" s="35"/>
      <c r="L728" s="35"/>
      <c r="M728" s="35"/>
    </row>
    <row r="729" spans="2:13" s="2" customFormat="1" ht="15.75" customHeight="1" x14ac:dyDescent="0.2">
      <c r="B729"/>
      <c r="C729" s="9"/>
      <c r="D729" s="35"/>
      <c r="E729" s="35"/>
      <c r="F729" s="35"/>
      <c r="G729" s="35"/>
      <c r="H729" s="159"/>
      <c r="I729" s="35"/>
      <c r="J729" s="35"/>
      <c r="K729" s="35"/>
      <c r="L729" s="35"/>
      <c r="M729" s="35"/>
    </row>
    <row r="730" spans="2:13" s="2" customFormat="1" ht="15.75" customHeight="1" x14ac:dyDescent="0.2">
      <c r="B730"/>
      <c r="C730" s="9"/>
      <c r="D730" s="35"/>
      <c r="E730" s="35"/>
      <c r="F730" s="35"/>
      <c r="G730" s="35"/>
      <c r="H730" s="159"/>
      <c r="I730" s="35"/>
      <c r="J730" s="35"/>
      <c r="K730" s="35"/>
      <c r="L730" s="35"/>
      <c r="M730" s="35"/>
    </row>
    <row r="731" spans="2:13" s="2" customFormat="1" ht="15.75" customHeight="1" x14ac:dyDescent="0.2">
      <c r="B731"/>
      <c r="C731" s="9"/>
      <c r="D731" s="35"/>
      <c r="E731" s="35"/>
      <c r="F731" s="35"/>
      <c r="G731" s="35"/>
      <c r="H731" s="159"/>
      <c r="I731" s="35"/>
      <c r="J731" s="35"/>
      <c r="K731" s="35"/>
      <c r="L731" s="35"/>
      <c r="M731" s="35"/>
    </row>
    <row r="732" spans="2:13" s="2" customFormat="1" ht="15.75" customHeight="1" x14ac:dyDescent="0.2">
      <c r="B732"/>
      <c r="C732" s="9"/>
      <c r="D732" s="35"/>
      <c r="E732" s="35"/>
      <c r="F732" s="35"/>
      <c r="G732" s="35"/>
      <c r="H732" s="159"/>
      <c r="I732" s="35"/>
      <c r="J732" s="35"/>
      <c r="K732" s="35"/>
      <c r="L732" s="35"/>
      <c r="M732" s="35"/>
    </row>
    <row r="733" spans="2:13" s="2" customFormat="1" ht="15.75" customHeight="1" x14ac:dyDescent="0.2">
      <c r="B733"/>
      <c r="C733" s="9"/>
      <c r="D733" s="35"/>
      <c r="E733" s="35"/>
      <c r="F733" s="35"/>
      <c r="G733" s="35"/>
      <c r="H733" s="159"/>
      <c r="I733" s="35"/>
      <c r="J733" s="35"/>
      <c r="K733" s="35"/>
      <c r="L733" s="35"/>
      <c r="M733" s="35"/>
    </row>
    <row r="734" spans="2:13" s="2" customFormat="1" ht="15.75" customHeight="1" x14ac:dyDescent="0.2">
      <c r="B734"/>
      <c r="C734" s="9"/>
      <c r="D734" s="35"/>
      <c r="E734" s="35"/>
      <c r="F734" s="35"/>
      <c r="G734" s="35"/>
      <c r="H734" s="159"/>
      <c r="I734" s="35"/>
      <c r="J734" s="35"/>
      <c r="K734" s="35"/>
      <c r="L734" s="35"/>
      <c r="M734" s="35"/>
    </row>
    <row r="735" spans="2:13" s="2" customFormat="1" ht="15.75" customHeight="1" x14ac:dyDescent="0.2">
      <c r="B735"/>
      <c r="C735" s="9"/>
      <c r="D735" s="35"/>
      <c r="E735" s="35"/>
      <c r="F735" s="35"/>
      <c r="G735" s="35"/>
      <c r="H735" s="159"/>
      <c r="I735" s="35"/>
      <c r="J735" s="35"/>
      <c r="K735" s="35"/>
      <c r="L735" s="35"/>
      <c r="M735" s="35"/>
    </row>
    <row r="736" spans="2:13" s="2" customFormat="1" ht="15.75" customHeight="1" x14ac:dyDescent="0.2">
      <c r="B736"/>
      <c r="C736" s="9"/>
      <c r="D736" s="35"/>
      <c r="E736" s="35"/>
      <c r="F736" s="35"/>
      <c r="G736" s="35"/>
      <c r="H736" s="159"/>
      <c r="I736" s="35"/>
      <c r="J736" s="35"/>
      <c r="K736" s="35"/>
      <c r="L736" s="35"/>
      <c r="M736" s="35"/>
    </row>
    <row r="737" spans="2:13" s="2" customFormat="1" ht="15.75" customHeight="1" x14ac:dyDescent="0.2">
      <c r="B737"/>
      <c r="C737" s="9"/>
      <c r="D737" s="35"/>
      <c r="E737" s="35"/>
      <c r="F737" s="35"/>
      <c r="G737" s="35"/>
      <c r="H737" s="159"/>
      <c r="I737" s="35"/>
      <c r="J737" s="35"/>
      <c r="K737" s="35"/>
      <c r="L737" s="35"/>
      <c r="M737" s="35"/>
    </row>
    <row r="738" spans="2:13" s="2" customFormat="1" ht="15.75" customHeight="1" x14ac:dyDescent="0.2">
      <c r="B738"/>
      <c r="C738" s="9"/>
      <c r="D738" s="35"/>
      <c r="E738" s="35"/>
      <c r="F738" s="35"/>
      <c r="G738" s="35"/>
      <c r="H738" s="159"/>
      <c r="I738" s="35"/>
      <c r="J738" s="35"/>
      <c r="K738" s="35"/>
      <c r="L738" s="35"/>
      <c r="M738" s="35"/>
    </row>
    <row r="739" spans="2:13" s="2" customFormat="1" ht="15.75" customHeight="1" x14ac:dyDescent="0.2">
      <c r="B739"/>
      <c r="C739" s="9"/>
      <c r="D739" s="35"/>
      <c r="E739" s="35"/>
      <c r="F739" s="35"/>
      <c r="G739" s="35"/>
      <c r="H739" s="159"/>
      <c r="I739" s="35"/>
      <c r="J739" s="35"/>
      <c r="K739" s="35"/>
      <c r="L739" s="35"/>
      <c r="M739" s="35"/>
    </row>
    <row r="740" spans="2:13" s="2" customFormat="1" ht="15.75" customHeight="1" x14ac:dyDescent="0.2">
      <c r="B740"/>
      <c r="C740" s="9"/>
      <c r="D740" s="35"/>
      <c r="E740" s="35"/>
      <c r="F740" s="35"/>
      <c r="G740" s="35"/>
      <c r="H740" s="159"/>
      <c r="I740" s="35"/>
      <c r="J740" s="35"/>
      <c r="K740" s="35"/>
      <c r="L740" s="35"/>
      <c r="M740" s="35"/>
    </row>
    <row r="741" spans="2:13" s="2" customFormat="1" ht="15.75" customHeight="1" x14ac:dyDescent="0.2">
      <c r="B741"/>
      <c r="C741" s="9"/>
      <c r="D741" s="35"/>
      <c r="E741" s="35"/>
      <c r="F741" s="35"/>
      <c r="G741" s="35"/>
      <c r="H741" s="159"/>
      <c r="I741" s="35"/>
      <c r="J741" s="35"/>
      <c r="K741" s="35"/>
      <c r="L741" s="35"/>
      <c r="M741" s="35"/>
    </row>
    <row r="742" spans="2:13" s="2" customFormat="1" ht="15.75" customHeight="1" x14ac:dyDescent="0.2">
      <c r="B742"/>
      <c r="C742" s="9"/>
      <c r="D742" s="35"/>
      <c r="E742" s="35"/>
      <c r="F742" s="35"/>
      <c r="G742" s="35"/>
      <c r="H742" s="159"/>
      <c r="I742" s="35"/>
      <c r="J742" s="35"/>
      <c r="K742" s="35"/>
      <c r="L742" s="35"/>
      <c r="M742" s="35"/>
    </row>
    <row r="743" spans="2:13" s="2" customFormat="1" ht="15.75" customHeight="1" x14ac:dyDescent="0.2">
      <c r="B743"/>
      <c r="C743" s="9"/>
      <c r="D743" s="35"/>
      <c r="E743" s="35"/>
      <c r="F743" s="35"/>
      <c r="G743" s="35"/>
      <c r="H743" s="159"/>
      <c r="I743" s="35"/>
      <c r="J743" s="35"/>
      <c r="K743" s="35"/>
      <c r="L743" s="35"/>
      <c r="M743" s="35"/>
    </row>
    <row r="744" spans="2:13" s="2" customFormat="1" ht="15.75" customHeight="1" x14ac:dyDescent="0.2">
      <c r="B744"/>
      <c r="C744" s="9"/>
      <c r="D744" s="35"/>
      <c r="E744" s="35"/>
      <c r="F744" s="35"/>
      <c r="G744" s="35"/>
      <c r="H744" s="159"/>
      <c r="I744" s="35"/>
      <c r="J744" s="35"/>
      <c r="K744" s="35"/>
      <c r="L744" s="35"/>
      <c r="M744" s="35"/>
    </row>
    <row r="745" spans="2:13" s="2" customFormat="1" ht="15.75" customHeight="1" x14ac:dyDescent="0.2">
      <c r="B745"/>
      <c r="C745" s="9"/>
      <c r="D745" s="35"/>
      <c r="E745" s="35"/>
      <c r="F745" s="35"/>
      <c r="G745" s="35"/>
      <c r="H745" s="159"/>
      <c r="I745" s="35"/>
      <c r="J745" s="35"/>
      <c r="K745" s="35"/>
      <c r="L745" s="35"/>
      <c r="M745" s="35"/>
    </row>
    <row r="746" spans="2:13" s="2" customFormat="1" ht="15.75" customHeight="1" x14ac:dyDescent="0.2">
      <c r="B746"/>
      <c r="C746" s="9"/>
      <c r="D746" s="35"/>
      <c r="E746" s="35"/>
      <c r="F746" s="35"/>
      <c r="G746" s="35"/>
      <c r="H746" s="159"/>
      <c r="I746" s="35"/>
      <c r="J746" s="35"/>
      <c r="K746" s="35"/>
      <c r="L746" s="35"/>
      <c r="M746" s="35"/>
    </row>
    <row r="747" spans="2:13" s="2" customFormat="1" ht="15.75" customHeight="1" x14ac:dyDescent="0.2">
      <c r="B747"/>
      <c r="C747" s="9"/>
      <c r="D747" s="35"/>
      <c r="E747" s="35"/>
      <c r="F747" s="35"/>
      <c r="G747" s="35"/>
      <c r="H747" s="159"/>
      <c r="I747" s="35"/>
      <c r="J747" s="35"/>
      <c r="K747" s="35"/>
      <c r="L747" s="35"/>
      <c r="M747" s="35"/>
    </row>
    <row r="748" spans="2:13" s="2" customFormat="1" ht="15.75" customHeight="1" x14ac:dyDescent="0.2">
      <c r="B748"/>
      <c r="C748" s="9"/>
      <c r="D748" s="35"/>
      <c r="E748" s="35"/>
      <c r="F748" s="35"/>
      <c r="G748" s="35"/>
      <c r="H748" s="159"/>
      <c r="I748" s="35"/>
      <c r="J748" s="35"/>
      <c r="K748" s="35"/>
      <c r="L748" s="35"/>
      <c r="M748" s="35"/>
    </row>
    <row r="749" spans="2:13" s="2" customFormat="1" ht="15.75" customHeight="1" x14ac:dyDescent="0.2">
      <c r="B749"/>
      <c r="C749" s="9"/>
      <c r="D749" s="35"/>
      <c r="E749" s="35"/>
      <c r="F749" s="35"/>
      <c r="G749" s="35"/>
      <c r="H749" s="159"/>
      <c r="I749" s="35"/>
      <c r="J749" s="35"/>
      <c r="K749" s="35"/>
      <c r="L749" s="35"/>
      <c r="M749" s="35"/>
    </row>
    <row r="750" spans="2:13" s="2" customFormat="1" ht="15.75" customHeight="1" x14ac:dyDescent="0.2">
      <c r="B750"/>
      <c r="C750" s="9"/>
      <c r="D750" s="35"/>
      <c r="E750" s="35"/>
      <c r="F750" s="35"/>
      <c r="G750" s="35"/>
      <c r="H750" s="159"/>
      <c r="I750" s="35"/>
      <c r="J750" s="35"/>
      <c r="K750" s="35"/>
      <c r="L750" s="35"/>
      <c r="M750" s="35"/>
    </row>
    <row r="751" spans="2:13" s="2" customFormat="1" ht="15.75" customHeight="1" x14ac:dyDescent="0.2">
      <c r="B751"/>
      <c r="C751" s="9"/>
      <c r="D751" s="35"/>
      <c r="E751" s="35"/>
      <c r="F751" s="35"/>
      <c r="G751" s="35"/>
      <c r="H751" s="159"/>
      <c r="I751" s="35"/>
      <c r="J751" s="35"/>
      <c r="K751" s="35"/>
      <c r="L751" s="35"/>
      <c r="M751" s="35"/>
    </row>
    <row r="752" spans="2:13" s="2" customFormat="1" ht="15.75" customHeight="1" x14ac:dyDescent="0.2">
      <c r="B752"/>
      <c r="C752" s="9"/>
      <c r="D752" s="35"/>
      <c r="E752" s="35"/>
      <c r="F752" s="35"/>
      <c r="G752" s="35"/>
      <c r="H752" s="159"/>
      <c r="I752" s="35"/>
      <c r="J752" s="35"/>
      <c r="K752" s="35"/>
      <c r="L752" s="35"/>
      <c r="M752" s="35"/>
    </row>
    <row r="753" spans="2:13" s="2" customFormat="1" ht="15.75" customHeight="1" x14ac:dyDescent="0.2">
      <c r="B753"/>
      <c r="C753" s="9"/>
      <c r="D753" s="35"/>
      <c r="E753" s="35"/>
      <c r="F753" s="35"/>
      <c r="G753" s="35"/>
      <c r="H753" s="159"/>
      <c r="I753" s="35"/>
      <c r="J753" s="35"/>
      <c r="K753" s="35"/>
      <c r="L753" s="35"/>
      <c r="M753" s="35"/>
    </row>
    <row r="754" spans="2:13" s="2" customFormat="1" ht="15.75" customHeight="1" x14ac:dyDescent="0.2">
      <c r="B754"/>
      <c r="C754" s="9"/>
      <c r="D754" s="35"/>
      <c r="E754" s="35"/>
      <c r="F754" s="35"/>
      <c r="G754" s="35"/>
      <c r="H754" s="159"/>
      <c r="I754" s="35"/>
      <c r="J754" s="35"/>
      <c r="K754" s="35"/>
      <c r="L754" s="35"/>
      <c r="M754" s="35"/>
    </row>
    <row r="755" spans="2:13" s="2" customFormat="1" ht="15.75" customHeight="1" x14ac:dyDescent="0.2">
      <c r="B755"/>
      <c r="C755" s="9"/>
      <c r="D755" s="35"/>
      <c r="E755" s="35"/>
      <c r="F755" s="35"/>
      <c r="G755" s="35"/>
      <c r="H755" s="159"/>
      <c r="I755" s="35"/>
      <c r="J755" s="35"/>
      <c r="K755" s="35"/>
      <c r="L755" s="35"/>
      <c r="M755" s="35"/>
    </row>
    <row r="756" spans="2:13" s="2" customFormat="1" ht="15.75" customHeight="1" x14ac:dyDescent="0.2">
      <c r="B756"/>
      <c r="C756" s="9"/>
      <c r="D756" s="35"/>
      <c r="E756" s="35"/>
      <c r="F756" s="35"/>
      <c r="G756" s="35"/>
      <c r="H756" s="159"/>
      <c r="I756" s="35"/>
      <c r="J756" s="35"/>
      <c r="K756" s="35"/>
      <c r="L756" s="35"/>
      <c r="M756" s="35"/>
    </row>
    <row r="757" spans="2:13" s="2" customFormat="1" ht="15.75" customHeight="1" x14ac:dyDescent="0.2">
      <c r="B757"/>
      <c r="C757" s="9"/>
      <c r="D757" s="35"/>
      <c r="E757" s="35"/>
      <c r="F757" s="35"/>
      <c r="G757" s="35"/>
      <c r="H757" s="159"/>
      <c r="I757" s="35"/>
      <c r="J757" s="35"/>
      <c r="K757" s="35"/>
      <c r="L757" s="35"/>
      <c r="M757" s="35"/>
    </row>
    <row r="758" spans="2:13" s="2" customFormat="1" ht="15.75" customHeight="1" x14ac:dyDescent="0.2">
      <c r="B758"/>
      <c r="C758" s="9"/>
      <c r="D758" s="35"/>
      <c r="E758" s="35"/>
      <c r="F758" s="35"/>
      <c r="G758" s="35"/>
      <c r="H758" s="159"/>
      <c r="I758" s="35"/>
      <c r="J758" s="35"/>
      <c r="K758" s="35"/>
      <c r="L758" s="35"/>
      <c r="M758" s="35"/>
    </row>
    <row r="759" spans="2:13" s="2" customFormat="1" ht="15.75" customHeight="1" x14ac:dyDescent="0.2">
      <c r="B759"/>
      <c r="C759" s="9"/>
      <c r="D759" s="35"/>
      <c r="E759" s="35"/>
      <c r="F759" s="35"/>
      <c r="G759" s="35"/>
      <c r="H759" s="159"/>
      <c r="I759" s="35"/>
      <c r="J759" s="35"/>
      <c r="K759" s="35"/>
      <c r="L759" s="35"/>
      <c r="M759" s="35"/>
    </row>
    <row r="760" spans="2:13" s="2" customFormat="1" ht="15.75" customHeight="1" x14ac:dyDescent="0.2">
      <c r="B760"/>
      <c r="C760" s="9"/>
      <c r="D760" s="35"/>
      <c r="E760" s="35"/>
      <c r="F760" s="35"/>
      <c r="G760" s="35"/>
      <c r="H760" s="159"/>
      <c r="I760" s="35"/>
      <c r="J760" s="35"/>
      <c r="K760" s="35"/>
      <c r="L760" s="35"/>
      <c r="M760" s="35"/>
    </row>
    <row r="761" spans="2:13" s="2" customFormat="1" ht="15.75" customHeight="1" x14ac:dyDescent="0.2">
      <c r="B761"/>
      <c r="C761" s="9"/>
      <c r="D761" s="35"/>
      <c r="E761" s="35"/>
      <c r="F761" s="35"/>
      <c r="G761" s="35"/>
      <c r="H761" s="159"/>
      <c r="I761" s="35"/>
      <c r="J761" s="35"/>
      <c r="K761" s="35"/>
      <c r="L761" s="35"/>
      <c r="M761" s="35"/>
    </row>
    <row r="762" spans="2:13" s="2" customFormat="1" ht="15.75" customHeight="1" x14ac:dyDescent="0.2">
      <c r="B762"/>
      <c r="C762" s="9"/>
      <c r="D762" s="35"/>
      <c r="E762" s="35"/>
      <c r="F762" s="35"/>
      <c r="G762" s="35"/>
      <c r="H762" s="159"/>
      <c r="I762" s="35"/>
      <c r="J762" s="35"/>
      <c r="K762" s="35"/>
      <c r="L762" s="35"/>
      <c r="M762" s="35"/>
    </row>
    <row r="763" spans="2:13" s="2" customFormat="1" ht="15.75" customHeight="1" x14ac:dyDescent="0.2">
      <c r="B763"/>
      <c r="C763" s="9"/>
      <c r="D763" s="35"/>
      <c r="E763" s="35"/>
      <c r="F763" s="35"/>
      <c r="G763" s="35"/>
      <c r="H763" s="159"/>
      <c r="I763" s="35"/>
      <c r="J763" s="35"/>
      <c r="K763" s="35"/>
      <c r="L763" s="35"/>
      <c r="M763" s="35"/>
    </row>
    <row r="764" spans="2:13" s="2" customFormat="1" ht="15.75" customHeight="1" x14ac:dyDescent="0.2">
      <c r="B764"/>
      <c r="C764" s="9"/>
      <c r="D764" s="35"/>
      <c r="E764" s="35"/>
      <c r="F764" s="35"/>
      <c r="G764" s="35"/>
      <c r="H764" s="159"/>
      <c r="I764" s="35"/>
      <c r="J764" s="35"/>
      <c r="K764" s="35"/>
      <c r="L764" s="35"/>
      <c r="M764" s="35"/>
    </row>
    <row r="765" spans="2:13" s="2" customFormat="1" ht="15.75" customHeight="1" x14ac:dyDescent="0.2">
      <c r="B765"/>
      <c r="C765" s="9"/>
      <c r="D765" s="35"/>
      <c r="E765" s="35"/>
      <c r="F765" s="35"/>
      <c r="G765" s="35"/>
      <c r="H765" s="159"/>
      <c r="I765" s="35"/>
      <c r="J765" s="35"/>
      <c r="K765" s="35"/>
      <c r="L765" s="35"/>
      <c r="M765" s="35"/>
    </row>
    <row r="766" spans="2:13" s="2" customFormat="1" ht="15.75" customHeight="1" x14ac:dyDescent="0.2">
      <c r="B766"/>
      <c r="C766" s="9"/>
      <c r="D766" s="35"/>
      <c r="E766" s="35"/>
      <c r="F766" s="35"/>
      <c r="G766" s="35"/>
      <c r="H766" s="159"/>
      <c r="I766" s="35"/>
      <c r="J766" s="35"/>
      <c r="K766" s="35"/>
      <c r="L766" s="35"/>
      <c r="M766" s="35"/>
    </row>
    <row r="767" spans="2:13" s="2" customFormat="1" ht="15.75" customHeight="1" x14ac:dyDescent="0.2">
      <c r="B767"/>
      <c r="C767" s="9"/>
      <c r="D767" s="35"/>
      <c r="E767" s="35"/>
      <c r="F767" s="35"/>
      <c r="G767" s="35"/>
      <c r="H767" s="159"/>
      <c r="I767" s="35"/>
      <c r="J767" s="35"/>
      <c r="K767" s="35"/>
      <c r="L767" s="35"/>
      <c r="M767" s="35"/>
    </row>
    <row r="768" spans="2:13" s="2" customFormat="1" ht="15.75" customHeight="1" x14ac:dyDescent="0.2">
      <c r="B768"/>
      <c r="C768" s="9"/>
      <c r="D768" s="35"/>
      <c r="E768" s="35"/>
      <c r="F768" s="35"/>
      <c r="G768" s="35"/>
      <c r="H768" s="159"/>
      <c r="I768" s="35"/>
      <c r="J768" s="35"/>
      <c r="K768" s="35"/>
      <c r="L768" s="35"/>
      <c r="M768" s="35"/>
    </row>
    <row r="769" spans="2:13" s="2" customFormat="1" ht="15.75" customHeight="1" x14ac:dyDescent="0.2">
      <c r="B769"/>
      <c r="C769" s="9"/>
      <c r="D769" s="35"/>
      <c r="E769" s="35"/>
      <c r="F769" s="35"/>
      <c r="G769" s="35"/>
      <c r="H769" s="159"/>
      <c r="I769" s="35"/>
      <c r="J769" s="35"/>
      <c r="K769" s="35"/>
      <c r="L769" s="35"/>
      <c r="M769" s="35"/>
    </row>
    <row r="770" spans="2:13" s="2" customFormat="1" ht="15.75" customHeight="1" x14ac:dyDescent="0.2">
      <c r="B770"/>
      <c r="C770" s="9"/>
      <c r="D770" s="35"/>
      <c r="E770" s="35"/>
      <c r="F770" s="35"/>
      <c r="G770" s="35"/>
      <c r="H770" s="159"/>
      <c r="I770" s="35"/>
      <c r="J770" s="35"/>
      <c r="K770" s="35"/>
      <c r="L770" s="35"/>
      <c r="M770" s="35"/>
    </row>
    <row r="771" spans="2:13" s="2" customFormat="1" ht="15.75" customHeight="1" x14ac:dyDescent="0.2">
      <c r="B771"/>
      <c r="C771" s="9"/>
      <c r="D771" s="35"/>
      <c r="E771" s="35"/>
      <c r="F771" s="35"/>
      <c r="G771" s="35"/>
      <c r="H771" s="159"/>
      <c r="I771" s="35"/>
      <c r="J771" s="35"/>
      <c r="K771" s="35"/>
      <c r="L771" s="35"/>
      <c r="M771" s="35"/>
    </row>
    <row r="772" spans="2:13" s="2" customFormat="1" ht="15.75" customHeight="1" x14ac:dyDescent="0.2">
      <c r="B772"/>
      <c r="C772" s="9"/>
      <c r="D772" s="35"/>
      <c r="E772" s="35"/>
      <c r="F772" s="35"/>
      <c r="G772" s="35"/>
      <c r="H772" s="159"/>
      <c r="I772" s="35"/>
      <c r="J772" s="35"/>
      <c r="K772" s="35"/>
      <c r="L772" s="35"/>
      <c r="M772" s="35"/>
    </row>
    <row r="773" spans="2:13" s="2" customFormat="1" ht="15.75" customHeight="1" x14ac:dyDescent="0.2">
      <c r="B773"/>
      <c r="C773" s="9"/>
      <c r="D773" s="35"/>
      <c r="E773" s="35"/>
      <c r="F773" s="35"/>
      <c r="G773" s="35"/>
      <c r="H773" s="159"/>
      <c r="I773" s="35"/>
      <c r="J773" s="35"/>
      <c r="K773" s="35"/>
      <c r="L773" s="35"/>
      <c r="M773" s="35"/>
    </row>
    <row r="774" spans="2:13" s="2" customFormat="1" ht="15.75" customHeight="1" x14ac:dyDescent="0.2">
      <c r="B774"/>
      <c r="C774" s="9"/>
      <c r="D774" s="35"/>
      <c r="E774" s="35"/>
      <c r="F774" s="35"/>
      <c r="G774" s="35"/>
      <c r="H774" s="159"/>
      <c r="I774" s="35"/>
      <c r="J774" s="35"/>
      <c r="K774" s="35"/>
      <c r="L774" s="35"/>
      <c r="M774" s="35"/>
    </row>
    <row r="775" spans="2:13" s="2" customFormat="1" ht="15.75" customHeight="1" x14ac:dyDescent="0.2">
      <c r="B775"/>
      <c r="C775" s="9"/>
      <c r="D775" s="35"/>
      <c r="E775" s="35"/>
      <c r="F775" s="35"/>
      <c r="G775" s="35"/>
      <c r="H775" s="159"/>
      <c r="I775" s="35"/>
      <c r="J775" s="35"/>
      <c r="K775" s="35"/>
      <c r="L775" s="35"/>
      <c r="M775" s="35"/>
    </row>
    <row r="776" spans="2:13" s="2" customFormat="1" ht="15.75" customHeight="1" x14ac:dyDescent="0.2">
      <c r="B776"/>
      <c r="C776" s="9"/>
      <c r="D776" s="35"/>
      <c r="E776" s="35"/>
      <c r="F776" s="35"/>
      <c r="G776" s="35"/>
      <c r="H776" s="159"/>
      <c r="I776" s="35"/>
      <c r="J776" s="35"/>
      <c r="K776" s="35"/>
      <c r="L776" s="35"/>
      <c r="M776" s="35"/>
    </row>
    <row r="777" spans="2:13" s="2" customFormat="1" ht="15.75" customHeight="1" x14ac:dyDescent="0.2">
      <c r="B777"/>
      <c r="C777" s="9"/>
      <c r="D777" s="35"/>
      <c r="E777" s="35"/>
      <c r="F777" s="35"/>
      <c r="G777" s="35"/>
      <c r="H777" s="159"/>
      <c r="I777" s="35"/>
      <c r="J777" s="35"/>
      <c r="K777" s="35"/>
      <c r="L777" s="35"/>
      <c r="M777" s="35"/>
    </row>
    <row r="778" spans="2:13" s="2" customFormat="1" ht="15.75" customHeight="1" x14ac:dyDescent="0.2">
      <c r="B778"/>
      <c r="C778" s="9"/>
      <c r="D778" s="35"/>
      <c r="E778" s="35"/>
      <c r="F778" s="35"/>
      <c r="G778" s="35"/>
      <c r="H778" s="159"/>
      <c r="I778" s="35"/>
      <c r="J778" s="35"/>
      <c r="K778" s="35"/>
      <c r="L778" s="35"/>
      <c r="M778" s="35"/>
    </row>
    <row r="779" spans="2:13" s="2" customFormat="1" ht="15.75" customHeight="1" x14ac:dyDescent="0.2">
      <c r="B779"/>
      <c r="C779" s="9"/>
      <c r="D779" s="35"/>
      <c r="E779" s="35"/>
      <c r="F779" s="35"/>
      <c r="G779" s="35"/>
      <c r="H779" s="159"/>
      <c r="I779" s="35"/>
      <c r="J779" s="35"/>
      <c r="K779" s="35"/>
      <c r="L779" s="35"/>
      <c r="M779" s="35"/>
    </row>
    <row r="780" spans="2:13" s="2" customFormat="1" ht="15.75" customHeight="1" x14ac:dyDescent="0.2">
      <c r="B780"/>
      <c r="C780" s="9"/>
      <c r="D780" s="35"/>
      <c r="E780" s="35"/>
      <c r="F780" s="35"/>
      <c r="G780" s="35"/>
      <c r="H780" s="159"/>
      <c r="I780" s="35"/>
      <c r="J780" s="35"/>
      <c r="K780" s="35"/>
      <c r="L780" s="35"/>
      <c r="M780" s="35"/>
    </row>
    <row r="781" spans="2:13" s="2" customFormat="1" ht="15.75" customHeight="1" x14ac:dyDescent="0.2">
      <c r="B781"/>
      <c r="C781" s="9"/>
      <c r="D781" s="35"/>
      <c r="E781" s="35"/>
      <c r="F781" s="35"/>
      <c r="G781" s="35"/>
      <c r="H781" s="159"/>
      <c r="I781" s="35"/>
      <c r="J781" s="35"/>
      <c r="K781" s="35"/>
      <c r="L781" s="35"/>
      <c r="M781" s="35"/>
    </row>
    <row r="782" spans="2:13" s="2" customFormat="1" ht="15.75" customHeight="1" x14ac:dyDescent="0.2">
      <c r="B782"/>
      <c r="C782" s="9"/>
      <c r="D782" s="35"/>
      <c r="E782" s="35"/>
      <c r="F782" s="35"/>
      <c r="G782" s="35"/>
      <c r="H782" s="159"/>
      <c r="I782" s="35"/>
      <c r="J782" s="35"/>
      <c r="K782" s="35"/>
      <c r="L782" s="35"/>
      <c r="M782" s="35"/>
    </row>
    <row r="783" spans="2:13" s="2" customFormat="1" ht="15.75" customHeight="1" x14ac:dyDescent="0.2">
      <c r="B783"/>
      <c r="C783" s="9"/>
      <c r="D783" s="35"/>
      <c r="E783" s="35"/>
      <c r="F783" s="35"/>
      <c r="G783" s="35"/>
      <c r="H783" s="159"/>
      <c r="I783" s="35"/>
      <c r="J783" s="35"/>
      <c r="K783" s="35"/>
      <c r="L783" s="35"/>
      <c r="M783" s="35"/>
    </row>
    <row r="784" spans="2:13" s="2" customFormat="1" ht="15.75" customHeight="1" x14ac:dyDescent="0.2">
      <c r="B784"/>
      <c r="C784" s="9"/>
      <c r="D784" s="35"/>
      <c r="E784" s="35"/>
      <c r="F784" s="35"/>
      <c r="G784" s="35"/>
      <c r="H784" s="159"/>
      <c r="I784" s="35"/>
      <c r="J784" s="35"/>
      <c r="K784" s="35"/>
      <c r="L784" s="35"/>
      <c r="M784" s="35"/>
    </row>
    <row r="785" spans="2:13" s="2" customFormat="1" ht="15.75" customHeight="1" x14ac:dyDescent="0.2">
      <c r="B785"/>
      <c r="C785" s="9"/>
      <c r="D785" s="35"/>
      <c r="E785" s="35"/>
      <c r="F785" s="35"/>
      <c r="G785" s="35"/>
      <c r="H785" s="159"/>
      <c r="I785" s="35"/>
      <c r="J785" s="35"/>
      <c r="K785" s="35"/>
      <c r="L785" s="35"/>
      <c r="M785" s="35"/>
    </row>
    <row r="786" spans="2:13" s="2" customFormat="1" ht="15.75" customHeight="1" x14ac:dyDescent="0.2">
      <c r="B786"/>
      <c r="C786" s="9"/>
      <c r="D786" s="35"/>
      <c r="E786" s="35"/>
      <c r="F786" s="35"/>
      <c r="G786" s="35"/>
      <c r="H786" s="159"/>
      <c r="I786" s="35"/>
      <c r="J786" s="35"/>
      <c r="K786" s="35"/>
      <c r="L786" s="35"/>
      <c r="M786" s="35"/>
    </row>
    <row r="787" spans="2:13" s="2" customFormat="1" ht="15.75" customHeight="1" x14ac:dyDescent="0.2">
      <c r="B787"/>
      <c r="C787" s="9"/>
      <c r="D787" s="35"/>
      <c r="E787" s="35"/>
      <c r="F787" s="35"/>
      <c r="G787" s="35"/>
      <c r="H787" s="159"/>
      <c r="I787" s="35"/>
      <c r="J787" s="35"/>
      <c r="K787" s="35"/>
      <c r="L787" s="35"/>
      <c r="M787" s="35"/>
    </row>
    <row r="788" spans="2:13" s="2" customFormat="1" ht="15.75" customHeight="1" x14ac:dyDescent="0.2">
      <c r="B788"/>
      <c r="C788" s="9"/>
      <c r="D788" s="35"/>
      <c r="E788" s="35"/>
      <c r="F788" s="35"/>
      <c r="G788" s="35"/>
      <c r="H788" s="159"/>
      <c r="I788" s="35"/>
      <c r="J788" s="35"/>
      <c r="K788" s="35"/>
      <c r="L788" s="35"/>
      <c r="M788" s="35"/>
    </row>
    <row r="789" spans="2:13" s="2" customFormat="1" ht="15.75" customHeight="1" x14ac:dyDescent="0.2">
      <c r="B789"/>
      <c r="C789" s="9"/>
      <c r="D789" s="35"/>
      <c r="E789" s="35"/>
      <c r="F789" s="35"/>
      <c r="G789" s="35"/>
      <c r="H789" s="159"/>
      <c r="I789" s="35"/>
      <c r="J789" s="35"/>
      <c r="K789" s="35"/>
      <c r="L789" s="35"/>
      <c r="M789" s="35"/>
    </row>
    <row r="790" spans="2:13" s="2" customFormat="1" ht="15.75" customHeight="1" x14ac:dyDescent="0.2">
      <c r="B790"/>
      <c r="C790" s="9"/>
      <c r="D790" s="35"/>
      <c r="E790" s="35"/>
      <c r="F790" s="35"/>
      <c r="G790" s="35"/>
      <c r="H790" s="159"/>
      <c r="I790" s="35"/>
      <c r="J790" s="35"/>
      <c r="K790" s="35"/>
      <c r="L790" s="35"/>
      <c r="M790" s="35"/>
    </row>
    <row r="791" spans="2:13" s="2" customFormat="1" ht="15.75" customHeight="1" x14ac:dyDescent="0.2">
      <c r="B791"/>
      <c r="C791" s="9"/>
      <c r="D791" s="35"/>
      <c r="E791" s="35"/>
      <c r="F791" s="35"/>
      <c r="G791" s="35"/>
      <c r="H791" s="159"/>
      <c r="I791" s="35"/>
      <c r="J791" s="35"/>
      <c r="K791" s="35"/>
      <c r="L791" s="35"/>
      <c r="M791" s="35"/>
    </row>
    <row r="792" spans="2:13" s="2" customFormat="1" ht="15.75" customHeight="1" x14ac:dyDescent="0.2">
      <c r="B792"/>
      <c r="C792" s="9"/>
      <c r="D792" s="35"/>
      <c r="E792" s="35"/>
      <c r="F792" s="35"/>
      <c r="G792" s="35"/>
      <c r="H792" s="159"/>
      <c r="I792" s="35"/>
      <c r="J792" s="35"/>
      <c r="K792" s="35"/>
      <c r="L792" s="35"/>
      <c r="M792" s="35"/>
    </row>
    <row r="793" spans="2:13" s="2" customFormat="1" ht="15.75" customHeight="1" x14ac:dyDescent="0.2">
      <c r="B793"/>
      <c r="C793" s="9"/>
      <c r="D793" s="35"/>
      <c r="E793" s="35"/>
      <c r="F793" s="35"/>
      <c r="G793" s="35"/>
      <c r="H793" s="159"/>
      <c r="I793" s="35"/>
      <c r="J793" s="35"/>
      <c r="K793" s="35"/>
      <c r="L793" s="35"/>
      <c r="M793" s="35"/>
    </row>
    <row r="794" spans="2:13" s="2" customFormat="1" ht="15.75" customHeight="1" x14ac:dyDescent="0.2">
      <c r="B794"/>
      <c r="C794" s="9"/>
      <c r="D794" s="35"/>
      <c r="E794" s="35"/>
      <c r="F794" s="35"/>
      <c r="G794" s="35"/>
      <c r="H794" s="159"/>
      <c r="I794" s="35"/>
      <c r="J794" s="35"/>
      <c r="K794" s="35"/>
      <c r="L794" s="35"/>
      <c r="M794" s="35"/>
    </row>
    <row r="795" spans="2:13" s="2" customFormat="1" ht="15.75" customHeight="1" x14ac:dyDescent="0.2">
      <c r="B795"/>
      <c r="C795" s="9"/>
      <c r="D795" s="35"/>
      <c r="E795" s="35"/>
      <c r="F795" s="35"/>
      <c r="G795" s="35"/>
      <c r="H795" s="159"/>
      <c r="I795" s="35"/>
      <c r="J795" s="35"/>
      <c r="K795" s="35"/>
      <c r="L795" s="35"/>
      <c r="M795" s="35"/>
    </row>
    <row r="796" spans="2:13" s="2" customFormat="1" ht="15.75" customHeight="1" x14ac:dyDescent="0.2">
      <c r="B796"/>
      <c r="C796" s="9"/>
      <c r="D796" s="35"/>
      <c r="E796" s="35"/>
      <c r="F796" s="35"/>
      <c r="G796" s="35"/>
      <c r="H796" s="159"/>
      <c r="I796" s="35"/>
      <c r="J796" s="35"/>
      <c r="K796" s="35"/>
      <c r="L796" s="35"/>
      <c r="M796" s="35"/>
    </row>
    <row r="797" spans="2:13" s="2" customFormat="1" ht="15.75" customHeight="1" x14ac:dyDescent="0.2">
      <c r="B797"/>
      <c r="C797" s="9"/>
      <c r="D797" s="35"/>
      <c r="E797" s="35"/>
      <c r="F797" s="35"/>
      <c r="G797" s="35"/>
      <c r="H797" s="159"/>
      <c r="I797" s="35"/>
      <c r="J797" s="35"/>
      <c r="K797" s="35"/>
      <c r="L797" s="35"/>
      <c r="M797" s="35"/>
    </row>
    <row r="798" spans="2:13" s="2" customFormat="1" ht="15.75" customHeight="1" x14ac:dyDescent="0.2">
      <c r="B798"/>
      <c r="C798" s="9"/>
      <c r="D798" s="35"/>
      <c r="E798" s="35"/>
      <c r="F798" s="35"/>
      <c r="G798" s="35"/>
      <c r="H798" s="159"/>
      <c r="I798" s="35"/>
      <c r="J798" s="35"/>
      <c r="K798" s="35"/>
      <c r="L798" s="35"/>
      <c r="M798" s="35"/>
    </row>
    <row r="799" spans="2:13" s="2" customFormat="1" ht="15.75" customHeight="1" x14ac:dyDescent="0.2">
      <c r="B799"/>
      <c r="C799" s="9"/>
      <c r="D799" s="35"/>
      <c r="E799" s="35"/>
      <c r="F799" s="35"/>
      <c r="G799" s="35"/>
      <c r="H799" s="159"/>
      <c r="I799" s="35"/>
      <c r="J799" s="35"/>
      <c r="K799" s="35"/>
      <c r="L799" s="35"/>
      <c r="M799" s="35"/>
    </row>
    <row r="800" spans="2:13" s="2" customFormat="1" ht="15.75" customHeight="1" x14ac:dyDescent="0.2">
      <c r="B800"/>
      <c r="C800" s="9"/>
      <c r="D800" s="35"/>
      <c r="E800" s="35"/>
      <c r="F800" s="35"/>
      <c r="G800" s="35"/>
      <c r="H800" s="159"/>
      <c r="I800" s="35"/>
      <c r="J800" s="35"/>
      <c r="K800" s="35"/>
      <c r="L800" s="35"/>
      <c r="M800" s="35"/>
    </row>
    <row r="801" spans="2:13" s="2" customFormat="1" ht="15.75" customHeight="1" x14ac:dyDescent="0.2">
      <c r="B801"/>
      <c r="C801" s="9"/>
      <c r="D801" s="35"/>
      <c r="E801" s="35"/>
      <c r="F801" s="35"/>
      <c r="G801" s="35"/>
      <c r="H801" s="159"/>
      <c r="I801" s="35"/>
      <c r="J801" s="35"/>
      <c r="K801" s="35"/>
      <c r="L801" s="35"/>
      <c r="M801" s="35"/>
    </row>
    <row r="802" spans="2:13" s="2" customFormat="1" ht="15.75" customHeight="1" x14ac:dyDescent="0.2">
      <c r="B802"/>
      <c r="C802" s="9"/>
      <c r="D802" s="35"/>
      <c r="E802" s="35"/>
      <c r="F802" s="35"/>
      <c r="G802" s="35"/>
      <c r="H802" s="159"/>
      <c r="I802" s="35"/>
      <c r="J802" s="35"/>
      <c r="K802" s="35"/>
      <c r="L802" s="35"/>
      <c r="M802" s="35"/>
    </row>
    <row r="803" spans="2:13" s="2" customFormat="1" ht="15.75" customHeight="1" x14ac:dyDescent="0.2">
      <c r="B803"/>
      <c r="C803" s="9"/>
      <c r="D803" s="35"/>
      <c r="E803" s="35"/>
      <c r="F803" s="35"/>
      <c r="G803" s="35"/>
      <c r="H803" s="159"/>
      <c r="I803" s="35"/>
      <c r="J803" s="35"/>
      <c r="K803" s="35"/>
      <c r="L803" s="35"/>
      <c r="M803" s="35"/>
    </row>
    <row r="804" spans="2:13" s="2" customFormat="1" ht="15.75" customHeight="1" x14ac:dyDescent="0.2">
      <c r="B804"/>
      <c r="C804" s="9"/>
      <c r="D804" s="35"/>
      <c r="E804" s="35"/>
      <c r="F804" s="35"/>
      <c r="G804" s="35"/>
      <c r="H804" s="159"/>
      <c r="I804" s="35"/>
      <c r="J804" s="35"/>
      <c r="K804" s="35"/>
      <c r="L804" s="35"/>
      <c r="M804" s="35"/>
    </row>
    <row r="805" spans="2:13" s="2" customFormat="1" ht="15.75" customHeight="1" x14ac:dyDescent="0.2">
      <c r="B805"/>
      <c r="C805" s="9"/>
      <c r="D805" s="35"/>
      <c r="E805" s="35"/>
      <c r="F805" s="35"/>
      <c r="G805" s="35"/>
      <c r="H805" s="159"/>
      <c r="I805" s="35"/>
      <c r="J805" s="35"/>
      <c r="K805" s="35"/>
      <c r="L805" s="35"/>
      <c r="M805" s="35"/>
    </row>
    <row r="806" spans="2:13" s="2" customFormat="1" ht="15.75" customHeight="1" x14ac:dyDescent="0.2">
      <c r="B806"/>
      <c r="C806" s="9"/>
      <c r="D806" s="35"/>
      <c r="E806" s="35"/>
      <c r="F806" s="35"/>
      <c r="G806" s="35"/>
      <c r="H806" s="159"/>
      <c r="I806" s="35"/>
      <c r="J806" s="35"/>
      <c r="K806" s="35"/>
      <c r="L806" s="35"/>
      <c r="M806" s="35"/>
    </row>
    <row r="807" spans="2:13" s="2" customFormat="1" ht="15.75" customHeight="1" x14ac:dyDescent="0.2">
      <c r="B807"/>
      <c r="C807" s="9"/>
      <c r="D807" s="35"/>
      <c r="E807" s="35"/>
      <c r="F807" s="35"/>
      <c r="G807" s="35"/>
      <c r="H807" s="159"/>
      <c r="I807" s="35"/>
      <c r="J807" s="35"/>
      <c r="K807" s="35"/>
      <c r="L807" s="35"/>
      <c r="M807" s="35"/>
    </row>
    <row r="808" spans="2:13" s="2" customFormat="1" ht="15.75" customHeight="1" x14ac:dyDescent="0.2">
      <c r="B808"/>
      <c r="C808" s="9"/>
      <c r="D808" s="35"/>
      <c r="E808" s="35"/>
      <c r="F808" s="35"/>
      <c r="G808" s="35"/>
      <c r="H808" s="159"/>
      <c r="I808" s="35"/>
      <c r="J808" s="35"/>
      <c r="K808" s="35"/>
      <c r="L808" s="35"/>
      <c r="M808" s="35"/>
    </row>
    <row r="809" spans="2:13" s="2" customFormat="1" ht="15.75" customHeight="1" x14ac:dyDescent="0.2">
      <c r="B809"/>
      <c r="C809" s="9"/>
      <c r="D809" s="35"/>
      <c r="E809" s="35"/>
      <c r="F809" s="35"/>
      <c r="G809" s="35"/>
      <c r="H809" s="159"/>
      <c r="I809" s="35"/>
      <c r="J809" s="35"/>
      <c r="K809" s="35"/>
      <c r="L809" s="35"/>
      <c r="M809" s="35"/>
    </row>
    <row r="810" spans="2:13" s="2" customFormat="1" ht="15.75" customHeight="1" x14ac:dyDescent="0.2">
      <c r="B810"/>
      <c r="C810" s="9"/>
      <c r="D810" s="35"/>
      <c r="E810" s="35"/>
      <c r="F810" s="35"/>
      <c r="G810" s="35"/>
      <c r="H810" s="159"/>
      <c r="I810" s="35"/>
      <c r="J810" s="35"/>
      <c r="K810" s="35"/>
      <c r="L810" s="35"/>
      <c r="M810" s="35"/>
    </row>
    <row r="811" spans="2:13" s="2" customFormat="1" ht="15.75" customHeight="1" x14ac:dyDescent="0.2">
      <c r="B811"/>
      <c r="C811" s="9"/>
      <c r="D811" s="35"/>
      <c r="E811" s="35"/>
      <c r="F811" s="35"/>
      <c r="G811" s="35"/>
      <c r="H811" s="159"/>
      <c r="I811" s="35"/>
      <c r="J811" s="35"/>
      <c r="K811" s="35"/>
      <c r="L811" s="35"/>
      <c r="M811" s="35"/>
    </row>
  </sheetData>
  <mergeCells count="2">
    <mergeCell ref="A4:L4"/>
    <mergeCell ref="A5:L5"/>
  </mergeCells>
  <phoneticPr fontId="14" type="noConversion"/>
  <pageMargins left="0.47244094488188981" right="0.15748031496062992" top="0.55118110236220474" bottom="0.15748031496062992" header="0.15748031496062992" footer="0.15748031496062992"/>
  <pageSetup paperSize="9" scale="61" orientation="portrait" r:id="rId1"/>
  <headerFooter alignWithMargins="0"/>
  <rowBreaks count="1" manualBreakCount="1">
    <brk id="9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7803-BFF7-4ACD-A99E-286B1D2FD9A1}">
  <dimension ref="A1:J29"/>
  <sheetViews>
    <sheetView topLeftCell="A6" workbookViewId="0">
      <selection activeCell="C17" sqref="C17"/>
    </sheetView>
  </sheetViews>
  <sheetFormatPr defaultRowHeight="12.75" x14ac:dyDescent="0.2"/>
  <cols>
    <col min="1" max="1" width="6.140625" style="671" customWidth="1"/>
    <col min="2" max="2" width="46.85546875" style="671" customWidth="1"/>
    <col min="3" max="4" width="15.7109375" style="671" customWidth="1"/>
    <col min="5" max="5" width="13.85546875" style="671" customWidth="1"/>
    <col min="6" max="6" width="9.140625" style="671"/>
    <col min="7" max="7" width="10.85546875" style="671" bestFit="1" customWidth="1"/>
    <col min="8" max="256" width="9.140625" style="671"/>
    <col min="257" max="257" width="6.140625" style="671" customWidth="1"/>
    <col min="258" max="258" width="46.85546875" style="671" customWidth="1"/>
    <col min="259" max="260" width="15.7109375" style="671" customWidth="1"/>
    <col min="261" max="261" width="13.85546875" style="671" customWidth="1"/>
    <col min="262" max="263" width="9.140625" style="671"/>
    <col min="264" max="265" width="0" style="671" hidden="1" customWidth="1"/>
    <col min="266" max="512" width="9.140625" style="671"/>
    <col min="513" max="513" width="6.140625" style="671" customWidth="1"/>
    <col min="514" max="514" width="46.85546875" style="671" customWidth="1"/>
    <col min="515" max="516" width="15.7109375" style="671" customWidth="1"/>
    <col min="517" max="517" width="13.85546875" style="671" customWidth="1"/>
    <col min="518" max="519" width="9.140625" style="671"/>
    <col min="520" max="521" width="0" style="671" hidden="1" customWidth="1"/>
    <col min="522" max="768" width="9.140625" style="671"/>
    <col min="769" max="769" width="6.140625" style="671" customWidth="1"/>
    <col min="770" max="770" width="46.85546875" style="671" customWidth="1"/>
    <col min="771" max="772" width="15.7109375" style="671" customWidth="1"/>
    <col min="773" max="773" width="13.85546875" style="671" customWidth="1"/>
    <col min="774" max="775" width="9.140625" style="671"/>
    <col min="776" max="777" width="0" style="671" hidden="1" customWidth="1"/>
    <col min="778" max="1024" width="9.140625" style="671"/>
    <col min="1025" max="1025" width="6.140625" style="671" customWidth="1"/>
    <col min="1026" max="1026" width="46.85546875" style="671" customWidth="1"/>
    <col min="1027" max="1028" width="15.7109375" style="671" customWidth="1"/>
    <col min="1029" max="1029" width="13.85546875" style="671" customWidth="1"/>
    <col min="1030" max="1031" width="9.140625" style="671"/>
    <col min="1032" max="1033" width="0" style="671" hidden="1" customWidth="1"/>
    <col min="1034" max="1280" width="9.140625" style="671"/>
    <col min="1281" max="1281" width="6.140625" style="671" customWidth="1"/>
    <col min="1282" max="1282" width="46.85546875" style="671" customWidth="1"/>
    <col min="1283" max="1284" width="15.7109375" style="671" customWidth="1"/>
    <col min="1285" max="1285" width="13.85546875" style="671" customWidth="1"/>
    <col min="1286" max="1287" width="9.140625" style="671"/>
    <col min="1288" max="1289" width="0" style="671" hidden="1" customWidth="1"/>
    <col min="1290" max="1536" width="9.140625" style="671"/>
    <col min="1537" max="1537" width="6.140625" style="671" customWidth="1"/>
    <col min="1538" max="1538" width="46.85546875" style="671" customWidth="1"/>
    <col min="1539" max="1540" width="15.7109375" style="671" customWidth="1"/>
    <col min="1541" max="1541" width="13.85546875" style="671" customWidth="1"/>
    <col min="1542" max="1543" width="9.140625" style="671"/>
    <col min="1544" max="1545" width="0" style="671" hidden="1" customWidth="1"/>
    <col min="1546" max="1792" width="9.140625" style="671"/>
    <col min="1793" max="1793" width="6.140625" style="671" customWidth="1"/>
    <col min="1794" max="1794" width="46.85546875" style="671" customWidth="1"/>
    <col min="1795" max="1796" width="15.7109375" style="671" customWidth="1"/>
    <col min="1797" max="1797" width="13.85546875" style="671" customWidth="1"/>
    <col min="1798" max="1799" width="9.140625" style="671"/>
    <col min="1800" max="1801" width="0" style="671" hidden="1" customWidth="1"/>
    <col min="1802" max="2048" width="9.140625" style="671"/>
    <col min="2049" max="2049" width="6.140625" style="671" customWidth="1"/>
    <col min="2050" max="2050" width="46.85546875" style="671" customWidth="1"/>
    <col min="2051" max="2052" width="15.7109375" style="671" customWidth="1"/>
    <col min="2053" max="2053" width="13.85546875" style="671" customWidth="1"/>
    <col min="2054" max="2055" width="9.140625" style="671"/>
    <col min="2056" max="2057" width="0" style="671" hidden="1" customWidth="1"/>
    <col min="2058" max="2304" width="9.140625" style="671"/>
    <col min="2305" max="2305" width="6.140625" style="671" customWidth="1"/>
    <col min="2306" max="2306" width="46.85546875" style="671" customWidth="1"/>
    <col min="2307" max="2308" width="15.7109375" style="671" customWidth="1"/>
    <col min="2309" max="2309" width="13.85546875" style="671" customWidth="1"/>
    <col min="2310" max="2311" width="9.140625" style="671"/>
    <col min="2312" max="2313" width="0" style="671" hidden="1" customWidth="1"/>
    <col min="2314" max="2560" width="9.140625" style="671"/>
    <col min="2561" max="2561" width="6.140625" style="671" customWidth="1"/>
    <col min="2562" max="2562" width="46.85546875" style="671" customWidth="1"/>
    <col min="2563" max="2564" width="15.7109375" style="671" customWidth="1"/>
    <col min="2565" max="2565" width="13.85546875" style="671" customWidth="1"/>
    <col min="2566" max="2567" width="9.140625" style="671"/>
    <col min="2568" max="2569" width="0" style="671" hidden="1" customWidth="1"/>
    <col min="2570" max="2816" width="9.140625" style="671"/>
    <col min="2817" max="2817" width="6.140625" style="671" customWidth="1"/>
    <col min="2818" max="2818" width="46.85546875" style="671" customWidth="1"/>
    <col min="2819" max="2820" width="15.7109375" style="671" customWidth="1"/>
    <col min="2821" max="2821" width="13.85546875" style="671" customWidth="1"/>
    <col min="2822" max="2823" width="9.140625" style="671"/>
    <col min="2824" max="2825" width="0" style="671" hidden="1" customWidth="1"/>
    <col min="2826" max="3072" width="9.140625" style="671"/>
    <col min="3073" max="3073" width="6.140625" style="671" customWidth="1"/>
    <col min="3074" max="3074" width="46.85546875" style="671" customWidth="1"/>
    <col min="3075" max="3076" width="15.7109375" style="671" customWidth="1"/>
    <col min="3077" max="3077" width="13.85546875" style="671" customWidth="1"/>
    <col min="3078" max="3079" width="9.140625" style="671"/>
    <col min="3080" max="3081" width="0" style="671" hidden="1" customWidth="1"/>
    <col min="3082" max="3328" width="9.140625" style="671"/>
    <col min="3329" max="3329" width="6.140625" style="671" customWidth="1"/>
    <col min="3330" max="3330" width="46.85546875" style="671" customWidth="1"/>
    <col min="3331" max="3332" width="15.7109375" style="671" customWidth="1"/>
    <col min="3333" max="3333" width="13.85546875" style="671" customWidth="1"/>
    <col min="3334" max="3335" width="9.140625" style="671"/>
    <col min="3336" max="3337" width="0" style="671" hidden="1" customWidth="1"/>
    <col min="3338" max="3584" width="9.140625" style="671"/>
    <col min="3585" max="3585" width="6.140625" style="671" customWidth="1"/>
    <col min="3586" max="3586" width="46.85546875" style="671" customWidth="1"/>
    <col min="3587" max="3588" width="15.7109375" style="671" customWidth="1"/>
    <col min="3589" max="3589" width="13.85546875" style="671" customWidth="1"/>
    <col min="3590" max="3591" width="9.140625" style="671"/>
    <col min="3592" max="3593" width="0" style="671" hidden="1" customWidth="1"/>
    <col min="3594" max="3840" width="9.140625" style="671"/>
    <col min="3841" max="3841" width="6.140625" style="671" customWidth="1"/>
    <col min="3842" max="3842" width="46.85546875" style="671" customWidth="1"/>
    <col min="3843" max="3844" width="15.7109375" style="671" customWidth="1"/>
    <col min="3845" max="3845" width="13.85546875" style="671" customWidth="1"/>
    <col min="3846" max="3847" width="9.140625" style="671"/>
    <col min="3848" max="3849" width="0" style="671" hidden="1" customWidth="1"/>
    <col min="3850" max="4096" width="9.140625" style="671"/>
    <col min="4097" max="4097" width="6.140625" style="671" customWidth="1"/>
    <col min="4098" max="4098" width="46.85546875" style="671" customWidth="1"/>
    <col min="4099" max="4100" width="15.7109375" style="671" customWidth="1"/>
    <col min="4101" max="4101" width="13.85546875" style="671" customWidth="1"/>
    <col min="4102" max="4103" width="9.140625" style="671"/>
    <col min="4104" max="4105" width="0" style="671" hidden="1" customWidth="1"/>
    <col min="4106" max="4352" width="9.140625" style="671"/>
    <col min="4353" max="4353" width="6.140625" style="671" customWidth="1"/>
    <col min="4354" max="4354" width="46.85546875" style="671" customWidth="1"/>
    <col min="4355" max="4356" width="15.7109375" style="671" customWidth="1"/>
    <col min="4357" max="4357" width="13.85546875" style="671" customWidth="1"/>
    <col min="4358" max="4359" width="9.140625" style="671"/>
    <col min="4360" max="4361" width="0" style="671" hidden="1" customWidth="1"/>
    <col min="4362" max="4608" width="9.140625" style="671"/>
    <col min="4609" max="4609" width="6.140625" style="671" customWidth="1"/>
    <col min="4610" max="4610" width="46.85546875" style="671" customWidth="1"/>
    <col min="4611" max="4612" width="15.7109375" style="671" customWidth="1"/>
    <col min="4613" max="4613" width="13.85546875" style="671" customWidth="1"/>
    <col min="4614" max="4615" width="9.140625" style="671"/>
    <col min="4616" max="4617" width="0" style="671" hidden="1" customWidth="1"/>
    <col min="4618" max="4864" width="9.140625" style="671"/>
    <col min="4865" max="4865" width="6.140625" style="671" customWidth="1"/>
    <col min="4866" max="4866" width="46.85546875" style="671" customWidth="1"/>
    <col min="4867" max="4868" width="15.7109375" style="671" customWidth="1"/>
    <col min="4869" max="4869" width="13.85546875" style="671" customWidth="1"/>
    <col min="4870" max="4871" width="9.140625" style="671"/>
    <col min="4872" max="4873" width="0" style="671" hidden="1" customWidth="1"/>
    <col min="4874" max="5120" width="9.140625" style="671"/>
    <col min="5121" max="5121" width="6.140625" style="671" customWidth="1"/>
    <col min="5122" max="5122" width="46.85546875" style="671" customWidth="1"/>
    <col min="5123" max="5124" width="15.7109375" style="671" customWidth="1"/>
    <col min="5125" max="5125" width="13.85546875" style="671" customWidth="1"/>
    <col min="5126" max="5127" width="9.140625" style="671"/>
    <col min="5128" max="5129" width="0" style="671" hidden="1" customWidth="1"/>
    <col min="5130" max="5376" width="9.140625" style="671"/>
    <col min="5377" max="5377" width="6.140625" style="671" customWidth="1"/>
    <col min="5378" max="5378" width="46.85546875" style="671" customWidth="1"/>
    <col min="5379" max="5380" width="15.7109375" style="671" customWidth="1"/>
    <col min="5381" max="5381" width="13.85546875" style="671" customWidth="1"/>
    <col min="5382" max="5383" width="9.140625" style="671"/>
    <col min="5384" max="5385" width="0" style="671" hidden="1" customWidth="1"/>
    <col min="5386" max="5632" width="9.140625" style="671"/>
    <col min="5633" max="5633" width="6.140625" style="671" customWidth="1"/>
    <col min="5634" max="5634" width="46.85546875" style="671" customWidth="1"/>
    <col min="5635" max="5636" width="15.7109375" style="671" customWidth="1"/>
    <col min="5637" max="5637" width="13.85546875" style="671" customWidth="1"/>
    <col min="5638" max="5639" width="9.140625" style="671"/>
    <col min="5640" max="5641" width="0" style="671" hidden="1" customWidth="1"/>
    <col min="5642" max="5888" width="9.140625" style="671"/>
    <col min="5889" max="5889" width="6.140625" style="671" customWidth="1"/>
    <col min="5890" max="5890" width="46.85546875" style="671" customWidth="1"/>
    <col min="5891" max="5892" width="15.7109375" style="671" customWidth="1"/>
    <col min="5893" max="5893" width="13.85546875" style="671" customWidth="1"/>
    <col min="5894" max="5895" width="9.140625" style="671"/>
    <col min="5896" max="5897" width="0" style="671" hidden="1" customWidth="1"/>
    <col min="5898" max="6144" width="9.140625" style="671"/>
    <col min="6145" max="6145" width="6.140625" style="671" customWidth="1"/>
    <col min="6146" max="6146" width="46.85546875" style="671" customWidth="1"/>
    <col min="6147" max="6148" width="15.7109375" style="671" customWidth="1"/>
    <col min="6149" max="6149" width="13.85546875" style="671" customWidth="1"/>
    <col min="6150" max="6151" width="9.140625" style="671"/>
    <col min="6152" max="6153" width="0" style="671" hidden="1" customWidth="1"/>
    <col min="6154" max="6400" width="9.140625" style="671"/>
    <col min="6401" max="6401" width="6.140625" style="671" customWidth="1"/>
    <col min="6402" max="6402" width="46.85546875" style="671" customWidth="1"/>
    <col min="6403" max="6404" width="15.7109375" style="671" customWidth="1"/>
    <col min="6405" max="6405" width="13.85546875" style="671" customWidth="1"/>
    <col min="6406" max="6407" width="9.140625" style="671"/>
    <col min="6408" max="6409" width="0" style="671" hidden="1" customWidth="1"/>
    <col min="6410" max="6656" width="9.140625" style="671"/>
    <col min="6657" max="6657" width="6.140625" style="671" customWidth="1"/>
    <col min="6658" max="6658" width="46.85546875" style="671" customWidth="1"/>
    <col min="6659" max="6660" width="15.7109375" style="671" customWidth="1"/>
    <col min="6661" max="6661" width="13.85546875" style="671" customWidth="1"/>
    <col min="6662" max="6663" width="9.140625" style="671"/>
    <col min="6664" max="6665" width="0" style="671" hidden="1" customWidth="1"/>
    <col min="6666" max="6912" width="9.140625" style="671"/>
    <col min="6913" max="6913" width="6.140625" style="671" customWidth="1"/>
    <col min="6914" max="6914" width="46.85546875" style="671" customWidth="1"/>
    <col min="6915" max="6916" width="15.7109375" style="671" customWidth="1"/>
    <col min="6917" max="6917" width="13.85546875" style="671" customWidth="1"/>
    <col min="6918" max="6919" width="9.140625" style="671"/>
    <col min="6920" max="6921" width="0" style="671" hidden="1" customWidth="1"/>
    <col min="6922" max="7168" width="9.140625" style="671"/>
    <col min="7169" max="7169" width="6.140625" style="671" customWidth="1"/>
    <col min="7170" max="7170" width="46.85546875" style="671" customWidth="1"/>
    <col min="7171" max="7172" width="15.7109375" style="671" customWidth="1"/>
    <col min="7173" max="7173" width="13.85546875" style="671" customWidth="1"/>
    <col min="7174" max="7175" width="9.140625" style="671"/>
    <col min="7176" max="7177" width="0" style="671" hidden="1" customWidth="1"/>
    <col min="7178" max="7424" width="9.140625" style="671"/>
    <col min="7425" max="7425" width="6.140625" style="671" customWidth="1"/>
    <col min="7426" max="7426" width="46.85546875" style="671" customWidth="1"/>
    <col min="7427" max="7428" width="15.7109375" style="671" customWidth="1"/>
    <col min="7429" max="7429" width="13.85546875" style="671" customWidth="1"/>
    <col min="7430" max="7431" width="9.140625" style="671"/>
    <col min="7432" max="7433" width="0" style="671" hidden="1" customWidth="1"/>
    <col min="7434" max="7680" width="9.140625" style="671"/>
    <col min="7681" max="7681" width="6.140625" style="671" customWidth="1"/>
    <col min="7682" max="7682" width="46.85546875" style="671" customWidth="1"/>
    <col min="7683" max="7684" width="15.7109375" style="671" customWidth="1"/>
    <col min="7685" max="7685" width="13.85546875" style="671" customWidth="1"/>
    <col min="7686" max="7687" width="9.140625" style="671"/>
    <col min="7688" max="7689" width="0" style="671" hidden="1" customWidth="1"/>
    <col min="7690" max="7936" width="9.140625" style="671"/>
    <col min="7937" max="7937" width="6.140625" style="671" customWidth="1"/>
    <col min="7938" max="7938" width="46.85546875" style="671" customWidth="1"/>
    <col min="7939" max="7940" width="15.7109375" style="671" customWidth="1"/>
    <col min="7941" max="7941" width="13.85546875" style="671" customWidth="1"/>
    <col min="7942" max="7943" width="9.140625" style="671"/>
    <col min="7944" max="7945" width="0" style="671" hidden="1" customWidth="1"/>
    <col min="7946" max="8192" width="9.140625" style="671"/>
    <col min="8193" max="8193" width="6.140625" style="671" customWidth="1"/>
    <col min="8194" max="8194" width="46.85546875" style="671" customWidth="1"/>
    <col min="8195" max="8196" width="15.7109375" style="671" customWidth="1"/>
    <col min="8197" max="8197" width="13.85546875" style="671" customWidth="1"/>
    <col min="8198" max="8199" width="9.140625" style="671"/>
    <col min="8200" max="8201" width="0" style="671" hidden="1" customWidth="1"/>
    <col min="8202" max="8448" width="9.140625" style="671"/>
    <col min="8449" max="8449" width="6.140625" style="671" customWidth="1"/>
    <col min="8450" max="8450" width="46.85546875" style="671" customWidth="1"/>
    <col min="8451" max="8452" width="15.7109375" style="671" customWidth="1"/>
    <col min="8453" max="8453" width="13.85546875" style="671" customWidth="1"/>
    <col min="8454" max="8455" width="9.140625" style="671"/>
    <col min="8456" max="8457" width="0" style="671" hidden="1" customWidth="1"/>
    <col min="8458" max="8704" width="9.140625" style="671"/>
    <col min="8705" max="8705" width="6.140625" style="671" customWidth="1"/>
    <col min="8706" max="8706" width="46.85546875" style="671" customWidth="1"/>
    <col min="8707" max="8708" width="15.7109375" style="671" customWidth="1"/>
    <col min="8709" max="8709" width="13.85546875" style="671" customWidth="1"/>
    <col min="8710" max="8711" width="9.140625" style="671"/>
    <col min="8712" max="8713" width="0" style="671" hidden="1" customWidth="1"/>
    <col min="8714" max="8960" width="9.140625" style="671"/>
    <col min="8961" max="8961" width="6.140625" style="671" customWidth="1"/>
    <col min="8962" max="8962" width="46.85546875" style="671" customWidth="1"/>
    <col min="8963" max="8964" width="15.7109375" style="671" customWidth="1"/>
    <col min="8965" max="8965" width="13.85546875" style="671" customWidth="1"/>
    <col min="8966" max="8967" width="9.140625" style="671"/>
    <col min="8968" max="8969" width="0" style="671" hidden="1" customWidth="1"/>
    <col min="8970" max="9216" width="9.140625" style="671"/>
    <col min="9217" max="9217" width="6.140625" style="671" customWidth="1"/>
    <col min="9218" max="9218" width="46.85546875" style="671" customWidth="1"/>
    <col min="9219" max="9220" width="15.7109375" style="671" customWidth="1"/>
    <col min="9221" max="9221" width="13.85546875" style="671" customWidth="1"/>
    <col min="9222" max="9223" width="9.140625" style="671"/>
    <col min="9224" max="9225" width="0" style="671" hidden="1" customWidth="1"/>
    <col min="9226" max="9472" width="9.140625" style="671"/>
    <col min="9473" max="9473" width="6.140625" style="671" customWidth="1"/>
    <col min="9474" max="9474" width="46.85546875" style="671" customWidth="1"/>
    <col min="9475" max="9476" width="15.7109375" style="671" customWidth="1"/>
    <col min="9477" max="9477" width="13.85546875" style="671" customWidth="1"/>
    <col min="9478" max="9479" width="9.140625" style="671"/>
    <col min="9480" max="9481" width="0" style="671" hidden="1" customWidth="1"/>
    <col min="9482" max="9728" width="9.140625" style="671"/>
    <col min="9729" max="9729" width="6.140625" style="671" customWidth="1"/>
    <col min="9730" max="9730" width="46.85546875" style="671" customWidth="1"/>
    <col min="9731" max="9732" width="15.7109375" style="671" customWidth="1"/>
    <col min="9733" max="9733" width="13.85546875" style="671" customWidth="1"/>
    <col min="9734" max="9735" width="9.140625" style="671"/>
    <col min="9736" max="9737" width="0" style="671" hidden="1" customWidth="1"/>
    <col min="9738" max="9984" width="9.140625" style="671"/>
    <col min="9985" max="9985" width="6.140625" style="671" customWidth="1"/>
    <col min="9986" max="9986" width="46.85546875" style="671" customWidth="1"/>
    <col min="9987" max="9988" width="15.7109375" style="671" customWidth="1"/>
    <col min="9989" max="9989" width="13.85546875" style="671" customWidth="1"/>
    <col min="9990" max="9991" width="9.140625" style="671"/>
    <col min="9992" max="9993" width="0" style="671" hidden="1" customWidth="1"/>
    <col min="9994" max="10240" width="9.140625" style="671"/>
    <col min="10241" max="10241" width="6.140625" style="671" customWidth="1"/>
    <col min="10242" max="10242" width="46.85546875" style="671" customWidth="1"/>
    <col min="10243" max="10244" width="15.7109375" style="671" customWidth="1"/>
    <col min="10245" max="10245" width="13.85546875" style="671" customWidth="1"/>
    <col min="10246" max="10247" width="9.140625" style="671"/>
    <col min="10248" max="10249" width="0" style="671" hidden="1" customWidth="1"/>
    <col min="10250" max="10496" width="9.140625" style="671"/>
    <col min="10497" max="10497" width="6.140625" style="671" customWidth="1"/>
    <col min="10498" max="10498" width="46.85546875" style="671" customWidth="1"/>
    <col min="10499" max="10500" width="15.7109375" style="671" customWidth="1"/>
    <col min="10501" max="10501" width="13.85546875" style="671" customWidth="1"/>
    <col min="10502" max="10503" width="9.140625" style="671"/>
    <col min="10504" max="10505" width="0" style="671" hidden="1" customWidth="1"/>
    <col min="10506" max="10752" width="9.140625" style="671"/>
    <col min="10753" max="10753" width="6.140625" style="671" customWidth="1"/>
    <col min="10754" max="10754" width="46.85546875" style="671" customWidth="1"/>
    <col min="10755" max="10756" width="15.7109375" style="671" customWidth="1"/>
    <col min="10757" max="10757" width="13.85546875" style="671" customWidth="1"/>
    <col min="10758" max="10759" width="9.140625" style="671"/>
    <col min="10760" max="10761" width="0" style="671" hidden="1" customWidth="1"/>
    <col min="10762" max="11008" width="9.140625" style="671"/>
    <col min="11009" max="11009" width="6.140625" style="671" customWidth="1"/>
    <col min="11010" max="11010" width="46.85546875" style="671" customWidth="1"/>
    <col min="11011" max="11012" width="15.7109375" style="671" customWidth="1"/>
    <col min="11013" max="11013" width="13.85546875" style="671" customWidth="1"/>
    <col min="11014" max="11015" width="9.140625" style="671"/>
    <col min="11016" max="11017" width="0" style="671" hidden="1" customWidth="1"/>
    <col min="11018" max="11264" width="9.140625" style="671"/>
    <col min="11265" max="11265" width="6.140625" style="671" customWidth="1"/>
    <col min="11266" max="11266" width="46.85546875" style="671" customWidth="1"/>
    <col min="11267" max="11268" width="15.7109375" style="671" customWidth="1"/>
    <col min="11269" max="11269" width="13.85546875" style="671" customWidth="1"/>
    <col min="11270" max="11271" width="9.140625" style="671"/>
    <col min="11272" max="11273" width="0" style="671" hidden="1" customWidth="1"/>
    <col min="11274" max="11520" width="9.140625" style="671"/>
    <col min="11521" max="11521" width="6.140625" style="671" customWidth="1"/>
    <col min="11522" max="11522" width="46.85546875" style="671" customWidth="1"/>
    <col min="11523" max="11524" width="15.7109375" style="671" customWidth="1"/>
    <col min="11525" max="11525" width="13.85546875" style="671" customWidth="1"/>
    <col min="11526" max="11527" width="9.140625" style="671"/>
    <col min="11528" max="11529" width="0" style="671" hidden="1" customWidth="1"/>
    <col min="11530" max="11776" width="9.140625" style="671"/>
    <col min="11777" max="11777" width="6.140625" style="671" customWidth="1"/>
    <col min="11778" max="11778" width="46.85546875" style="671" customWidth="1"/>
    <col min="11779" max="11780" width="15.7109375" style="671" customWidth="1"/>
    <col min="11781" max="11781" width="13.85546875" style="671" customWidth="1"/>
    <col min="11782" max="11783" width="9.140625" style="671"/>
    <col min="11784" max="11785" width="0" style="671" hidden="1" customWidth="1"/>
    <col min="11786" max="12032" width="9.140625" style="671"/>
    <col min="12033" max="12033" width="6.140625" style="671" customWidth="1"/>
    <col min="12034" max="12034" width="46.85546875" style="671" customWidth="1"/>
    <col min="12035" max="12036" width="15.7109375" style="671" customWidth="1"/>
    <col min="12037" max="12037" width="13.85546875" style="671" customWidth="1"/>
    <col min="12038" max="12039" width="9.140625" style="671"/>
    <col min="12040" max="12041" width="0" style="671" hidden="1" customWidth="1"/>
    <col min="12042" max="12288" width="9.140625" style="671"/>
    <col min="12289" max="12289" width="6.140625" style="671" customWidth="1"/>
    <col min="12290" max="12290" width="46.85546875" style="671" customWidth="1"/>
    <col min="12291" max="12292" width="15.7109375" style="671" customWidth="1"/>
    <col min="12293" max="12293" width="13.85546875" style="671" customWidth="1"/>
    <col min="12294" max="12295" width="9.140625" style="671"/>
    <col min="12296" max="12297" width="0" style="671" hidden="1" customWidth="1"/>
    <col min="12298" max="12544" width="9.140625" style="671"/>
    <col min="12545" max="12545" width="6.140625" style="671" customWidth="1"/>
    <col min="12546" max="12546" width="46.85546875" style="671" customWidth="1"/>
    <col min="12547" max="12548" width="15.7109375" style="671" customWidth="1"/>
    <col min="12549" max="12549" width="13.85546875" style="671" customWidth="1"/>
    <col min="12550" max="12551" width="9.140625" style="671"/>
    <col min="12552" max="12553" width="0" style="671" hidden="1" customWidth="1"/>
    <col min="12554" max="12800" width="9.140625" style="671"/>
    <col min="12801" max="12801" width="6.140625" style="671" customWidth="1"/>
    <col min="12802" max="12802" width="46.85546875" style="671" customWidth="1"/>
    <col min="12803" max="12804" width="15.7109375" style="671" customWidth="1"/>
    <col min="12805" max="12805" width="13.85546875" style="671" customWidth="1"/>
    <col min="12806" max="12807" width="9.140625" style="671"/>
    <col min="12808" max="12809" width="0" style="671" hidden="1" customWidth="1"/>
    <col min="12810" max="13056" width="9.140625" style="671"/>
    <col min="13057" max="13057" width="6.140625" style="671" customWidth="1"/>
    <col min="13058" max="13058" width="46.85546875" style="671" customWidth="1"/>
    <col min="13059" max="13060" width="15.7109375" style="671" customWidth="1"/>
    <col min="13061" max="13061" width="13.85546875" style="671" customWidth="1"/>
    <col min="13062" max="13063" width="9.140625" style="671"/>
    <col min="13064" max="13065" width="0" style="671" hidden="1" customWidth="1"/>
    <col min="13066" max="13312" width="9.140625" style="671"/>
    <col min="13313" max="13313" width="6.140625" style="671" customWidth="1"/>
    <col min="13314" max="13314" width="46.85546875" style="671" customWidth="1"/>
    <col min="13315" max="13316" width="15.7109375" style="671" customWidth="1"/>
    <col min="13317" max="13317" width="13.85546875" style="671" customWidth="1"/>
    <col min="13318" max="13319" width="9.140625" style="671"/>
    <col min="13320" max="13321" width="0" style="671" hidden="1" customWidth="1"/>
    <col min="13322" max="13568" width="9.140625" style="671"/>
    <col min="13569" max="13569" width="6.140625" style="671" customWidth="1"/>
    <col min="13570" max="13570" width="46.85546875" style="671" customWidth="1"/>
    <col min="13571" max="13572" width="15.7109375" style="671" customWidth="1"/>
    <col min="13573" max="13573" width="13.85546875" style="671" customWidth="1"/>
    <col min="13574" max="13575" width="9.140625" style="671"/>
    <col min="13576" max="13577" width="0" style="671" hidden="1" customWidth="1"/>
    <col min="13578" max="13824" width="9.140625" style="671"/>
    <col min="13825" max="13825" width="6.140625" style="671" customWidth="1"/>
    <col min="13826" max="13826" width="46.85546875" style="671" customWidth="1"/>
    <col min="13827" max="13828" width="15.7109375" style="671" customWidth="1"/>
    <col min="13829" max="13829" width="13.85546875" style="671" customWidth="1"/>
    <col min="13830" max="13831" width="9.140625" style="671"/>
    <col min="13832" max="13833" width="0" style="671" hidden="1" customWidth="1"/>
    <col min="13834" max="14080" width="9.140625" style="671"/>
    <col min="14081" max="14081" width="6.140625" style="671" customWidth="1"/>
    <col min="14082" max="14082" width="46.85546875" style="671" customWidth="1"/>
    <col min="14083" max="14084" width="15.7109375" style="671" customWidth="1"/>
    <col min="14085" max="14085" width="13.85546875" style="671" customWidth="1"/>
    <col min="14086" max="14087" width="9.140625" style="671"/>
    <col min="14088" max="14089" width="0" style="671" hidden="1" customWidth="1"/>
    <col min="14090" max="14336" width="9.140625" style="671"/>
    <col min="14337" max="14337" width="6.140625" style="671" customWidth="1"/>
    <col min="14338" max="14338" width="46.85546875" style="671" customWidth="1"/>
    <col min="14339" max="14340" width="15.7109375" style="671" customWidth="1"/>
    <col min="14341" max="14341" width="13.85546875" style="671" customWidth="1"/>
    <col min="14342" max="14343" width="9.140625" style="671"/>
    <col min="14344" max="14345" width="0" style="671" hidden="1" customWidth="1"/>
    <col min="14346" max="14592" width="9.140625" style="671"/>
    <col min="14593" max="14593" width="6.140625" style="671" customWidth="1"/>
    <col min="14594" max="14594" width="46.85546875" style="671" customWidth="1"/>
    <col min="14595" max="14596" width="15.7109375" style="671" customWidth="1"/>
    <col min="14597" max="14597" width="13.85546875" style="671" customWidth="1"/>
    <col min="14598" max="14599" width="9.140625" style="671"/>
    <col min="14600" max="14601" width="0" style="671" hidden="1" customWidth="1"/>
    <col min="14602" max="14848" width="9.140625" style="671"/>
    <col min="14849" max="14849" width="6.140625" style="671" customWidth="1"/>
    <col min="14850" max="14850" width="46.85546875" style="671" customWidth="1"/>
    <col min="14851" max="14852" width="15.7109375" style="671" customWidth="1"/>
    <col min="14853" max="14853" width="13.85546875" style="671" customWidth="1"/>
    <col min="14854" max="14855" width="9.140625" style="671"/>
    <col min="14856" max="14857" width="0" style="671" hidden="1" customWidth="1"/>
    <col min="14858" max="15104" width="9.140625" style="671"/>
    <col min="15105" max="15105" width="6.140625" style="671" customWidth="1"/>
    <col min="15106" max="15106" width="46.85546875" style="671" customWidth="1"/>
    <col min="15107" max="15108" width="15.7109375" style="671" customWidth="1"/>
    <col min="15109" max="15109" width="13.85546875" style="671" customWidth="1"/>
    <col min="15110" max="15111" width="9.140625" style="671"/>
    <col min="15112" max="15113" width="0" style="671" hidden="1" customWidth="1"/>
    <col min="15114" max="15360" width="9.140625" style="671"/>
    <col min="15361" max="15361" width="6.140625" style="671" customWidth="1"/>
    <col min="15362" max="15362" width="46.85546875" style="671" customWidth="1"/>
    <col min="15363" max="15364" width="15.7109375" style="671" customWidth="1"/>
    <col min="15365" max="15365" width="13.85546875" style="671" customWidth="1"/>
    <col min="15366" max="15367" width="9.140625" style="671"/>
    <col min="15368" max="15369" width="0" style="671" hidden="1" customWidth="1"/>
    <col min="15370" max="15616" width="9.140625" style="671"/>
    <col min="15617" max="15617" width="6.140625" style="671" customWidth="1"/>
    <col min="15618" max="15618" width="46.85546875" style="671" customWidth="1"/>
    <col min="15619" max="15620" width="15.7109375" style="671" customWidth="1"/>
    <col min="15621" max="15621" width="13.85546875" style="671" customWidth="1"/>
    <col min="15622" max="15623" width="9.140625" style="671"/>
    <col min="15624" max="15625" width="0" style="671" hidden="1" customWidth="1"/>
    <col min="15626" max="15872" width="9.140625" style="671"/>
    <col min="15873" max="15873" width="6.140625" style="671" customWidth="1"/>
    <col min="15874" max="15874" width="46.85546875" style="671" customWidth="1"/>
    <col min="15875" max="15876" width="15.7109375" style="671" customWidth="1"/>
    <col min="15877" max="15877" width="13.85546875" style="671" customWidth="1"/>
    <col min="15878" max="15879" width="9.140625" style="671"/>
    <col min="15880" max="15881" width="0" style="671" hidden="1" customWidth="1"/>
    <col min="15882" max="16128" width="9.140625" style="671"/>
    <col min="16129" max="16129" width="6.140625" style="671" customWidth="1"/>
    <col min="16130" max="16130" width="46.85546875" style="671" customWidth="1"/>
    <col min="16131" max="16132" width="15.7109375" style="671" customWidth="1"/>
    <col min="16133" max="16133" width="13.85546875" style="671" customWidth="1"/>
    <col min="16134" max="16135" width="9.140625" style="671"/>
    <col min="16136" max="16137" width="0" style="671" hidden="1" customWidth="1"/>
    <col min="16138" max="16384" width="9.140625" style="671"/>
  </cols>
  <sheetData>
    <row r="1" spans="1:10" x14ac:dyDescent="0.2">
      <c r="E1" s="672" t="s">
        <v>982</v>
      </c>
    </row>
    <row r="2" spans="1:10" x14ac:dyDescent="0.2">
      <c r="E2" s="673"/>
    </row>
    <row r="3" spans="1:10" x14ac:dyDescent="0.2">
      <c r="E3" s="673"/>
    </row>
    <row r="4" spans="1:10" ht="19.5" x14ac:dyDescent="0.35">
      <c r="A4" s="759" t="s">
        <v>23</v>
      </c>
      <c r="B4" s="760"/>
      <c r="C4" s="760"/>
      <c r="D4" s="760"/>
      <c r="E4" s="760"/>
    </row>
    <row r="5" spans="1:10" ht="19.5" x14ac:dyDescent="0.35">
      <c r="A5" s="761" t="s">
        <v>1010</v>
      </c>
      <c r="B5" s="760"/>
      <c r="C5" s="760"/>
      <c r="D5" s="760"/>
      <c r="E5" s="760"/>
    </row>
    <row r="6" spans="1:10" ht="20.25" thickBot="1" x14ac:dyDescent="0.4">
      <c r="B6" s="670"/>
      <c r="C6" s="670"/>
      <c r="D6" s="670"/>
    </row>
    <row r="7" spans="1:10" s="677" customFormat="1" ht="16.5" thickBot="1" x14ac:dyDescent="0.25">
      <c r="A7" s="674"/>
      <c r="B7" s="675" t="s">
        <v>990</v>
      </c>
      <c r="C7" s="675" t="s">
        <v>40</v>
      </c>
      <c r="D7" s="675" t="s">
        <v>991</v>
      </c>
      <c r="E7" s="676" t="s">
        <v>43</v>
      </c>
    </row>
    <row r="8" spans="1:10" x14ac:dyDescent="0.2">
      <c r="A8" s="678" t="s">
        <v>992</v>
      </c>
      <c r="B8" s="679" t="s">
        <v>993</v>
      </c>
      <c r="C8" s="680">
        <v>1942805</v>
      </c>
      <c r="D8" s="680">
        <v>52814</v>
      </c>
      <c r="E8" s="681">
        <f>SUM(C8:D8)</f>
        <v>1995619</v>
      </c>
      <c r="G8" s="682"/>
    </row>
    <row r="9" spans="1:10" x14ac:dyDescent="0.2">
      <c r="A9" s="683" t="s">
        <v>994</v>
      </c>
      <c r="B9" s="684" t="s">
        <v>995</v>
      </c>
      <c r="C9" s="685">
        <v>1485533</v>
      </c>
      <c r="D9" s="685">
        <v>286828</v>
      </c>
      <c r="E9" s="686">
        <f>SUM(C9:D9)</f>
        <v>1772361</v>
      </c>
      <c r="F9" s="682"/>
      <c r="G9" s="682">
        <v>77513685</v>
      </c>
      <c r="H9" s="682">
        <v>77514</v>
      </c>
    </row>
    <row r="10" spans="1:10" x14ac:dyDescent="0.2">
      <c r="A10" s="687" t="s">
        <v>996</v>
      </c>
      <c r="B10" s="688" t="s">
        <v>997</v>
      </c>
      <c r="C10" s="689">
        <f>C8-C9</f>
        <v>457272</v>
      </c>
      <c r="D10" s="689">
        <f>D8-D9</f>
        <v>-234014</v>
      </c>
      <c r="E10" s="690">
        <f>E8-E9</f>
        <v>223258</v>
      </c>
      <c r="F10" s="691"/>
      <c r="G10" s="682">
        <v>8688546</v>
      </c>
      <c r="H10" s="682">
        <v>8688</v>
      </c>
    </row>
    <row r="11" spans="1:10" x14ac:dyDescent="0.2">
      <c r="A11" s="683" t="s">
        <v>998</v>
      </c>
      <c r="B11" s="684" t="s">
        <v>999</v>
      </c>
      <c r="C11" s="685">
        <v>386182</v>
      </c>
      <c r="D11" s="685">
        <v>242114</v>
      </c>
      <c r="E11" s="686">
        <f>SUM(C11:D11)</f>
        <v>628296</v>
      </c>
      <c r="F11" s="682"/>
      <c r="G11" s="682">
        <v>322778632</v>
      </c>
      <c r="H11" s="682">
        <v>322779</v>
      </c>
      <c r="J11" s="671">
        <v>322781</v>
      </c>
    </row>
    <row r="12" spans="1:10" x14ac:dyDescent="0.2">
      <c r="A12" s="683" t="s">
        <v>1000</v>
      </c>
      <c r="B12" s="684" t="s">
        <v>1001</v>
      </c>
      <c r="C12" s="685">
        <v>355941</v>
      </c>
      <c r="D12" s="685">
        <v>0</v>
      </c>
      <c r="E12" s="686">
        <f>SUM(C12:D12)</f>
        <v>355941</v>
      </c>
      <c r="F12" s="682"/>
      <c r="G12" s="682">
        <v>6186500</v>
      </c>
      <c r="H12" s="682">
        <v>6186</v>
      </c>
    </row>
    <row r="13" spans="1:10" ht="25.5" x14ac:dyDescent="0.2">
      <c r="A13" s="687" t="s">
        <v>1002</v>
      </c>
      <c r="B13" s="688" t="s">
        <v>1003</v>
      </c>
      <c r="C13" s="689">
        <f>C11-C12</f>
        <v>30241</v>
      </c>
      <c r="D13" s="689">
        <f>D11-D12</f>
        <v>242114</v>
      </c>
      <c r="E13" s="690">
        <f>E11-E12</f>
        <v>272355</v>
      </c>
      <c r="G13" s="682">
        <v>707463978</v>
      </c>
      <c r="H13" s="682">
        <v>707464</v>
      </c>
    </row>
    <row r="14" spans="1:10" hidden="1" x14ac:dyDescent="0.2">
      <c r="A14" s="687" t="s">
        <v>1004</v>
      </c>
      <c r="B14" s="688" t="s">
        <v>1005</v>
      </c>
      <c r="C14" s="689">
        <f>C10+C13</f>
        <v>487513</v>
      </c>
      <c r="D14" s="689">
        <f>D10+D13</f>
        <v>8100</v>
      </c>
      <c r="E14" s="690">
        <f>E10+E13</f>
        <v>495613</v>
      </c>
      <c r="G14" s="682"/>
      <c r="H14" s="682"/>
    </row>
    <row r="15" spans="1:10" x14ac:dyDescent="0.2">
      <c r="A15" s="687">
        <v>15</v>
      </c>
      <c r="B15" s="688" t="s">
        <v>1006</v>
      </c>
      <c r="C15" s="689">
        <f>C14</f>
        <v>487513</v>
      </c>
      <c r="D15" s="689">
        <f>D14</f>
        <v>8100</v>
      </c>
      <c r="E15" s="690">
        <f>E14</f>
        <v>495613</v>
      </c>
      <c r="G15" s="682">
        <v>188134197</v>
      </c>
      <c r="H15" s="682">
        <v>188134</v>
      </c>
    </row>
    <row r="16" spans="1:10" ht="25.5" hidden="1" x14ac:dyDescent="0.2">
      <c r="A16" s="687" t="s">
        <v>1007</v>
      </c>
      <c r="B16" s="688" t="s">
        <v>1008</v>
      </c>
      <c r="C16" s="692">
        <v>0</v>
      </c>
      <c r="D16" s="692">
        <v>0</v>
      </c>
      <c r="E16" s="693">
        <f>SUM(C16:D16)</f>
        <v>0</v>
      </c>
      <c r="G16" s="682"/>
      <c r="H16" s="682"/>
    </row>
    <row r="17" spans="1:8" ht="13.5" thickBot="1" x14ac:dyDescent="0.25">
      <c r="A17" s="694">
        <v>17</v>
      </c>
      <c r="B17" s="695" t="s">
        <v>1009</v>
      </c>
      <c r="C17" s="696">
        <f>C14-C16</f>
        <v>487513</v>
      </c>
      <c r="D17" s="696">
        <f>D14-D16</f>
        <v>8100</v>
      </c>
      <c r="E17" s="697">
        <f>E14-E16</f>
        <v>495613</v>
      </c>
      <c r="G17" s="682">
        <v>172659030</v>
      </c>
      <c r="H17" s="682">
        <v>172659</v>
      </c>
    </row>
    <row r="18" spans="1:8" ht="13.5" thickBot="1" x14ac:dyDescent="0.25">
      <c r="G18" s="682">
        <f>SUM(G9:G17)</f>
        <v>1483424568</v>
      </c>
      <c r="H18" s="682">
        <f>SUM(H9:H17)</f>
        <v>1483424</v>
      </c>
    </row>
    <row r="19" spans="1:8" ht="16.5" thickBot="1" x14ac:dyDescent="0.25">
      <c r="A19" s="674"/>
      <c r="B19" s="675" t="s">
        <v>990</v>
      </c>
      <c r="C19" s="675" t="s">
        <v>40</v>
      </c>
      <c r="D19" s="675" t="s">
        <v>991</v>
      </c>
      <c r="E19" s="676" t="s">
        <v>43</v>
      </c>
    </row>
    <row r="20" spans="1:8" x14ac:dyDescent="0.2">
      <c r="A20" s="678" t="s">
        <v>992</v>
      </c>
      <c r="B20" s="679" t="s">
        <v>993</v>
      </c>
      <c r="C20" s="680">
        <f>1942804751+20</f>
        <v>1942804771</v>
      </c>
      <c r="D20" s="680">
        <f>4504+1280000+51529739</f>
        <v>52814243</v>
      </c>
      <c r="E20" s="681">
        <f>SUM(C20:D20)</f>
        <v>1995619014</v>
      </c>
      <c r="G20" s="682">
        <f>C9+C12-240067</f>
        <v>1601407</v>
      </c>
      <c r="H20" s="682">
        <f>G20+D9</f>
        <v>1888235</v>
      </c>
    </row>
    <row r="21" spans="1:8" x14ac:dyDescent="0.2">
      <c r="A21" s="683" t="s">
        <v>994</v>
      </c>
      <c r="B21" s="684" t="s">
        <v>995</v>
      </c>
      <c r="C21" s="685">
        <v>1485533444</v>
      </c>
      <c r="D21" s="685">
        <v>286827934</v>
      </c>
      <c r="E21" s="686">
        <f>SUM(C21:D21)</f>
        <v>1772361378</v>
      </c>
    </row>
    <row r="22" spans="1:8" x14ac:dyDescent="0.2">
      <c r="A22" s="687" t="s">
        <v>996</v>
      </c>
      <c r="B22" s="688" t="s">
        <v>997</v>
      </c>
      <c r="C22" s="689">
        <f>C20-C21</f>
        <v>457271327</v>
      </c>
      <c r="D22" s="689">
        <f>D20-D21</f>
        <v>-234013691</v>
      </c>
      <c r="E22" s="690">
        <f>E20-E21</f>
        <v>223257636</v>
      </c>
      <c r="G22" s="682">
        <f>E8+E11</f>
        <v>2623915</v>
      </c>
    </row>
    <row r="23" spans="1:8" x14ac:dyDescent="0.2">
      <c r="A23" s="683" t="s">
        <v>998</v>
      </c>
      <c r="B23" s="684" t="s">
        <v>999</v>
      </c>
      <c r="C23" s="685">
        <v>386181798</v>
      </c>
      <c r="D23" s="685">
        <v>242114011</v>
      </c>
      <c r="E23" s="686">
        <f>SUM(C23:D23)</f>
        <v>628295809</v>
      </c>
      <c r="G23" s="682">
        <f>G22-240067</f>
        <v>2383848</v>
      </c>
      <c r="H23" s="682">
        <f>G23-H20</f>
        <v>495613</v>
      </c>
    </row>
    <row r="24" spans="1:8" x14ac:dyDescent="0.2">
      <c r="A24" s="683" t="s">
        <v>1000</v>
      </c>
      <c r="B24" s="684" t="s">
        <v>1001</v>
      </c>
      <c r="C24" s="685">
        <v>355940508</v>
      </c>
      <c r="D24" s="685">
        <v>0</v>
      </c>
      <c r="E24" s="686">
        <f>SUM(C24:D24)</f>
        <v>355940508</v>
      </c>
    </row>
    <row r="25" spans="1:8" ht="25.5" x14ac:dyDescent="0.2">
      <c r="A25" s="687" t="s">
        <v>1002</v>
      </c>
      <c r="B25" s="688" t="s">
        <v>1003</v>
      </c>
      <c r="C25" s="689">
        <f>C23-C24</f>
        <v>30241290</v>
      </c>
      <c r="D25" s="689">
        <f>D23-D24</f>
        <v>242114011</v>
      </c>
      <c r="E25" s="690">
        <f>E23-E24</f>
        <v>272355301</v>
      </c>
    </row>
    <row r="26" spans="1:8" x14ac:dyDescent="0.2">
      <c r="A26" s="687" t="s">
        <v>1004</v>
      </c>
      <c r="B26" s="688" t="s">
        <v>1005</v>
      </c>
      <c r="C26" s="689">
        <f>C22+C25</f>
        <v>487512617</v>
      </c>
      <c r="D26" s="689">
        <f>D22+D25</f>
        <v>8100320</v>
      </c>
      <c r="E26" s="690">
        <f>E22+E25</f>
        <v>495612937</v>
      </c>
    </row>
    <row r="27" spans="1:8" x14ac:dyDescent="0.2">
      <c r="A27" s="687">
        <v>15</v>
      </c>
      <c r="B27" s="688" t="s">
        <v>1006</v>
      </c>
      <c r="C27" s="689">
        <f>C26</f>
        <v>487512617</v>
      </c>
      <c r="D27" s="689">
        <f>D26</f>
        <v>8100320</v>
      </c>
      <c r="E27" s="690">
        <f>E26</f>
        <v>495612937</v>
      </c>
    </row>
    <row r="28" spans="1:8" ht="25.5" x14ac:dyDescent="0.2">
      <c r="A28" s="687" t="s">
        <v>1007</v>
      </c>
      <c r="B28" s="688" t="s">
        <v>1008</v>
      </c>
      <c r="C28" s="692">
        <v>0</v>
      </c>
      <c r="D28" s="692">
        <v>0</v>
      </c>
      <c r="E28" s="693">
        <f>SUM(C28:D28)</f>
        <v>0</v>
      </c>
    </row>
    <row r="29" spans="1:8" ht="13.5" thickBot="1" x14ac:dyDescent="0.25">
      <c r="A29" s="694">
        <v>17</v>
      </c>
      <c r="B29" s="695" t="s">
        <v>1009</v>
      </c>
      <c r="C29" s="696">
        <f>C26-C28</f>
        <v>487512617</v>
      </c>
      <c r="D29" s="696">
        <f>D26-D28</f>
        <v>8100320</v>
      </c>
      <c r="E29" s="697">
        <f>E26-E28</f>
        <v>495612937</v>
      </c>
    </row>
  </sheetData>
  <mergeCells count="2">
    <mergeCell ref="A4:E4"/>
    <mergeCell ref="A5:E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744"/>
  <sheetViews>
    <sheetView zoomScaleNormal="100" zoomScaleSheetLayoutView="100" workbookViewId="0">
      <selection activeCell="A7" sqref="A7"/>
    </sheetView>
  </sheetViews>
  <sheetFormatPr defaultRowHeight="12.75" x14ac:dyDescent="0.2"/>
  <cols>
    <col min="1" max="1" width="6.28515625" style="2" customWidth="1"/>
    <col min="2" max="2" width="95.5703125" customWidth="1"/>
    <col min="3" max="3" width="10.5703125" style="9" customWidth="1"/>
    <col min="4" max="4" width="15.28515625" style="35" customWidth="1"/>
    <col min="5" max="5" width="9.140625" style="35" customWidth="1"/>
    <col min="6" max="6" width="15.85546875" style="35" customWidth="1"/>
    <col min="7" max="7" width="7.85546875" style="35" hidden="1" customWidth="1"/>
    <col min="8" max="8" width="15.7109375" style="35" hidden="1" customWidth="1"/>
    <col min="9" max="9" width="7.85546875" style="35" hidden="1" customWidth="1"/>
    <col min="10" max="10" width="13.5703125" style="35" hidden="1" customWidth="1"/>
    <col min="11" max="11" width="7.85546875" style="35" hidden="1" customWidth="1"/>
    <col min="12" max="13" width="13.5703125" style="35" hidden="1" customWidth="1"/>
    <col min="15" max="15" width="0" hidden="1" customWidth="1"/>
    <col min="16" max="16" width="10.85546875" hidden="1" customWidth="1"/>
    <col min="17" max="17" width="10.5703125" hidden="1" customWidth="1"/>
    <col min="18" max="22" width="9.140625" hidden="1" customWidth="1"/>
  </cols>
  <sheetData>
    <row r="1" spans="1:19" ht="15" customHeight="1" x14ac:dyDescent="0.3">
      <c r="A1" s="54"/>
      <c r="B1" s="32"/>
      <c r="C1" s="536"/>
      <c r="E1" s="171"/>
      <c r="F1" s="171" t="s">
        <v>501</v>
      </c>
      <c r="N1" s="2"/>
      <c r="O1" s="2"/>
      <c r="P1" s="2"/>
      <c r="Q1" s="2"/>
      <c r="R1" s="2"/>
      <c r="S1" s="2"/>
    </row>
    <row r="2" spans="1:19" ht="13.5" customHeight="1" x14ac:dyDescent="0.3">
      <c r="A2" s="54"/>
      <c r="B2" s="32"/>
      <c r="C2" s="536"/>
      <c r="E2" s="171"/>
      <c r="F2" s="171" t="str">
        <f>'1.Bev-kiad.'!F2</f>
        <v>a 12/2026.(X.2.) önkormányzati rendelethez</v>
      </c>
      <c r="N2" s="2"/>
      <c r="O2" s="2"/>
      <c r="P2" s="2"/>
      <c r="Q2" s="2"/>
      <c r="R2" s="2"/>
      <c r="S2" s="2"/>
    </row>
    <row r="3" spans="1:19" ht="15" customHeight="1" x14ac:dyDescent="0.3">
      <c r="A3" s="54"/>
      <c r="B3" s="32"/>
      <c r="C3" s="536"/>
      <c r="E3" s="171"/>
      <c r="F3" s="171" t="s">
        <v>1137</v>
      </c>
      <c r="L3" s="171"/>
      <c r="N3" s="2"/>
      <c r="O3" s="2"/>
      <c r="P3" s="2"/>
      <c r="Q3" s="2"/>
      <c r="R3" s="2"/>
      <c r="S3" s="2"/>
    </row>
    <row r="4" spans="1:19" ht="19.5" x14ac:dyDescent="0.35">
      <c r="A4" s="759" t="s">
        <v>23</v>
      </c>
      <c r="B4" s="759"/>
      <c r="C4" s="759"/>
      <c r="D4" s="759"/>
      <c r="E4" s="759"/>
      <c r="F4" s="759"/>
      <c r="G4" s="759"/>
      <c r="H4" s="759"/>
      <c r="I4" s="759"/>
      <c r="J4" s="759"/>
      <c r="K4" s="759"/>
      <c r="L4" s="759"/>
      <c r="M4"/>
      <c r="N4" s="2"/>
      <c r="O4" s="2"/>
      <c r="P4" s="2"/>
      <c r="Q4" s="2"/>
      <c r="R4" s="2"/>
      <c r="S4" s="2"/>
    </row>
    <row r="5" spans="1:19" ht="19.5" x14ac:dyDescent="0.35">
      <c r="A5" s="759" t="s">
        <v>1133</v>
      </c>
      <c r="B5" s="759"/>
      <c r="C5" s="759"/>
      <c r="D5" s="759"/>
      <c r="E5" s="759"/>
      <c r="F5" s="759"/>
      <c r="G5" s="759"/>
      <c r="H5" s="759"/>
      <c r="I5" s="759"/>
      <c r="J5" s="759"/>
      <c r="K5" s="759"/>
      <c r="L5" s="759"/>
      <c r="M5"/>
      <c r="N5" s="2"/>
      <c r="O5" s="2"/>
      <c r="P5" s="2"/>
      <c r="Q5" s="2"/>
      <c r="R5" s="2"/>
      <c r="S5" s="2"/>
    </row>
    <row r="6" spans="1:19" ht="13.5" thickBot="1" x14ac:dyDescent="0.25">
      <c r="A6" s="54"/>
      <c r="B6" s="1"/>
      <c r="C6" s="537"/>
      <c r="E6" s="55"/>
      <c r="F6" s="55" t="s">
        <v>0</v>
      </c>
      <c r="N6" s="2"/>
      <c r="O6" s="2"/>
      <c r="P6" s="2"/>
      <c r="Q6" s="2"/>
      <c r="R6" s="2"/>
      <c r="S6" s="2"/>
    </row>
    <row r="7" spans="1:19" ht="49.5" customHeight="1" thickBot="1" x14ac:dyDescent="0.25">
      <c r="A7" s="207" t="s">
        <v>108</v>
      </c>
      <c r="B7" s="43" t="s">
        <v>198</v>
      </c>
      <c r="C7" s="538" t="str">
        <f>'1.Bev-kiad.'!C8</f>
        <v>2025. évi teljesítés</v>
      </c>
      <c r="D7" s="43" t="str">
        <f>'1.Bev-kiad.'!D8</f>
        <v xml:space="preserve">2026. évi eredeti előirányzat </v>
      </c>
      <c r="E7" s="532" t="s">
        <v>910</v>
      </c>
      <c r="F7" s="43" t="str">
        <f>'1.Bev-kiad.'!F8</f>
        <v>Módosított előirányzat 2026.10.havi</v>
      </c>
      <c r="G7" s="532" t="s">
        <v>910</v>
      </c>
      <c r="H7" s="43">
        <f>'1.Bev-kiad.'!H8</f>
        <v>0</v>
      </c>
      <c r="I7" s="532" t="s">
        <v>910</v>
      </c>
      <c r="J7" s="43">
        <f>'1.Bev-kiad.'!J8</f>
        <v>0</v>
      </c>
      <c r="K7" s="532" t="s">
        <v>910</v>
      </c>
      <c r="L7" s="43">
        <f>'1.Bev-kiad.'!L8</f>
        <v>0</v>
      </c>
      <c r="M7" s="44">
        <f>'1.Bev-kiad.'!M8</f>
        <v>0</v>
      </c>
      <c r="N7" s="2"/>
      <c r="O7" s="2"/>
      <c r="P7" s="2"/>
      <c r="Q7" s="2"/>
      <c r="R7" s="2"/>
      <c r="S7" s="2"/>
    </row>
    <row r="8" spans="1:19" ht="20.25" customHeight="1" x14ac:dyDescent="0.2">
      <c r="A8" s="140" t="s">
        <v>109</v>
      </c>
      <c r="B8" s="215" t="s">
        <v>301</v>
      </c>
      <c r="C8" s="539">
        <f>SUM(C13+C28+C34)</f>
        <v>405885</v>
      </c>
      <c r="D8" s="163">
        <f>SUM(D13+D28+D34)</f>
        <v>566937</v>
      </c>
      <c r="E8" s="533">
        <f>F8-D8</f>
        <v>51706</v>
      </c>
      <c r="F8" s="163">
        <f>SUM(F13+F28+F34)</f>
        <v>618643</v>
      </c>
      <c r="G8" s="533">
        <f>H8-F8</f>
        <v>-618643</v>
      </c>
      <c r="H8" s="163">
        <f>SUM(H13+H28+H34)</f>
        <v>0</v>
      </c>
      <c r="I8" s="533">
        <f>J8-H8</f>
        <v>0</v>
      </c>
      <c r="J8" s="163">
        <f>SUM(J13+J28+J34)</f>
        <v>0</v>
      </c>
      <c r="K8" s="533">
        <f>L8-J8</f>
        <v>0</v>
      </c>
      <c r="L8" s="163">
        <f>SUM(L13+L28+L34)</f>
        <v>0</v>
      </c>
      <c r="M8" s="163">
        <f>SUM(M13+M28+M34)</f>
        <v>0</v>
      </c>
      <c r="N8" s="2"/>
      <c r="O8" s="2"/>
      <c r="P8" s="2"/>
      <c r="Q8" s="2"/>
      <c r="R8" s="2"/>
      <c r="S8" s="2"/>
    </row>
    <row r="9" spans="1:19" ht="12.75" hidden="1" customHeight="1" x14ac:dyDescent="0.2">
      <c r="A9" s="8" t="s">
        <v>112</v>
      </c>
      <c r="B9" s="8" t="s">
        <v>116</v>
      </c>
      <c r="C9" s="542"/>
      <c r="D9" s="6"/>
      <c r="E9" s="533">
        <f t="shared" ref="E9:E15" si="0">F9-D9</f>
        <v>0</v>
      </c>
      <c r="F9" s="6"/>
      <c r="G9" s="533">
        <f t="shared" ref="G9:K43" si="1">H9-F9</f>
        <v>0</v>
      </c>
      <c r="H9" s="6"/>
      <c r="I9" s="533">
        <f t="shared" si="1"/>
        <v>0</v>
      </c>
      <c r="J9" s="6"/>
      <c r="K9" s="533">
        <f t="shared" si="1"/>
        <v>0</v>
      </c>
      <c r="L9" s="6"/>
      <c r="M9" s="6"/>
      <c r="N9" s="2"/>
      <c r="O9" s="2"/>
      <c r="P9" s="2"/>
      <c r="Q9" s="2"/>
      <c r="R9" s="2"/>
      <c r="S9" s="2"/>
    </row>
    <row r="10" spans="1:19" ht="12.75" hidden="1" customHeight="1" x14ac:dyDescent="0.2">
      <c r="A10" s="8" t="s">
        <v>113</v>
      </c>
      <c r="B10" s="8" t="s">
        <v>117</v>
      </c>
      <c r="C10" s="186"/>
      <c r="D10" s="11"/>
      <c r="E10" s="533">
        <f t="shared" si="0"/>
        <v>0</v>
      </c>
      <c r="F10" s="11"/>
      <c r="G10" s="533">
        <f t="shared" si="1"/>
        <v>0</v>
      </c>
      <c r="H10" s="11"/>
      <c r="I10" s="533">
        <f t="shared" si="1"/>
        <v>0</v>
      </c>
      <c r="J10" s="11"/>
      <c r="K10" s="533">
        <f t="shared" si="1"/>
        <v>0</v>
      </c>
      <c r="L10" s="11"/>
      <c r="M10" s="11"/>
      <c r="N10" s="2"/>
      <c r="O10" s="2"/>
      <c r="P10" s="2"/>
      <c r="Q10" s="2"/>
      <c r="R10" s="2"/>
      <c r="S10" s="2"/>
    </row>
    <row r="11" spans="1:19" ht="12.75" hidden="1" customHeight="1" x14ac:dyDescent="0.2">
      <c r="A11" s="8" t="s">
        <v>114</v>
      </c>
      <c r="B11" s="8" t="s">
        <v>118</v>
      </c>
      <c r="C11" s="186"/>
      <c r="D11" s="11"/>
      <c r="E11" s="533">
        <f t="shared" si="0"/>
        <v>0</v>
      </c>
      <c r="F11" s="11"/>
      <c r="G11" s="533">
        <f t="shared" si="1"/>
        <v>0</v>
      </c>
      <c r="H11" s="11"/>
      <c r="I11" s="533">
        <f t="shared" si="1"/>
        <v>0</v>
      </c>
      <c r="J11" s="11"/>
      <c r="K11" s="533">
        <f t="shared" si="1"/>
        <v>0</v>
      </c>
      <c r="L11" s="11"/>
      <c r="M11" s="11"/>
      <c r="N11" s="2"/>
      <c r="O11" s="2"/>
      <c r="P11" s="2"/>
      <c r="Q11" s="2"/>
      <c r="R11" s="2"/>
      <c r="S11" s="2"/>
    </row>
    <row r="12" spans="1:19" ht="12.75" hidden="1" customHeight="1" x14ac:dyDescent="0.2">
      <c r="A12" s="8" t="s">
        <v>115</v>
      </c>
      <c r="B12" s="8" t="s">
        <v>120</v>
      </c>
      <c r="C12" s="186"/>
      <c r="D12" s="11"/>
      <c r="E12" s="533">
        <f t="shared" si="0"/>
        <v>0</v>
      </c>
      <c r="F12" s="11"/>
      <c r="G12" s="533">
        <f t="shared" si="1"/>
        <v>0</v>
      </c>
      <c r="H12" s="11"/>
      <c r="I12" s="533">
        <f t="shared" si="1"/>
        <v>0</v>
      </c>
      <c r="J12" s="11"/>
      <c r="K12" s="533">
        <f t="shared" si="1"/>
        <v>0</v>
      </c>
      <c r="L12" s="11"/>
      <c r="M12" s="11"/>
      <c r="N12" s="2"/>
      <c r="O12" s="2"/>
      <c r="P12" s="2"/>
      <c r="Q12" s="2"/>
      <c r="R12" s="2"/>
      <c r="S12" s="2"/>
    </row>
    <row r="13" spans="1:19" ht="18" customHeight="1" x14ac:dyDescent="0.25">
      <c r="A13" s="14" t="s">
        <v>121</v>
      </c>
      <c r="B13" s="22" t="s">
        <v>236</v>
      </c>
      <c r="C13" s="540">
        <f>C14+C23</f>
        <v>394384</v>
      </c>
      <c r="D13" s="36">
        <f>D14+D23</f>
        <v>526642</v>
      </c>
      <c r="E13" s="533">
        <f t="shared" si="0"/>
        <v>22225</v>
      </c>
      <c r="F13" s="36">
        <f>F14+F23</f>
        <v>548867</v>
      </c>
      <c r="G13" s="533">
        <f t="shared" si="1"/>
        <v>-548867</v>
      </c>
      <c r="H13" s="36">
        <f>H14+H23</f>
        <v>0</v>
      </c>
      <c r="I13" s="533">
        <f t="shared" si="1"/>
        <v>0</v>
      </c>
      <c r="J13" s="36">
        <f>J14+J23</f>
        <v>0</v>
      </c>
      <c r="K13" s="533">
        <f t="shared" si="1"/>
        <v>0</v>
      </c>
      <c r="L13" s="36">
        <f>L14+L23</f>
        <v>0</v>
      </c>
      <c r="M13" s="36">
        <f>M14+M23</f>
        <v>0</v>
      </c>
      <c r="N13" s="2"/>
      <c r="O13" s="2"/>
      <c r="P13" s="2"/>
      <c r="Q13" s="2"/>
      <c r="R13" s="2"/>
      <c r="S13" s="2"/>
    </row>
    <row r="14" spans="1:19" ht="13.5" customHeight="1" x14ac:dyDescent="0.2">
      <c r="A14" s="8"/>
      <c r="B14" s="8" t="s">
        <v>290</v>
      </c>
      <c r="C14" s="542">
        <v>50000</v>
      </c>
      <c r="D14" s="6">
        <f>SUM(D15:D22)</f>
        <v>25000</v>
      </c>
      <c r="E14" s="533">
        <f t="shared" si="0"/>
        <v>0</v>
      </c>
      <c r="F14" s="6">
        <f>SUM(F15:F22)</f>
        <v>25000</v>
      </c>
      <c r="G14" s="533">
        <f t="shared" si="1"/>
        <v>-25000</v>
      </c>
      <c r="H14" s="6">
        <f>SUM(H15:H22)</f>
        <v>0</v>
      </c>
      <c r="I14" s="533">
        <f t="shared" si="1"/>
        <v>0</v>
      </c>
      <c r="J14" s="6">
        <f>SUM(J15:J22)</f>
        <v>0</v>
      </c>
      <c r="K14" s="533">
        <f t="shared" si="1"/>
        <v>0</v>
      </c>
      <c r="L14" s="6">
        <f>SUM(L15:L22)</f>
        <v>0</v>
      </c>
      <c r="M14" s="6">
        <f>SUM(M15:M22)</f>
        <v>0</v>
      </c>
      <c r="N14" s="2"/>
      <c r="O14" s="2"/>
      <c r="P14" s="2"/>
      <c r="Q14" s="2"/>
      <c r="R14" s="2"/>
      <c r="S14" s="2"/>
    </row>
    <row r="15" spans="1:19" s="286" customFormat="1" ht="15.75" customHeight="1" x14ac:dyDescent="0.2">
      <c r="A15" s="535"/>
      <c r="B15" s="515" t="s">
        <v>1051</v>
      </c>
      <c r="C15" s="578">
        <v>0</v>
      </c>
      <c r="D15" s="157">
        <v>25000</v>
      </c>
      <c r="E15" s="533">
        <f t="shared" si="0"/>
        <v>0</v>
      </c>
      <c r="F15" s="157">
        <v>25000</v>
      </c>
      <c r="G15" s="533">
        <f t="shared" si="1"/>
        <v>-25000</v>
      </c>
      <c r="H15" s="157">
        <v>0</v>
      </c>
      <c r="I15" s="533">
        <f t="shared" si="1"/>
        <v>0</v>
      </c>
      <c r="J15" s="157">
        <v>0</v>
      </c>
      <c r="K15" s="533">
        <f t="shared" si="1"/>
        <v>0</v>
      </c>
      <c r="L15" s="157">
        <v>0</v>
      </c>
      <c r="M15" s="157">
        <v>0</v>
      </c>
      <c r="N15" s="366"/>
      <c r="O15" s="2"/>
      <c r="P15" s="66"/>
      <c r="Q15" s="66"/>
      <c r="R15" s="66"/>
      <c r="S15" s="66"/>
    </row>
    <row r="16" spans="1:19" ht="6" customHeight="1" x14ac:dyDescent="0.2">
      <c r="A16" s="8"/>
      <c r="B16" s="8" t="s">
        <v>606</v>
      </c>
      <c r="C16" s="217"/>
      <c r="D16" s="13"/>
      <c r="E16" s="533"/>
      <c r="F16" s="13"/>
      <c r="G16" s="533"/>
      <c r="H16" s="13"/>
      <c r="I16" s="533"/>
      <c r="J16" s="13"/>
      <c r="K16" s="533"/>
      <c r="L16" s="13"/>
      <c r="M16" s="13"/>
      <c r="N16" s="366"/>
      <c r="O16" s="2"/>
      <c r="P16" s="2"/>
      <c r="Q16" s="2"/>
      <c r="R16" s="2"/>
      <c r="S16" s="2"/>
    </row>
    <row r="17" spans="1:19" hidden="1" x14ac:dyDescent="0.2">
      <c r="A17" s="8"/>
      <c r="B17" s="8"/>
      <c r="C17" s="217"/>
      <c r="D17" s="13">
        <v>0</v>
      </c>
      <c r="E17" s="533"/>
      <c r="F17" s="13">
        <v>0</v>
      </c>
      <c r="G17" s="533">
        <f t="shared" si="1"/>
        <v>0</v>
      </c>
      <c r="H17" s="13">
        <v>0</v>
      </c>
      <c r="I17" s="533">
        <f t="shared" si="1"/>
        <v>0</v>
      </c>
      <c r="J17" s="13">
        <v>0</v>
      </c>
      <c r="K17" s="533">
        <f t="shared" si="1"/>
        <v>0</v>
      </c>
      <c r="L17" s="13">
        <v>0</v>
      </c>
      <c r="M17" s="13">
        <v>0</v>
      </c>
      <c r="N17" s="366"/>
      <c r="O17" s="2"/>
      <c r="P17" s="2"/>
      <c r="Q17" s="2"/>
      <c r="R17" s="2"/>
      <c r="S17" s="2"/>
    </row>
    <row r="18" spans="1:19" hidden="1" x14ac:dyDescent="0.2">
      <c r="A18" s="8"/>
      <c r="B18" s="8"/>
      <c r="C18" s="217"/>
      <c r="D18" s="13">
        <v>0</v>
      </c>
      <c r="E18" s="533"/>
      <c r="F18" s="13">
        <v>0</v>
      </c>
      <c r="G18" s="533">
        <f t="shared" si="1"/>
        <v>0</v>
      </c>
      <c r="H18" s="13">
        <v>0</v>
      </c>
      <c r="I18" s="533">
        <f t="shared" si="1"/>
        <v>0</v>
      </c>
      <c r="J18" s="13">
        <v>0</v>
      </c>
      <c r="K18" s="533">
        <f t="shared" si="1"/>
        <v>0</v>
      </c>
      <c r="L18" s="13">
        <v>0</v>
      </c>
      <c r="M18" s="13">
        <v>0</v>
      </c>
      <c r="N18" s="366"/>
      <c r="O18" s="2"/>
      <c r="P18" s="2"/>
      <c r="Q18" s="2"/>
      <c r="R18" s="2"/>
      <c r="S18" s="2"/>
    </row>
    <row r="19" spans="1:19" hidden="1" x14ac:dyDescent="0.2">
      <c r="A19" s="8"/>
      <c r="B19" s="8"/>
      <c r="C19" s="217"/>
      <c r="D19" s="13">
        <v>0</v>
      </c>
      <c r="E19" s="533"/>
      <c r="F19" s="13">
        <v>0</v>
      </c>
      <c r="G19" s="533">
        <f t="shared" si="1"/>
        <v>0</v>
      </c>
      <c r="H19" s="13">
        <v>0</v>
      </c>
      <c r="I19" s="533">
        <f t="shared" si="1"/>
        <v>0</v>
      </c>
      <c r="J19" s="13">
        <v>0</v>
      </c>
      <c r="K19" s="533">
        <f t="shared" si="1"/>
        <v>0</v>
      </c>
      <c r="L19" s="13">
        <v>0</v>
      </c>
      <c r="M19" s="13">
        <v>0</v>
      </c>
      <c r="N19" s="366"/>
      <c r="O19" s="2"/>
      <c r="P19" s="2"/>
      <c r="Q19" s="2"/>
      <c r="R19" s="2"/>
      <c r="S19" s="2"/>
    </row>
    <row r="20" spans="1:19" hidden="1" x14ac:dyDescent="0.2">
      <c r="A20" s="8"/>
      <c r="B20" s="8"/>
      <c r="C20" s="217"/>
      <c r="D20" s="13">
        <v>0</v>
      </c>
      <c r="E20" s="533"/>
      <c r="F20" s="13">
        <v>0</v>
      </c>
      <c r="G20" s="533">
        <f t="shared" si="1"/>
        <v>0</v>
      </c>
      <c r="H20" s="13">
        <v>0</v>
      </c>
      <c r="I20" s="533">
        <f t="shared" si="1"/>
        <v>0</v>
      </c>
      <c r="J20" s="13">
        <v>0</v>
      </c>
      <c r="K20" s="533">
        <f t="shared" si="1"/>
        <v>0</v>
      </c>
      <c r="L20" s="13">
        <v>0</v>
      </c>
      <c r="M20" s="13">
        <v>0</v>
      </c>
      <c r="N20" s="366"/>
      <c r="O20" s="2"/>
      <c r="P20" s="2"/>
      <c r="Q20" s="2"/>
      <c r="R20" s="2"/>
      <c r="S20" s="2"/>
    </row>
    <row r="21" spans="1:19" hidden="1" x14ac:dyDescent="0.2">
      <c r="A21" s="8"/>
      <c r="B21" s="8"/>
      <c r="C21" s="217"/>
      <c r="D21" s="13"/>
      <c r="E21" s="533"/>
      <c r="F21" s="13"/>
      <c r="G21" s="533">
        <f t="shared" si="1"/>
        <v>0</v>
      </c>
      <c r="H21" s="13"/>
      <c r="I21" s="533">
        <f t="shared" si="1"/>
        <v>0</v>
      </c>
      <c r="J21" s="13"/>
      <c r="K21" s="533">
        <f t="shared" si="1"/>
        <v>0</v>
      </c>
      <c r="L21" s="13"/>
      <c r="M21" s="13"/>
      <c r="N21" s="366"/>
      <c r="O21" s="2"/>
      <c r="P21" s="2"/>
      <c r="Q21" s="2"/>
      <c r="R21" s="2"/>
      <c r="S21" s="2"/>
    </row>
    <row r="22" spans="1:19" hidden="1" x14ac:dyDescent="0.2">
      <c r="A22" s="8"/>
      <c r="B22" s="8"/>
      <c r="C22" s="217"/>
      <c r="D22" s="13"/>
      <c r="E22" s="533"/>
      <c r="F22" s="13"/>
      <c r="G22" s="533">
        <f t="shared" si="1"/>
        <v>0</v>
      </c>
      <c r="H22" s="13"/>
      <c r="I22" s="533">
        <f t="shared" si="1"/>
        <v>0</v>
      </c>
      <c r="J22" s="13"/>
      <c r="K22" s="533">
        <f t="shared" si="1"/>
        <v>0</v>
      </c>
      <c r="L22" s="13"/>
      <c r="M22" s="13"/>
      <c r="N22" s="366"/>
      <c r="O22" s="2"/>
      <c r="P22" s="2"/>
      <c r="Q22" s="2"/>
      <c r="R22" s="2"/>
      <c r="S22" s="2"/>
    </row>
    <row r="23" spans="1:19" x14ac:dyDescent="0.2">
      <c r="A23" s="8"/>
      <c r="B23" s="8" t="s">
        <v>291</v>
      </c>
      <c r="C23" s="542">
        <v>344384</v>
      </c>
      <c r="D23" s="6">
        <f>SUM(D24:D27)</f>
        <v>501642</v>
      </c>
      <c r="E23" s="533">
        <f>F23-D23</f>
        <v>22225</v>
      </c>
      <c r="F23" s="6">
        <f>SUM(F24:F27)</f>
        <v>523867</v>
      </c>
      <c r="G23" s="533">
        <f t="shared" si="1"/>
        <v>-523867</v>
      </c>
      <c r="H23" s="6">
        <f>SUM(H24:H27)</f>
        <v>0</v>
      </c>
      <c r="I23" s="533">
        <f t="shared" si="1"/>
        <v>0</v>
      </c>
      <c r="J23" s="6">
        <f>SUM(J24:J27)</f>
        <v>0</v>
      </c>
      <c r="K23" s="533">
        <f t="shared" si="1"/>
        <v>0</v>
      </c>
      <c r="L23" s="6">
        <f>SUM(L24:L27)</f>
        <v>0</v>
      </c>
      <c r="M23" s="6">
        <f>SUM(M24:M27)</f>
        <v>0</v>
      </c>
      <c r="N23" s="366"/>
      <c r="O23" s="2"/>
      <c r="P23" s="2"/>
      <c r="Q23" s="2"/>
      <c r="R23" s="2"/>
      <c r="S23" s="2"/>
    </row>
    <row r="24" spans="1:19" s="286" customFormat="1" ht="25.5" x14ac:dyDescent="0.2">
      <c r="A24" s="535"/>
      <c r="B24" s="515" t="s">
        <v>1154</v>
      </c>
      <c r="C24" s="578"/>
      <c r="D24" s="157">
        <v>0</v>
      </c>
      <c r="E24" s="533">
        <f t="shared" ref="E24:E25" si="2">F24-D24</f>
        <v>22225</v>
      </c>
      <c r="F24" s="157">
        <v>22225</v>
      </c>
      <c r="G24" s="533">
        <f t="shared" si="1"/>
        <v>-22225</v>
      </c>
      <c r="H24" s="157">
        <v>0</v>
      </c>
      <c r="I24" s="533">
        <f t="shared" si="1"/>
        <v>0</v>
      </c>
      <c r="J24" s="157">
        <v>0</v>
      </c>
      <c r="K24" s="533">
        <f t="shared" si="1"/>
        <v>0</v>
      </c>
      <c r="L24" s="157">
        <v>0</v>
      </c>
      <c r="M24" s="157">
        <v>0</v>
      </c>
      <c r="N24" s="366"/>
      <c r="O24" s="66"/>
      <c r="P24" s="66"/>
      <c r="R24" s="66"/>
      <c r="S24" s="66"/>
    </row>
    <row r="25" spans="1:19" x14ac:dyDescent="0.2">
      <c r="A25" s="8"/>
      <c r="B25" s="19" t="s">
        <v>850</v>
      </c>
      <c r="C25" s="548"/>
      <c r="D25" s="13">
        <v>501642</v>
      </c>
      <c r="E25" s="533">
        <f t="shared" si="2"/>
        <v>0</v>
      </c>
      <c r="F25" s="13">
        <v>501642</v>
      </c>
      <c r="G25" s="533">
        <f t="shared" si="1"/>
        <v>-501642</v>
      </c>
      <c r="H25" s="13">
        <v>0</v>
      </c>
      <c r="I25" s="533">
        <f t="shared" si="1"/>
        <v>0</v>
      </c>
      <c r="J25" s="13">
        <v>0</v>
      </c>
      <c r="K25" s="533">
        <f t="shared" si="1"/>
        <v>0</v>
      </c>
      <c r="L25" s="13">
        <v>0</v>
      </c>
      <c r="M25" s="13">
        <v>0</v>
      </c>
      <c r="N25" s="366"/>
      <c r="O25" s="2"/>
      <c r="P25" s="2" t="s">
        <v>1040</v>
      </c>
      <c r="R25" s="2"/>
      <c r="S25" s="701"/>
    </row>
    <row r="26" spans="1:19" ht="25.5" hidden="1" x14ac:dyDescent="0.2">
      <c r="A26" s="8"/>
      <c r="B26" s="19" t="s">
        <v>855</v>
      </c>
      <c r="C26" s="548"/>
      <c r="D26" s="157">
        <v>0</v>
      </c>
      <c r="E26" s="533"/>
      <c r="F26" s="157">
        <v>0</v>
      </c>
      <c r="G26" s="533">
        <f t="shared" si="1"/>
        <v>0</v>
      </c>
      <c r="H26" s="157">
        <v>0</v>
      </c>
      <c r="I26" s="533">
        <f t="shared" si="1"/>
        <v>0</v>
      </c>
      <c r="J26" s="157">
        <v>0</v>
      </c>
      <c r="K26" s="533">
        <f t="shared" si="1"/>
        <v>0</v>
      </c>
      <c r="L26" s="157">
        <v>0</v>
      </c>
      <c r="M26" s="157">
        <v>0</v>
      </c>
      <c r="N26" s="366"/>
      <c r="O26" s="2"/>
      <c r="P26" s="2">
        <f>626867319-25984200-99241390</f>
        <v>501641729</v>
      </c>
      <c r="R26" s="2"/>
      <c r="S26" s="701"/>
    </row>
    <row r="27" spans="1:19" ht="6.75" customHeight="1" x14ac:dyDescent="0.2">
      <c r="A27" s="8"/>
      <c r="B27" s="8"/>
      <c r="C27" s="217"/>
      <c r="D27" s="13"/>
      <c r="E27" s="533"/>
      <c r="F27" s="13"/>
      <c r="G27" s="533"/>
      <c r="H27" s="13"/>
      <c r="I27" s="533"/>
      <c r="J27" s="13"/>
      <c r="K27" s="533"/>
      <c r="L27" s="13"/>
      <c r="M27" s="13"/>
      <c r="N27" s="366"/>
      <c r="O27" s="2"/>
      <c r="P27" s="2"/>
      <c r="Q27" s="2"/>
      <c r="R27" s="2"/>
      <c r="S27" s="2"/>
    </row>
    <row r="28" spans="1:19" ht="17.25" customHeight="1" x14ac:dyDescent="0.25">
      <c r="A28" s="14" t="s">
        <v>168</v>
      </c>
      <c r="B28" s="22" t="s">
        <v>237</v>
      </c>
      <c r="C28" s="540">
        <f>SUM(C29:C33)</f>
        <v>400</v>
      </c>
      <c r="D28" s="36">
        <f>SUM(D29:D33)</f>
        <v>30000</v>
      </c>
      <c r="E28" s="533">
        <f>F28-D28</f>
        <v>29481</v>
      </c>
      <c r="F28" s="36">
        <f>SUM(F29:F33)</f>
        <v>59481</v>
      </c>
      <c r="G28" s="533">
        <f t="shared" si="1"/>
        <v>-59481</v>
      </c>
      <c r="H28" s="36">
        <f>SUM(H29:H33)</f>
        <v>0</v>
      </c>
      <c r="I28" s="533">
        <f t="shared" si="1"/>
        <v>0</v>
      </c>
      <c r="J28" s="36">
        <f>SUM(J29:J33)</f>
        <v>0</v>
      </c>
      <c r="K28" s="533">
        <f t="shared" si="1"/>
        <v>0</v>
      </c>
      <c r="L28" s="36">
        <f>SUM(L29:L33)</f>
        <v>0</v>
      </c>
      <c r="M28" s="36">
        <f>SUM(M29:M33)</f>
        <v>0</v>
      </c>
      <c r="N28" s="366"/>
      <c r="O28" s="2"/>
      <c r="P28" s="2"/>
      <c r="Q28" s="2"/>
      <c r="R28" s="2"/>
      <c r="S28" s="2"/>
    </row>
    <row r="29" spans="1:19" ht="13.5" customHeight="1" x14ac:dyDescent="0.2">
      <c r="A29" s="8" t="s">
        <v>169</v>
      </c>
      <c r="B29" s="19" t="s">
        <v>363</v>
      </c>
      <c r="C29" s="548">
        <v>0</v>
      </c>
      <c r="D29" s="11">
        <v>0</v>
      </c>
      <c r="E29" s="533">
        <f t="shared" ref="E29:E44" si="3">F29-D29</f>
        <v>0</v>
      </c>
      <c r="F29" s="11">
        <v>0</v>
      </c>
      <c r="G29" s="533">
        <f t="shared" si="1"/>
        <v>0</v>
      </c>
      <c r="H29" s="11">
        <v>0</v>
      </c>
      <c r="I29" s="533">
        <f t="shared" si="1"/>
        <v>0</v>
      </c>
      <c r="J29" s="11">
        <v>0</v>
      </c>
      <c r="K29" s="533">
        <f t="shared" si="1"/>
        <v>0</v>
      </c>
      <c r="L29" s="11">
        <v>0</v>
      </c>
      <c r="M29" s="11">
        <v>0</v>
      </c>
      <c r="N29" s="366"/>
      <c r="O29" s="2"/>
      <c r="P29" s="2"/>
      <c r="Q29" s="2"/>
      <c r="R29" s="2"/>
      <c r="S29" s="2"/>
    </row>
    <row r="30" spans="1:19" ht="13.5" customHeight="1" x14ac:dyDescent="0.2">
      <c r="A30" s="8" t="s">
        <v>170</v>
      </c>
      <c r="B30" s="19" t="s">
        <v>1258</v>
      </c>
      <c r="C30" s="166">
        <v>0</v>
      </c>
      <c r="D30" s="13">
        <v>30000</v>
      </c>
      <c r="E30" s="533">
        <f t="shared" si="3"/>
        <v>29481</v>
      </c>
      <c r="F30" s="13">
        <f>30000+5000+24481</f>
        <v>59481</v>
      </c>
      <c r="G30" s="533">
        <f t="shared" si="1"/>
        <v>-59481</v>
      </c>
      <c r="H30" s="13">
        <v>0</v>
      </c>
      <c r="I30" s="533">
        <f t="shared" si="1"/>
        <v>0</v>
      </c>
      <c r="J30" s="13">
        <v>0</v>
      </c>
      <c r="K30" s="533">
        <f t="shared" si="1"/>
        <v>0</v>
      </c>
      <c r="L30" s="13">
        <v>0</v>
      </c>
      <c r="M30" s="13">
        <v>0</v>
      </c>
      <c r="N30" s="366"/>
      <c r="O30" s="2"/>
      <c r="P30" s="2"/>
      <c r="Q30" s="2"/>
      <c r="R30" s="2"/>
      <c r="S30" s="2"/>
    </row>
    <row r="31" spans="1:19" ht="13.5" customHeight="1" x14ac:dyDescent="0.2">
      <c r="A31" s="8" t="s">
        <v>171</v>
      </c>
      <c r="B31" s="19" t="s">
        <v>832</v>
      </c>
      <c r="C31" s="166">
        <v>400</v>
      </c>
      <c r="D31" s="11">
        <v>0</v>
      </c>
      <c r="E31" s="533">
        <f t="shared" si="3"/>
        <v>0</v>
      </c>
      <c r="F31" s="11">
        <v>0</v>
      </c>
      <c r="G31" s="533">
        <f t="shared" si="1"/>
        <v>0</v>
      </c>
      <c r="H31" s="11">
        <v>0</v>
      </c>
      <c r="I31" s="533">
        <f t="shared" si="1"/>
        <v>0</v>
      </c>
      <c r="J31" s="11">
        <v>0</v>
      </c>
      <c r="K31" s="533">
        <f t="shared" si="1"/>
        <v>0</v>
      </c>
      <c r="L31" s="11">
        <v>0</v>
      </c>
      <c r="M31" s="11">
        <v>0</v>
      </c>
      <c r="N31" s="366"/>
      <c r="O31" s="2"/>
      <c r="P31" s="2"/>
      <c r="Q31" s="2"/>
      <c r="R31" s="2"/>
      <c r="S31" s="2"/>
    </row>
    <row r="32" spans="1:19" ht="13.5" customHeight="1" x14ac:dyDescent="0.2">
      <c r="A32" s="8" t="s">
        <v>172</v>
      </c>
      <c r="B32" s="19" t="s">
        <v>238</v>
      </c>
      <c r="C32" s="548">
        <v>0</v>
      </c>
      <c r="D32" s="11">
        <v>0</v>
      </c>
      <c r="E32" s="533">
        <f t="shared" si="3"/>
        <v>0</v>
      </c>
      <c r="F32" s="11">
        <v>0</v>
      </c>
      <c r="G32" s="533">
        <f t="shared" si="1"/>
        <v>0</v>
      </c>
      <c r="H32" s="11">
        <v>0</v>
      </c>
      <c r="I32" s="533">
        <f t="shared" si="1"/>
        <v>0</v>
      </c>
      <c r="J32" s="11">
        <v>0</v>
      </c>
      <c r="K32" s="533">
        <f t="shared" si="1"/>
        <v>0</v>
      </c>
      <c r="L32" s="11">
        <v>0</v>
      </c>
      <c r="M32" s="11">
        <v>0</v>
      </c>
      <c r="N32" s="366"/>
      <c r="O32" s="2"/>
      <c r="P32" s="2"/>
      <c r="Q32" s="2"/>
      <c r="R32" s="2"/>
      <c r="S32" s="2"/>
    </row>
    <row r="33" spans="1:22" ht="13.5" customHeight="1" x14ac:dyDescent="0.2">
      <c r="A33" s="8" t="s">
        <v>173</v>
      </c>
      <c r="B33" s="19" t="s">
        <v>239</v>
      </c>
      <c r="C33" s="548">
        <v>0</v>
      </c>
      <c r="D33" s="11">
        <v>0</v>
      </c>
      <c r="E33" s="533">
        <f t="shared" si="3"/>
        <v>0</v>
      </c>
      <c r="F33" s="11">
        <v>0</v>
      </c>
      <c r="G33" s="533">
        <f t="shared" si="1"/>
        <v>0</v>
      </c>
      <c r="H33" s="11">
        <v>0</v>
      </c>
      <c r="I33" s="533">
        <f t="shared" si="1"/>
        <v>0</v>
      </c>
      <c r="J33" s="11">
        <v>0</v>
      </c>
      <c r="K33" s="533">
        <f t="shared" si="1"/>
        <v>0</v>
      </c>
      <c r="L33" s="11">
        <v>0</v>
      </c>
      <c r="M33" s="11">
        <v>0</v>
      </c>
      <c r="N33" s="366"/>
      <c r="O33" s="2"/>
      <c r="P33" s="2"/>
      <c r="Q33" s="2"/>
      <c r="R33" s="2"/>
      <c r="S33" s="2"/>
    </row>
    <row r="34" spans="1:22" ht="18" customHeight="1" x14ac:dyDescent="0.25">
      <c r="A34" s="14" t="s">
        <v>180</v>
      </c>
      <c r="B34" s="22" t="s">
        <v>349</v>
      </c>
      <c r="C34" s="540">
        <v>11101</v>
      </c>
      <c r="D34" s="36">
        <f>D36+D37</f>
        <v>10295</v>
      </c>
      <c r="E34" s="533">
        <f t="shared" si="3"/>
        <v>0</v>
      </c>
      <c r="F34" s="36">
        <f>F36+F37</f>
        <v>10295</v>
      </c>
      <c r="G34" s="533">
        <f t="shared" si="1"/>
        <v>-10295</v>
      </c>
      <c r="H34" s="36">
        <f>H36+H37</f>
        <v>0</v>
      </c>
      <c r="I34" s="533">
        <f t="shared" si="1"/>
        <v>0</v>
      </c>
      <c r="J34" s="36">
        <f>J36+J37</f>
        <v>0</v>
      </c>
      <c r="K34" s="533">
        <f t="shared" si="1"/>
        <v>0</v>
      </c>
      <c r="L34" s="36">
        <f>L36+L37</f>
        <v>0</v>
      </c>
      <c r="M34" s="36">
        <f>M36+M37</f>
        <v>0</v>
      </c>
      <c r="N34" s="366"/>
      <c r="O34" s="2"/>
      <c r="P34" s="2"/>
      <c r="Q34" s="2"/>
      <c r="R34" s="2"/>
      <c r="S34" s="2"/>
    </row>
    <row r="35" spans="1:22" ht="13.5" hidden="1" customHeight="1" x14ac:dyDescent="0.2">
      <c r="A35" s="8" t="s">
        <v>180</v>
      </c>
      <c r="B35" s="19" t="s">
        <v>355</v>
      </c>
      <c r="C35" s="548"/>
      <c r="D35" s="47"/>
      <c r="E35" s="533">
        <f t="shared" si="3"/>
        <v>0</v>
      </c>
      <c r="F35" s="47"/>
      <c r="G35" s="533">
        <f t="shared" si="1"/>
        <v>0</v>
      </c>
      <c r="H35" s="47"/>
      <c r="I35" s="533">
        <f t="shared" si="1"/>
        <v>0</v>
      </c>
      <c r="J35" s="47"/>
      <c r="K35" s="533">
        <f t="shared" si="1"/>
        <v>0</v>
      </c>
      <c r="L35" s="47"/>
      <c r="M35" s="47"/>
      <c r="N35" s="366"/>
      <c r="O35" s="2"/>
      <c r="P35" s="2"/>
      <c r="Q35" s="2"/>
      <c r="R35" s="2"/>
      <c r="S35" s="2"/>
    </row>
    <row r="36" spans="1:22" ht="13.5" customHeight="1" x14ac:dyDescent="0.2">
      <c r="A36" s="8" t="s">
        <v>424</v>
      </c>
      <c r="B36" s="19" t="s">
        <v>470</v>
      </c>
      <c r="C36" s="186">
        <v>10293</v>
      </c>
      <c r="D36" s="410">
        <v>10295</v>
      </c>
      <c r="E36" s="533">
        <f t="shared" si="3"/>
        <v>0</v>
      </c>
      <c r="F36" s="410">
        <v>10295</v>
      </c>
      <c r="G36" s="533">
        <f t="shared" si="1"/>
        <v>-10295</v>
      </c>
      <c r="H36" s="410">
        <v>0</v>
      </c>
      <c r="I36" s="533">
        <f t="shared" si="1"/>
        <v>0</v>
      </c>
      <c r="J36" s="410">
        <v>0</v>
      </c>
      <c r="K36" s="533">
        <f t="shared" si="1"/>
        <v>0</v>
      </c>
      <c r="L36" s="410">
        <v>0</v>
      </c>
      <c r="M36" s="410">
        <v>0</v>
      </c>
      <c r="N36" s="366"/>
      <c r="O36" s="2"/>
      <c r="P36" s="2"/>
      <c r="Q36" s="2"/>
      <c r="R36" s="2"/>
      <c r="S36" s="2"/>
    </row>
    <row r="37" spans="1:22" ht="13.5" customHeight="1" x14ac:dyDescent="0.2">
      <c r="A37" s="8" t="s">
        <v>424</v>
      </c>
      <c r="B37" s="19" t="s">
        <v>1023</v>
      </c>
      <c r="C37" s="548">
        <v>808</v>
      </c>
      <c r="D37" s="157">
        <v>0</v>
      </c>
      <c r="E37" s="533">
        <f t="shared" si="3"/>
        <v>0</v>
      </c>
      <c r="F37" s="157">
        <v>0</v>
      </c>
      <c r="G37" s="533">
        <f t="shared" si="1"/>
        <v>0</v>
      </c>
      <c r="H37" s="157">
        <v>0</v>
      </c>
      <c r="I37" s="533">
        <f t="shared" si="1"/>
        <v>0</v>
      </c>
      <c r="J37" s="157">
        <v>0</v>
      </c>
      <c r="K37" s="533">
        <f t="shared" si="1"/>
        <v>0</v>
      </c>
      <c r="L37" s="157">
        <v>0</v>
      </c>
      <c r="M37" s="157">
        <v>0</v>
      </c>
      <c r="N37" s="366"/>
      <c r="O37" s="2"/>
      <c r="P37" s="2"/>
      <c r="Q37" s="2"/>
      <c r="R37" s="2"/>
      <c r="S37" s="2"/>
    </row>
    <row r="38" spans="1:22" ht="20.25" customHeight="1" x14ac:dyDescent="0.25">
      <c r="A38" s="8"/>
      <c r="B38" s="162" t="s">
        <v>302</v>
      </c>
      <c r="C38" s="540">
        <f>SUM(C39+C43)+C44</f>
        <v>38889</v>
      </c>
      <c r="D38" s="150">
        <f>SUM(D39+D43)+D44</f>
        <v>298423</v>
      </c>
      <c r="E38" s="533">
        <f t="shared" si="3"/>
        <v>0</v>
      </c>
      <c r="F38" s="150">
        <f>SUM(F39+F43)</f>
        <v>298423</v>
      </c>
      <c r="G38" s="533">
        <f t="shared" si="1"/>
        <v>-298423</v>
      </c>
      <c r="H38" s="150">
        <f>SUM(H39+H43)</f>
        <v>0</v>
      </c>
      <c r="I38" s="533">
        <f t="shared" si="1"/>
        <v>0</v>
      </c>
      <c r="J38" s="150">
        <f>SUM(J39+J43)</f>
        <v>0</v>
      </c>
      <c r="K38" s="533">
        <f t="shared" si="1"/>
        <v>0</v>
      </c>
      <c r="L38" s="150">
        <f>SUM(L39+L43)</f>
        <v>0</v>
      </c>
      <c r="M38" s="150">
        <f>SUM(M39+M43)</f>
        <v>0</v>
      </c>
      <c r="N38" s="366"/>
      <c r="O38" s="2"/>
      <c r="P38" s="2"/>
      <c r="Q38" s="2"/>
      <c r="R38" s="2"/>
      <c r="S38" s="2"/>
    </row>
    <row r="39" spans="1:22" ht="16.5" customHeight="1" x14ac:dyDescent="0.25">
      <c r="A39" s="8"/>
      <c r="B39" s="18" t="str">
        <f>'2.működés'!B113</f>
        <v xml:space="preserve">   1. Belföldi finanszírozás bevételei</v>
      </c>
      <c r="C39" s="572">
        <f>C40</f>
        <v>38889</v>
      </c>
      <c r="D39" s="181">
        <f>D40</f>
        <v>298423</v>
      </c>
      <c r="E39" s="533">
        <f t="shared" si="3"/>
        <v>0</v>
      </c>
      <c r="F39" s="181">
        <f>F40</f>
        <v>298423</v>
      </c>
      <c r="G39" s="533">
        <f t="shared" si="1"/>
        <v>-298423</v>
      </c>
      <c r="H39" s="181">
        <f>H40</f>
        <v>0</v>
      </c>
      <c r="I39" s="533">
        <f t="shared" si="1"/>
        <v>0</v>
      </c>
      <c r="J39" s="181">
        <f>J40</f>
        <v>0</v>
      </c>
      <c r="K39" s="533">
        <f t="shared" si="1"/>
        <v>0</v>
      </c>
      <c r="L39" s="181">
        <f>L40</f>
        <v>0</v>
      </c>
      <c r="M39" s="181">
        <f>M40</f>
        <v>0</v>
      </c>
      <c r="N39" s="366"/>
      <c r="O39" s="2"/>
      <c r="P39" s="762" t="s">
        <v>1048</v>
      </c>
      <c r="Q39" s="763"/>
      <c r="R39" s="764"/>
      <c r="S39" s="2"/>
      <c r="T39" t="s">
        <v>1050</v>
      </c>
    </row>
    <row r="40" spans="1:22" ht="13.5" customHeight="1" x14ac:dyDescent="0.2">
      <c r="A40" s="8"/>
      <c r="B40" s="29" t="s">
        <v>384</v>
      </c>
      <c r="C40" s="186">
        <v>38889</v>
      </c>
      <c r="D40" s="11">
        <f>84375+22225+(50000-27171)+84864+84130</f>
        <v>298423</v>
      </c>
      <c r="E40" s="533">
        <f t="shared" si="3"/>
        <v>0</v>
      </c>
      <c r="F40" s="11">
        <f>84375+22225+(50000-27171)+84864+84130</f>
        <v>298423</v>
      </c>
      <c r="G40" s="533">
        <f t="shared" si="1"/>
        <v>-298423</v>
      </c>
      <c r="H40" s="11">
        <v>0</v>
      </c>
      <c r="I40" s="533">
        <f t="shared" si="1"/>
        <v>0</v>
      </c>
      <c r="J40" s="11">
        <v>0</v>
      </c>
      <c r="K40" s="533">
        <f t="shared" si="1"/>
        <v>0</v>
      </c>
      <c r="L40" s="11">
        <v>0</v>
      </c>
      <c r="M40" s="11">
        <v>0</v>
      </c>
      <c r="N40" s="366"/>
      <c r="O40" s="2"/>
      <c r="P40" s="706" t="s">
        <v>1045</v>
      </c>
      <c r="Q40" s="707" t="s">
        <v>1046</v>
      </c>
      <c r="R40" s="708" t="s">
        <v>1047</v>
      </c>
      <c r="S40" s="2"/>
      <c r="T40" s="2" t="s">
        <v>1049</v>
      </c>
      <c r="V40" s="2" t="s">
        <v>1074</v>
      </c>
    </row>
    <row r="41" spans="1:22" hidden="1" x14ac:dyDescent="0.2">
      <c r="A41" s="8"/>
      <c r="B41" s="29" t="s">
        <v>471</v>
      </c>
      <c r="C41" s="549"/>
      <c r="D41" s="13">
        <f>(632574-19378-10058-5652)</f>
        <v>597486</v>
      </c>
      <c r="E41" s="533">
        <f t="shared" si="3"/>
        <v>0</v>
      </c>
      <c r="F41" s="13">
        <f>(632574-19378-10058-5652)</f>
        <v>597486</v>
      </c>
      <c r="G41" s="533">
        <f t="shared" si="1"/>
        <v>0</v>
      </c>
      <c r="H41" s="13">
        <f>(632574-19378-10058-5652)</f>
        <v>597486</v>
      </c>
      <c r="I41" s="533">
        <f t="shared" si="1"/>
        <v>0</v>
      </c>
      <c r="J41" s="13">
        <f>(632574-19378-10058-5652)</f>
        <v>597486</v>
      </c>
      <c r="K41" s="533">
        <f t="shared" si="1"/>
        <v>0</v>
      </c>
      <c r="L41" s="13">
        <f>(632574-19378-10058-5652)</f>
        <v>597486</v>
      </c>
      <c r="M41" s="13">
        <f>(632574-19378-10058-5652)</f>
        <v>597486</v>
      </c>
      <c r="N41" s="366"/>
      <c r="O41" s="2"/>
      <c r="P41" s="2"/>
      <c r="Q41" s="2"/>
      <c r="R41" s="2"/>
      <c r="S41" s="2"/>
    </row>
    <row r="42" spans="1:22" hidden="1" x14ac:dyDescent="0.2">
      <c r="A42" s="8"/>
      <c r="B42" s="29" t="s">
        <v>472</v>
      </c>
      <c r="C42" s="549"/>
      <c r="D42" s="13">
        <f>(226930-68956-3881-1049-246-686)</f>
        <v>152112</v>
      </c>
      <c r="E42" s="533">
        <f t="shared" si="3"/>
        <v>0</v>
      </c>
      <c r="F42" s="13">
        <f>(226930-68956-3881-1049-246-686)</f>
        <v>152112</v>
      </c>
      <c r="G42" s="533">
        <f t="shared" si="1"/>
        <v>0</v>
      </c>
      <c r="H42" s="13">
        <f>(226930-68956-3881-1049-246-686)</f>
        <v>152112</v>
      </c>
      <c r="I42" s="533">
        <f t="shared" si="1"/>
        <v>0</v>
      </c>
      <c r="J42" s="13">
        <f>(226930-68956-3881-1049-246-686)</f>
        <v>152112</v>
      </c>
      <c r="K42" s="533">
        <f t="shared" si="1"/>
        <v>0</v>
      </c>
      <c r="L42" s="13">
        <f>(226930-68956-3881-1049-246-686)</f>
        <v>152112</v>
      </c>
      <c r="M42" s="13">
        <f>(226930-68956-3881-1049-246-686)</f>
        <v>152112</v>
      </c>
      <c r="N42" s="366"/>
      <c r="O42" s="2"/>
      <c r="P42" s="2"/>
      <c r="Q42" s="2"/>
      <c r="R42" s="2"/>
      <c r="S42" s="2"/>
    </row>
    <row r="43" spans="1:22" ht="16.5" customHeight="1" x14ac:dyDescent="0.25">
      <c r="A43" s="8"/>
      <c r="B43" s="18" t="str">
        <f>'2.működés'!B121</f>
        <v xml:space="preserve">   2. Külföldi finanszírozás bevételei</v>
      </c>
      <c r="C43" s="547">
        <v>0</v>
      </c>
      <c r="D43" s="36">
        <f>SUM(D44:D44)</f>
        <v>0</v>
      </c>
      <c r="E43" s="533">
        <f t="shared" si="3"/>
        <v>0</v>
      </c>
      <c r="F43" s="36">
        <f>SUM(F44:F44)</f>
        <v>0</v>
      </c>
      <c r="G43" s="533">
        <f t="shared" si="1"/>
        <v>0</v>
      </c>
      <c r="H43" s="36">
        <f>SUM(H44:H44)</f>
        <v>0</v>
      </c>
      <c r="I43" s="533">
        <f t="shared" si="1"/>
        <v>0</v>
      </c>
      <c r="J43" s="36">
        <f>SUM(J44:J44)</f>
        <v>0</v>
      </c>
      <c r="K43" s="533">
        <f t="shared" si="1"/>
        <v>0</v>
      </c>
      <c r="L43" s="36">
        <f>SUM(L44:L44)</f>
        <v>0</v>
      </c>
      <c r="M43" s="36">
        <f>SUM(M44:M44)</f>
        <v>0</v>
      </c>
      <c r="N43" s="366"/>
      <c r="O43" s="2"/>
      <c r="P43" s="2"/>
      <c r="Q43" s="2"/>
      <c r="R43" s="2"/>
      <c r="S43" s="2"/>
    </row>
    <row r="44" spans="1:22" ht="15.75" customHeight="1" thickBot="1" x14ac:dyDescent="0.3">
      <c r="A44" s="12"/>
      <c r="B44" s="18" t="str">
        <f>'2.működés'!B122</f>
        <v xml:space="preserve">   3. Adóssághoz nem kapcsolódó származékos ügyletek bevételei</v>
      </c>
      <c r="C44" s="547">
        <v>0</v>
      </c>
      <c r="D44" s="36">
        <v>0</v>
      </c>
      <c r="E44" s="533">
        <f t="shared" si="3"/>
        <v>0</v>
      </c>
      <c r="F44" s="11">
        <v>0</v>
      </c>
      <c r="G44" s="11"/>
      <c r="H44" s="11">
        <v>0</v>
      </c>
      <c r="I44" s="11"/>
      <c r="J44" s="11">
        <v>0</v>
      </c>
      <c r="K44" s="11"/>
      <c r="L44" s="11">
        <v>0</v>
      </c>
      <c r="M44" s="11">
        <v>0</v>
      </c>
      <c r="N44" s="366"/>
      <c r="O44" s="2"/>
      <c r="P44" s="2"/>
      <c r="Q44" s="2"/>
      <c r="R44" s="2"/>
      <c r="S44" s="2"/>
    </row>
    <row r="45" spans="1:22" ht="18.75" customHeight="1" thickBot="1" x14ac:dyDescent="0.4">
      <c r="A45" s="207"/>
      <c r="B45" s="206" t="s">
        <v>336</v>
      </c>
      <c r="C45" s="573">
        <f>SUM(C8+C38)</f>
        <v>444774</v>
      </c>
      <c r="D45" s="216">
        <f>SUM(D8+D38)</f>
        <v>865360</v>
      </c>
      <c r="E45" s="534">
        <f>F45-D45</f>
        <v>51706</v>
      </c>
      <c r="F45" s="216">
        <f>SUM(F8+F38)</f>
        <v>917066</v>
      </c>
      <c r="G45" s="534">
        <f>H45-F45</f>
        <v>-917066</v>
      </c>
      <c r="H45" s="216">
        <f>SUM(H8+H38)</f>
        <v>0</v>
      </c>
      <c r="I45" s="534">
        <f>J45-H45</f>
        <v>0</v>
      </c>
      <c r="J45" s="216">
        <f>SUM(J8+J38)</f>
        <v>0</v>
      </c>
      <c r="K45" s="534">
        <f>L45-J45</f>
        <v>0</v>
      </c>
      <c r="L45" s="216">
        <f>SUM(L8+L38)</f>
        <v>0</v>
      </c>
      <c r="M45" s="216">
        <f>SUM(M8+M38)</f>
        <v>0</v>
      </c>
      <c r="N45" s="366"/>
      <c r="O45" s="2"/>
      <c r="P45" s="2"/>
      <c r="Q45" s="2"/>
      <c r="R45" s="2"/>
      <c r="S45" s="2"/>
    </row>
    <row r="46" spans="1:22" ht="15.75" x14ac:dyDescent="0.25">
      <c r="A46" s="140" t="s">
        <v>313</v>
      </c>
      <c r="B46" s="214" t="s">
        <v>303</v>
      </c>
      <c r="C46" s="557">
        <f>SUM(C47+C74+C96)</f>
        <v>361142</v>
      </c>
      <c r="D46" s="164">
        <f>SUM(D47+D74+D96)</f>
        <v>1074238</v>
      </c>
      <c r="E46" s="533">
        <f>F46-D46</f>
        <v>-30330</v>
      </c>
      <c r="F46" s="164">
        <f>SUM(F47+F74+F96)</f>
        <v>1043908</v>
      </c>
      <c r="G46" s="533">
        <f t="shared" ref="G46:K108" si="4">H46-F46</f>
        <v>-1043908</v>
      </c>
      <c r="H46" s="164">
        <f>SUM(H47+H74+H96)</f>
        <v>0</v>
      </c>
      <c r="I46" s="533">
        <f t="shared" si="4"/>
        <v>0</v>
      </c>
      <c r="J46" s="164">
        <f>SUM(J47+J74+J96)</f>
        <v>0</v>
      </c>
      <c r="K46" s="533">
        <f t="shared" si="4"/>
        <v>0</v>
      </c>
      <c r="L46" s="164">
        <f>SUM(L47+L74+L96)</f>
        <v>0</v>
      </c>
      <c r="M46" s="164">
        <f>SUM(M47+M74+M96)</f>
        <v>0</v>
      </c>
      <c r="N46" s="366"/>
      <c r="O46" s="2"/>
      <c r="P46" s="2"/>
      <c r="Q46" s="2"/>
      <c r="R46" s="2"/>
      <c r="S46" s="2"/>
    </row>
    <row r="47" spans="1:22" ht="15.75" x14ac:dyDescent="0.25">
      <c r="A47" s="14" t="s">
        <v>240</v>
      </c>
      <c r="B47" s="22" t="s">
        <v>5</v>
      </c>
      <c r="C47" s="540">
        <f>SUM(C48+C71)</f>
        <v>188483</v>
      </c>
      <c r="D47" s="150">
        <f>SUM(D48+D71)</f>
        <v>744562</v>
      </c>
      <c r="E47" s="533">
        <f t="shared" ref="E47:E51" si="5">F47-D47</f>
        <v>778</v>
      </c>
      <c r="F47" s="150">
        <f>SUM(F48+F71)</f>
        <v>745340</v>
      </c>
      <c r="G47" s="533">
        <f t="shared" si="4"/>
        <v>-745340</v>
      </c>
      <c r="H47" s="150">
        <f>SUM(H48+H71)</f>
        <v>0</v>
      </c>
      <c r="I47" s="533">
        <f t="shared" si="4"/>
        <v>0</v>
      </c>
      <c r="J47" s="150">
        <f>SUM(J48+J71)</f>
        <v>0</v>
      </c>
      <c r="K47" s="533">
        <f t="shared" si="4"/>
        <v>0</v>
      </c>
      <c r="L47" s="150">
        <f>SUM(L48+L71)</f>
        <v>0</v>
      </c>
      <c r="M47" s="150">
        <f>SUM(M48+M71)</f>
        <v>0</v>
      </c>
      <c r="N47" s="366"/>
      <c r="O47" s="2"/>
      <c r="P47" s="2"/>
      <c r="Q47" s="2"/>
      <c r="R47" s="2"/>
      <c r="S47" s="2"/>
    </row>
    <row r="48" spans="1:22" ht="14.25" x14ac:dyDescent="0.2">
      <c r="A48" s="14"/>
      <c r="B48" s="23" t="s">
        <v>304</v>
      </c>
      <c r="C48" s="542">
        <v>188134</v>
      </c>
      <c r="D48" s="141">
        <f>SUM(D49+D54+D70)</f>
        <v>743862</v>
      </c>
      <c r="E48" s="533">
        <f t="shared" si="5"/>
        <v>778</v>
      </c>
      <c r="F48" s="141">
        <f>SUM(F49+F54+F70)</f>
        <v>744640</v>
      </c>
      <c r="G48" s="533">
        <f t="shared" si="4"/>
        <v>-744640</v>
      </c>
      <c r="H48" s="141">
        <f>SUM(H49+H54+H70)</f>
        <v>0</v>
      </c>
      <c r="I48" s="533">
        <f t="shared" si="4"/>
        <v>0</v>
      </c>
      <c r="J48" s="141">
        <f>SUM(J49+J54+J70)</f>
        <v>0</v>
      </c>
      <c r="K48" s="533">
        <f t="shared" si="4"/>
        <v>0</v>
      </c>
      <c r="L48" s="141">
        <f>SUM(L49+L54+L70)</f>
        <v>0</v>
      </c>
      <c r="M48" s="141">
        <f>SUM(M49+M54+M70)</f>
        <v>0</v>
      </c>
      <c r="N48" s="366"/>
      <c r="O48" s="2"/>
      <c r="P48" s="2"/>
      <c r="Q48" s="2"/>
      <c r="R48" s="2"/>
      <c r="S48" s="2"/>
    </row>
    <row r="49" spans="1:19" ht="14.25" x14ac:dyDescent="0.2">
      <c r="A49" s="14"/>
      <c r="B49" s="23" t="s">
        <v>308</v>
      </c>
      <c r="C49" s="542">
        <v>40970</v>
      </c>
      <c r="D49" s="141">
        <f>SUM(D50:D53)</f>
        <v>571949</v>
      </c>
      <c r="E49" s="533">
        <f t="shared" si="5"/>
        <v>0</v>
      </c>
      <c r="F49" s="141">
        <f>SUM(F50:F53)</f>
        <v>571949</v>
      </c>
      <c r="G49" s="533">
        <f t="shared" si="4"/>
        <v>-571949</v>
      </c>
      <c r="H49" s="141">
        <f>SUM(H50:H53)</f>
        <v>0</v>
      </c>
      <c r="I49" s="533">
        <f t="shared" si="4"/>
        <v>0</v>
      </c>
      <c r="J49" s="141">
        <f>SUM(J50:J53)</f>
        <v>0</v>
      </c>
      <c r="K49" s="533">
        <f t="shared" si="4"/>
        <v>0</v>
      </c>
      <c r="L49" s="141">
        <f>SUM(L50:L53)</f>
        <v>0</v>
      </c>
      <c r="M49" s="141">
        <f>SUM(M50:M53)</f>
        <v>0</v>
      </c>
      <c r="N49" s="366"/>
      <c r="O49" s="2"/>
      <c r="P49" s="2"/>
      <c r="Q49" s="2"/>
      <c r="R49" s="2"/>
      <c r="S49" s="2"/>
    </row>
    <row r="50" spans="1:19" s="286" customFormat="1" ht="25.5" x14ac:dyDescent="0.2">
      <c r="A50" s="526"/>
      <c r="B50" s="515" t="s">
        <v>848</v>
      </c>
      <c r="C50" s="578"/>
      <c r="D50" s="37">
        <v>22225</v>
      </c>
      <c r="E50" s="533">
        <f t="shared" si="5"/>
        <v>0</v>
      </c>
      <c r="F50" s="37">
        <v>22225</v>
      </c>
      <c r="G50" s="533">
        <f t="shared" si="4"/>
        <v>-22225</v>
      </c>
      <c r="H50" s="37">
        <v>0</v>
      </c>
      <c r="I50" s="533">
        <f t="shared" si="4"/>
        <v>0</v>
      </c>
      <c r="J50" s="37">
        <v>0</v>
      </c>
      <c r="K50" s="533">
        <f t="shared" si="4"/>
        <v>0</v>
      </c>
      <c r="L50" s="37">
        <v>0</v>
      </c>
      <c r="M50" s="37">
        <v>0</v>
      </c>
      <c r="N50" s="366"/>
      <c r="O50" s="66"/>
      <c r="P50" s="66"/>
      <c r="Q50" s="66"/>
      <c r="R50" s="66"/>
      <c r="S50" s="66"/>
    </row>
    <row r="51" spans="1:19" s="286" customFormat="1" ht="16.5" customHeight="1" x14ac:dyDescent="0.2">
      <c r="A51" s="526"/>
      <c r="B51" s="515" t="s">
        <v>851</v>
      </c>
      <c r="C51" s="578"/>
      <c r="D51" s="37">
        <f>(541828-14000-8000-40970)+70866</f>
        <v>549724</v>
      </c>
      <c r="E51" s="533">
        <f t="shared" si="5"/>
        <v>0</v>
      </c>
      <c r="F51" s="37">
        <f>(541828-14000-8000-40970)+70866</f>
        <v>549724</v>
      </c>
      <c r="G51" s="533">
        <f t="shared" si="4"/>
        <v>-549724</v>
      </c>
      <c r="H51" s="37">
        <v>0</v>
      </c>
      <c r="I51" s="533">
        <f t="shared" si="4"/>
        <v>0</v>
      </c>
      <c r="J51" s="37">
        <v>0</v>
      </c>
      <c r="K51" s="533">
        <f t="shared" si="4"/>
        <v>0</v>
      </c>
      <c r="L51" s="37">
        <v>0</v>
      </c>
      <c r="M51" s="37">
        <v>0</v>
      </c>
      <c r="N51" s="366"/>
      <c r="O51" s="66"/>
      <c r="P51" s="66"/>
      <c r="Q51" s="66"/>
      <c r="R51" s="66"/>
      <c r="S51" s="66"/>
    </row>
    <row r="52" spans="1:19" ht="6.75" customHeight="1" x14ac:dyDescent="0.2">
      <c r="A52" s="14"/>
      <c r="B52" s="8"/>
      <c r="C52" s="217"/>
      <c r="D52" s="11"/>
      <c r="E52" s="533"/>
      <c r="F52" s="11"/>
      <c r="G52" s="533"/>
      <c r="H52" s="11"/>
      <c r="I52" s="533"/>
      <c r="J52" s="11"/>
      <c r="K52" s="533"/>
      <c r="L52" s="11"/>
      <c r="M52" s="11"/>
      <c r="N52" s="366"/>
      <c r="O52" s="2"/>
      <c r="P52" s="2"/>
      <c r="Q52" s="2"/>
      <c r="R52" s="2"/>
      <c r="S52" s="2"/>
    </row>
    <row r="53" spans="1:19" hidden="1" x14ac:dyDescent="0.2">
      <c r="A53" s="14"/>
      <c r="B53" s="8"/>
      <c r="C53" s="217"/>
      <c r="D53" s="11"/>
      <c r="E53" s="533"/>
      <c r="F53" s="11"/>
      <c r="G53" s="533">
        <f t="shared" si="4"/>
        <v>0</v>
      </c>
      <c r="H53" s="11"/>
      <c r="I53" s="533">
        <f t="shared" si="4"/>
        <v>0</v>
      </c>
      <c r="J53" s="11"/>
      <c r="K53" s="533">
        <f t="shared" si="4"/>
        <v>0</v>
      </c>
      <c r="L53" s="11"/>
      <c r="M53" s="11"/>
      <c r="N53" s="366"/>
      <c r="O53" s="2"/>
      <c r="P53" s="2"/>
      <c r="Q53" s="2"/>
      <c r="R53" s="2"/>
      <c r="S53" s="2"/>
    </row>
    <row r="54" spans="1:19" x14ac:dyDescent="0.2">
      <c r="A54" s="14"/>
      <c r="B54" s="14" t="s">
        <v>307</v>
      </c>
      <c r="C54" s="541">
        <v>147164</v>
      </c>
      <c r="D54" s="5">
        <f>SUM(D55:D69)</f>
        <v>171913</v>
      </c>
      <c r="E54" s="533">
        <f>F54-D54</f>
        <v>778</v>
      </c>
      <c r="F54" s="5">
        <f>SUM(F55:F69)</f>
        <v>172691</v>
      </c>
      <c r="G54" s="533">
        <f t="shared" si="4"/>
        <v>-172691</v>
      </c>
      <c r="H54" s="5">
        <f>SUM(H55:H69)</f>
        <v>0</v>
      </c>
      <c r="I54" s="533">
        <f t="shared" si="4"/>
        <v>0</v>
      </c>
      <c r="J54" s="5">
        <f>SUM(J55:J69)</f>
        <v>0</v>
      </c>
      <c r="K54" s="533">
        <f t="shared" si="4"/>
        <v>0</v>
      </c>
      <c r="L54" s="5">
        <f>SUM(L55:L69)</f>
        <v>0</v>
      </c>
      <c r="M54" s="5">
        <f>SUM(M55:M69)</f>
        <v>0</v>
      </c>
      <c r="N54" s="366"/>
      <c r="O54" s="2"/>
      <c r="P54" s="2"/>
      <c r="Q54" s="2"/>
      <c r="R54" s="2"/>
      <c r="S54" s="2"/>
    </row>
    <row r="55" spans="1:19" x14ac:dyDescent="0.2">
      <c r="A55" s="14"/>
      <c r="B55" s="8" t="s">
        <v>738</v>
      </c>
      <c r="C55" s="217">
        <v>0</v>
      </c>
      <c r="D55" s="13">
        <v>750</v>
      </c>
      <c r="E55" s="533">
        <f t="shared" ref="E55:E68" si="6">F55-D55</f>
        <v>-188</v>
      </c>
      <c r="F55" s="13">
        <f>750-188</f>
        <v>562</v>
      </c>
      <c r="G55" s="533">
        <f t="shared" si="4"/>
        <v>-562</v>
      </c>
      <c r="H55" s="13">
        <v>0</v>
      </c>
      <c r="I55" s="533">
        <f t="shared" si="4"/>
        <v>0</v>
      </c>
      <c r="J55" s="13">
        <v>0</v>
      </c>
      <c r="K55" s="533">
        <f t="shared" si="4"/>
        <v>0</v>
      </c>
      <c r="L55" s="13">
        <v>0</v>
      </c>
      <c r="M55" s="13">
        <v>0</v>
      </c>
      <c r="N55" s="366"/>
      <c r="O55" s="2"/>
      <c r="P55" s="2"/>
      <c r="Q55" s="2"/>
      <c r="R55" s="2"/>
      <c r="S55" s="2"/>
    </row>
    <row r="56" spans="1:19" x14ac:dyDescent="0.2">
      <c r="A56" s="14"/>
      <c r="B56" s="8" t="s">
        <v>844</v>
      </c>
      <c r="C56" s="217">
        <v>0</v>
      </c>
      <c r="D56" s="13">
        <v>2400</v>
      </c>
      <c r="E56" s="533">
        <f t="shared" si="6"/>
        <v>0</v>
      </c>
      <c r="F56" s="13">
        <v>2400</v>
      </c>
      <c r="G56" s="533">
        <f t="shared" si="4"/>
        <v>-2400</v>
      </c>
      <c r="H56" s="13">
        <v>0</v>
      </c>
      <c r="I56" s="533">
        <f t="shared" si="4"/>
        <v>0</v>
      </c>
      <c r="J56" s="13">
        <v>0</v>
      </c>
      <c r="K56" s="533">
        <f t="shared" si="4"/>
        <v>0</v>
      </c>
      <c r="L56" s="13">
        <v>0</v>
      </c>
      <c r="M56" s="13">
        <v>0</v>
      </c>
      <c r="N56" s="366"/>
      <c r="O56" s="2"/>
      <c r="P56" s="2"/>
      <c r="Q56" s="2"/>
      <c r="R56" s="2"/>
      <c r="S56" s="2"/>
    </row>
    <row r="57" spans="1:19" x14ac:dyDescent="0.2">
      <c r="A57" s="14"/>
      <c r="B57" s="8" t="s">
        <v>868</v>
      </c>
      <c r="C57" s="217">
        <v>0</v>
      </c>
      <c r="D57" s="13">
        <v>37500</v>
      </c>
      <c r="E57" s="533">
        <f t="shared" si="6"/>
        <v>0</v>
      </c>
      <c r="F57" s="13">
        <v>37500</v>
      </c>
      <c r="G57" s="533">
        <f t="shared" si="4"/>
        <v>-37500</v>
      </c>
      <c r="H57" s="13">
        <v>0</v>
      </c>
      <c r="I57" s="533">
        <f t="shared" si="4"/>
        <v>0</v>
      </c>
      <c r="J57" s="13">
        <v>0</v>
      </c>
      <c r="K57" s="533">
        <f t="shared" si="4"/>
        <v>0</v>
      </c>
      <c r="L57" s="13">
        <v>0</v>
      </c>
      <c r="M57" s="13">
        <v>0</v>
      </c>
      <c r="N57" s="366"/>
      <c r="O57" s="2"/>
      <c r="P57" s="2"/>
      <c r="Q57" s="2"/>
      <c r="R57" s="2"/>
      <c r="S57" s="2"/>
    </row>
    <row r="58" spans="1:19" x14ac:dyDescent="0.2">
      <c r="A58" s="14"/>
      <c r="B58" s="8" t="s">
        <v>849</v>
      </c>
      <c r="C58" s="217">
        <v>0</v>
      </c>
      <c r="D58" s="13">
        <v>2000</v>
      </c>
      <c r="E58" s="533">
        <f t="shared" si="6"/>
        <v>0</v>
      </c>
      <c r="F58" s="13">
        <v>2000</v>
      </c>
      <c r="G58" s="533">
        <f t="shared" si="4"/>
        <v>-2000</v>
      </c>
      <c r="H58" s="13">
        <v>0</v>
      </c>
      <c r="I58" s="533">
        <f t="shared" si="4"/>
        <v>0</v>
      </c>
      <c r="J58" s="13">
        <v>0</v>
      </c>
      <c r="K58" s="533">
        <f t="shared" si="4"/>
        <v>0</v>
      </c>
      <c r="L58" s="13">
        <v>0</v>
      </c>
      <c r="M58" s="13">
        <v>0</v>
      </c>
      <c r="N58" s="366"/>
      <c r="O58" s="2"/>
      <c r="P58" s="2"/>
      <c r="Q58" s="2"/>
      <c r="R58" s="2"/>
      <c r="S58" s="2"/>
    </row>
    <row r="59" spans="1:19" x14ac:dyDescent="0.2">
      <c r="A59" s="14"/>
      <c r="B59" s="8" t="s">
        <v>875</v>
      </c>
      <c r="C59" s="217">
        <v>0</v>
      </c>
      <c r="D59" s="13">
        <v>14542</v>
      </c>
      <c r="E59" s="533">
        <f t="shared" si="6"/>
        <v>1899</v>
      </c>
      <c r="F59" s="13">
        <f>14542+188+152+1559</f>
        <v>16441</v>
      </c>
      <c r="G59" s="533">
        <f t="shared" si="4"/>
        <v>-16441</v>
      </c>
      <c r="H59" s="13">
        <v>0</v>
      </c>
      <c r="I59" s="533">
        <f t="shared" si="4"/>
        <v>0</v>
      </c>
      <c r="J59" s="13">
        <v>0</v>
      </c>
      <c r="K59" s="533">
        <f t="shared" si="4"/>
        <v>0</v>
      </c>
      <c r="L59" s="13">
        <v>0</v>
      </c>
      <c r="M59" s="13">
        <v>0</v>
      </c>
      <c r="N59" s="366"/>
      <c r="P59" s="2">
        <v>22757</v>
      </c>
      <c r="Q59" s="7">
        <f>P59-F59</f>
        <v>6316</v>
      </c>
      <c r="R59" s="2"/>
      <c r="S59" s="2"/>
    </row>
    <row r="60" spans="1:19" x14ac:dyDescent="0.2">
      <c r="A60" s="14"/>
      <c r="B60" s="8" t="s">
        <v>1052</v>
      </c>
      <c r="C60" s="13">
        <v>0</v>
      </c>
      <c r="D60" s="13">
        <v>53933</v>
      </c>
      <c r="E60" s="533">
        <f t="shared" si="6"/>
        <v>0</v>
      </c>
      <c r="F60" s="13">
        <v>53933</v>
      </c>
      <c r="G60" s="533">
        <f t="shared" si="4"/>
        <v>-53933</v>
      </c>
      <c r="H60" s="13">
        <v>0</v>
      </c>
      <c r="I60" s="533">
        <f t="shared" si="4"/>
        <v>0</v>
      </c>
      <c r="J60" s="13">
        <v>0</v>
      </c>
      <c r="K60" s="533">
        <f t="shared" si="4"/>
        <v>0</v>
      </c>
      <c r="L60" s="13">
        <v>0</v>
      </c>
      <c r="M60" s="13">
        <v>0</v>
      </c>
      <c r="N60" s="366"/>
      <c r="O60" s="2"/>
      <c r="R60" s="2"/>
      <c r="S60" s="2"/>
    </row>
    <row r="61" spans="1:19" x14ac:dyDescent="0.2">
      <c r="A61" s="14"/>
      <c r="B61" s="8" t="s">
        <v>1061</v>
      </c>
      <c r="C61" s="217">
        <v>0</v>
      </c>
      <c r="D61" s="13">
        <v>9600</v>
      </c>
      <c r="E61" s="533">
        <f t="shared" si="6"/>
        <v>0</v>
      </c>
      <c r="F61" s="13">
        <v>9600</v>
      </c>
      <c r="G61" s="533">
        <f t="shared" si="4"/>
        <v>-9600</v>
      </c>
      <c r="H61" s="13">
        <v>0</v>
      </c>
      <c r="I61" s="533">
        <f t="shared" si="4"/>
        <v>0</v>
      </c>
      <c r="J61" s="13">
        <v>0</v>
      </c>
      <c r="K61" s="533">
        <f t="shared" si="4"/>
        <v>0</v>
      </c>
      <c r="L61" s="13">
        <v>0</v>
      </c>
      <c r="M61" s="13">
        <v>0</v>
      </c>
      <c r="N61" s="366"/>
      <c r="O61" s="2"/>
      <c r="P61" s="2"/>
      <c r="Q61" s="2"/>
      <c r="R61" s="2"/>
      <c r="S61" s="2"/>
    </row>
    <row r="62" spans="1:19" x14ac:dyDescent="0.2">
      <c r="A62" s="14"/>
      <c r="B62" s="19" t="s">
        <v>1062</v>
      </c>
      <c r="C62" s="548">
        <v>0</v>
      </c>
      <c r="D62" s="13">
        <v>4000</v>
      </c>
      <c r="E62" s="533">
        <f t="shared" si="6"/>
        <v>0</v>
      </c>
      <c r="F62" s="13">
        <v>4000</v>
      </c>
      <c r="G62" s="533">
        <f t="shared" si="4"/>
        <v>-4000</v>
      </c>
      <c r="H62" s="13">
        <v>0</v>
      </c>
      <c r="I62" s="533">
        <f t="shared" si="4"/>
        <v>0</v>
      </c>
      <c r="J62" s="13">
        <v>0</v>
      </c>
      <c r="K62" s="533">
        <f t="shared" si="4"/>
        <v>0</v>
      </c>
      <c r="L62" s="13">
        <v>0</v>
      </c>
      <c r="M62" s="13">
        <v>0</v>
      </c>
      <c r="N62" s="366"/>
      <c r="O62" s="2"/>
      <c r="P62" s="2"/>
      <c r="Q62" s="2"/>
      <c r="R62" s="2"/>
      <c r="S62" s="2"/>
    </row>
    <row r="63" spans="1:19" x14ac:dyDescent="0.2">
      <c r="A63" s="14"/>
      <c r="B63" s="19" t="s">
        <v>1063</v>
      </c>
      <c r="C63" s="217">
        <v>0</v>
      </c>
      <c r="D63" s="13">
        <v>2500</v>
      </c>
      <c r="E63" s="533">
        <f t="shared" si="6"/>
        <v>0</v>
      </c>
      <c r="F63" s="13">
        <v>2500</v>
      </c>
      <c r="G63" s="533">
        <f t="shared" si="4"/>
        <v>-2500</v>
      </c>
      <c r="H63" s="13">
        <v>0</v>
      </c>
      <c r="I63" s="533">
        <f t="shared" si="4"/>
        <v>0</v>
      </c>
      <c r="J63" s="13">
        <v>0</v>
      </c>
      <c r="K63" s="533">
        <f t="shared" si="4"/>
        <v>0</v>
      </c>
      <c r="L63" s="13">
        <v>0</v>
      </c>
      <c r="M63" s="13">
        <v>0</v>
      </c>
      <c r="N63" s="366"/>
      <c r="O63" s="2"/>
      <c r="P63" s="2"/>
      <c r="Q63" s="2"/>
      <c r="R63" s="2"/>
      <c r="S63" s="2"/>
    </row>
    <row r="64" spans="1:19" x14ac:dyDescent="0.2">
      <c r="A64" s="14"/>
      <c r="B64" s="8" t="s">
        <v>1075</v>
      </c>
      <c r="C64" s="217">
        <v>0</v>
      </c>
      <c r="D64" s="13">
        <v>17145</v>
      </c>
      <c r="E64" s="533">
        <f t="shared" si="6"/>
        <v>-152</v>
      </c>
      <c r="F64" s="13">
        <f>17145-152</f>
        <v>16993</v>
      </c>
      <c r="G64" s="533">
        <f t="shared" si="4"/>
        <v>-16993</v>
      </c>
      <c r="H64" s="13">
        <v>0</v>
      </c>
      <c r="I64" s="533">
        <f t="shared" si="4"/>
        <v>0</v>
      </c>
      <c r="J64" s="13">
        <v>0</v>
      </c>
      <c r="K64" s="533">
        <f t="shared" si="4"/>
        <v>0</v>
      </c>
      <c r="L64" s="13">
        <v>0</v>
      </c>
      <c r="M64" s="13">
        <v>0</v>
      </c>
      <c r="N64" s="366"/>
      <c r="O64" s="2"/>
      <c r="P64" s="2"/>
      <c r="Q64" s="2"/>
      <c r="R64" s="2"/>
      <c r="S64" s="2"/>
    </row>
    <row r="65" spans="1:48" x14ac:dyDescent="0.2">
      <c r="A65" s="14"/>
      <c r="B65" s="8" t="s">
        <v>1090</v>
      </c>
      <c r="C65" s="13">
        <v>0</v>
      </c>
      <c r="D65" s="13">
        <v>19250</v>
      </c>
      <c r="E65" s="533">
        <f t="shared" si="6"/>
        <v>0</v>
      </c>
      <c r="F65" s="13">
        <v>19250</v>
      </c>
      <c r="G65" s="533">
        <f t="shared" si="4"/>
        <v>-19250</v>
      </c>
      <c r="H65" s="13">
        <v>0</v>
      </c>
      <c r="I65" s="533">
        <f t="shared" si="4"/>
        <v>0</v>
      </c>
      <c r="J65" s="13">
        <v>0</v>
      </c>
      <c r="K65" s="533">
        <f t="shared" si="4"/>
        <v>0</v>
      </c>
      <c r="L65" s="13">
        <v>0</v>
      </c>
      <c r="M65" s="13">
        <v>0</v>
      </c>
      <c r="N65" s="366"/>
      <c r="O65" s="7"/>
      <c r="P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spans="1:48" x14ac:dyDescent="0.2">
      <c r="A66" s="14"/>
      <c r="B66" s="8" t="s">
        <v>1088</v>
      </c>
      <c r="C66" s="217">
        <v>0</v>
      </c>
      <c r="D66" s="13">
        <v>7510</v>
      </c>
      <c r="E66" s="533">
        <f t="shared" si="6"/>
        <v>-1559</v>
      </c>
      <c r="F66" s="13">
        <f>7510-1559</f>
        <v>5951</v>
      </c>
      <c r="G66" s="533">
        <f t="shared" si="4"/>
        <v>-5951</v>
      </c>
      <c r="H66" s="13">
        <v>0</v>
      </c>
      <c r="I66" s="533">
        <f t="shared" si="4"/>
        <v>0</v>
      </c>
      <c r="J66" s="13">
        <v>0</v>
      </c>
      <c r="K66" s="533">
        <f t="shared" si="4"/>
        <v>0</v>
      </c>
      <c r="L66" s="13">
        <v>0</v>
      </c>
      <c r="M66" s="13">
        <v>0</v>
      </c>
      <c r="N66" s="366"/>
      <c r="O66" s="7"/>
      <c r="P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spans="1:48" x14ac:dyDescent="0.2">
      <c r="A67" s="14"/>
      <c r="B67" s="19" t="s">
        <v>1097</v>
      </c>
      <c r="C67" s="548">
        <v>0</v>
      </c>
      <c r="D67" s="13">
        <v>783</v>
      </c>
      <c r="E67" s="533">
        <f t="shared" ref="E67" si="7">F67-D67</f>
        <v>0</v>
      </c>
      <c r="F67" s="13">
        <v>783</v>
      </c>
      <c r="G67" s="533"/>
      <c r="H67" s="13"/>
      <c r="I67" s="533"/>
      <c r="J67" s="13"/>
      <c r="K67" s="533"/>
      <c r="L67" s="13"/>
      <c r="M67" s="13"/>
      <c r="N67" s="366"/>
      <c r="O67" s="7"/>
      <c r="P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spans="1:48" x14ac:dyDescent="0.2">
      <c r="A68" s="14"/>
      <c r="B68" s="19" t="s">
        <v>1274</v>
      </c>
      <c r="C68" s="548">
        <v>0</v>
      </c>
      <c r="D68" s="13">
        <v>0</v>
      </c>
      <c r="E68" s="533">
        <f t="shared" si="6"/>
        <v>778</v>
      </c>
      <c r="F68" s="13">
        <v>778</v>
      </c>
      <c r="G68" s="533">
        <f t="shared" si="4"/>
        <v>-778</v>
      </c>
      <c r="H68" s="13">
        <v>0</v>
      </c>
      <c r="I68" s="533">
        <f t="shared" si="4"/>
        <v>0</v>
      </c>
      <c r="J68" s="13">
        <v>0</v>
      </c>
      <c r="K68" s="533">
        <f t="shared" si="4"/>
        <v>0</v>
      </c>
      <c r="L68" s="13">
        <v>0</v>
      </c>
      <c r="M68" s="13">
        <v>0</v>
      </c>
      <c r="N68" s="366"/>
      <c r="O68" s="2"/>
      <c r="P68" s="2"/>
      <c r="Q68" s="2"/>
      <c r="R68" s="2"/>
      <c r="S68" s="2"/>
    </row>
    <row r="69" spans="1:48" ht="7.5" customHeight="1" x14ac:dyDescent="0.2">
      <c r="A69" s="14"/>
      <c r="B69" s="8"/>
      <c r="C69" s="217"/>
      <c r="D69" s="13"/>
      <c r="E69" s="533"/>
      <c r="F69" s="13"/>
      <c r="G69" s="533"/>
      <c r="H69" s="13"/>
      <c r="I69" s="533"/>
      <c r="J69" s="13"/>
      <c r="K69" s="533"/>
      <c r="L69" s="13"/>
      <c r="M69" s="13"/>
      <c r="N69" s="366"/>
      <c r="O69" s="2"/>
      <c r="P69" s="2"/>
      <c r="Q69" s="2"/>
      <c r="R69" s="2"/>
      <c r="S69" s="2"/>
    </row>
    <row r="70" spans="1:48" x14ac:dyDescent="0.2">
      <c r="A70" s="14"/>
      <c r="B70" s="14" t="s">
        <v>477</v>
      </c>
      <c r="C70" s="545">
        <v>0</v>
      </c>
      <c r="D70" s="5">
        <v>0</v>
      </c>
      <c r="E70" s="533">
        <f>F70-D70</f>
        <v>0</v>
      </c>
      <c r="F70" s="5">
        <v>0</v>
      </c>
      <c r="G70" s="533">
        <f t="shared" si="4"/>
        <v>0</v>
      </c>
      <c r="H70" s="5">
        <v>0</v>
      </c>
      <c r="I70" s="533">
        <f t="shared" si="4"/>
        <v>0</v>
      </c>
      <c r="J70" s="5">
        <v>0</v>
      </c>
      <c r="K70" s="533">
        <f t="shared" si="4"/>
        <v>0</v>
      </c>
      <c r="L70" s="5">
        <v>0</v>
      </c>
      <c r="M70" s="5">
        <v>0</v>
      </c>
      <c r="N70" s="366"/>
      <c r="O70" s="2"/>
      <c r="P70" s="2"/>
      <c r="Q70" s="2"/>
      <c r="R70" s="2"/>
      <c r="S70" s="2"/>
    </row>
    <row r="71" spans="1:48" ht="13.5" customHeight="1" x14ac:dyDescent="0.2">
      <c r="A71" s="14"/>
      <c r="B71" s="14" t="s">
        <v>344</v>
      </c>
      <c r="C71" s="541">
        <f>SUM(C72)</f>
        <v>349</v>
      </c>
      <c r="D71" s="5">
        <f>SUM(D72)</f>
        <v>700</v>
      </c>
      <c r="E71" s="533">
        <f t="shared" ref="E71:E77" si="8">F71-D71</f>
        <v>0</v>
      </c>
      <c r="F71" s="5">
        <f>SUM(F72)</f>
        <v>700</v>
      </c>
      <c r="G71" s="533">
        <f t="shared" si="4"/>
        <v>-700</v>
      </c>
      <c r="H71" s="5">
        <f>SUM(H72)</f>
        <v>0</v>
      </c>
      <c r="I71" s="533">
        <f t="shared" si="4"/>
        <v>0</v>
      </c>
      <c r="J71" s="5">
        <f>SUM(J72)</f>
        <v>0</v>
      </c>
      <c r="K71" s="533">
        <f t="shared" si="4"/>
        <v>0</v>
      </c>
      <c r="L71" s="5">
        <f>SUM(L72)</f>
        <v>0</v>
      </c>
      <c r="M71" s="5">
        <f>SUM(M72)</f>
        <v>0</v>
      </c>
      <c r="N71" s="366"/>
      <c r="O71" s="2"/>
      <c r="P71" s="2"/>
      <c r="Q71" s="2"/>
      <c r="R71" s="2"/>
      <c r="S71" s="2"/>
    </row>
    <row r="72" spans="1:48" ht="13.5" customHeight="1" x14ac:dyDescent="0.2">
      <c r="A72" s="14"/>
      <c r="B72" s="8" t="s">
        <v>478</v>
      </c>
      <c r="C72" s="217">
        <v>349</v>
      </c>
      <c r="D72" s="13">
        <f>'[3]9.Hivatal'!Y84</f>
        <v>700</v>
      </c>
      <c r="E72" s="533">
        <f t="shared" si="8"/>
        <v>0</v>
      </c>
      <c r="F72" s="13">
        <f>'9.Hivatal'!Z87</f>
        <v>700</v>
      </c>
      <c r="G72" s="533">
        <f t="shared" si="4"/>
        <v>-700</v>
      </c>
      <c r="H72" s="13">
        <v>0</v>
      </c>
      <c r="I72" s="533">
        <f t="shared" si="4"/>
        <v>0</v>
      </c>
      <c r="J72" s="13">
        <v>0</v>
      </c>
      <c r="K72" s="533">
        <f t="shared" si="4"/>
        <v>0</v>
      </c>
      <c r="L72" s="13">
        <v>0</v>
      </c>
      <c r="M72" s="13">
        <v>0</v>
      </c>
      <c r="N72" s="366"/>
      <c r="O72" s="2"/>
      <c r="P72" s="2"/>
      <c r="Q72" s="2"/>
      <c r="R72" s="2"/>
      <c r="S72" s="2"/>
    </row>
    <row r="73" spans="1:48" hidden="1" x14ac:dyDescent="0.2">
      <c r="A73" s="14"/>
      <c r="B73" s="8"/>
      <c r="C73" s="217"/>
      <c r="D73" s="13"/>
      <c r="E73" s="533">
        <f t="shared" si="8"/>
        <v>0</v>
      </c>
      <c r="F73" s="13"/>
      <c r="G73" s="533">
        <f t="shared" si="4"/>
        <v>0</v>
      </c>
      <c r="H73" s="13"/>
      <c r="I73" s="533">
        <f t="shared" si="4"/>
        <v>0</v>
      </c>
      <c r="J73" s="13"/>
      <c r="K73" s="533">
        <f t="shared" si="4"/>
        <v>0</v>
      </c>
      <c r="L73" s="13"/>
      <c r="M73" s="13"/>
      <c r="N73" s="366"/>
      <c r="O73" s="2"/>
      <c r="P73" s="2"/>
      <c r="Q73" s="2"/>
      <c r="R73" s="2"/>
      <c r="S73" s="2"/>
    </row>
    <row r="74" spans="1:48" ht="15.75" customHeight="1" x14ac:dyDescent="0.25">
      <c r="A74" s="14" t="s">
        <v>316</v>
      </c>
      <c r="B74" s="22" t="s">
        <v>1</v>
      </c>
      <c r="C74" s="540">
        <v>172659</v>
      </c>
      <c r="D74" s="150">
        <f>SUM(D75+D80)</f>
        <v>329676</v>
      </c>
      <c r="E74" s="533">
        <f t="shared" si="8"/>
        <v>-53333</v>
      </c>
      <c r="F74" s="150">
        <f>SUM(F75+F80)</f>
        <v>276343</v>
      </c>
      <c r="G74" s="533">
        <f t="shared" si="4"/>
        <v>-276343</v>
      </c>
      <c r="H74" s="150">
        <f>SUM(H75+H80)</f>
        <v>0</v>
      </c>
      <c r="I74" s="533">
        <f t="shared" si="4"/>
        <v>0</v>
      </c>
      <c r="J74" s="150">
        <f>SUM(J75+J80)</f>
        <v>0</v>
      </c>
      <c r="K74" s="533">
        <f t="shared" si="4"/>
        <v>0</v>
      </c>
      <c r="L74" s="150">
        <f>SUM(L75+L80)</f>
        <v>0</v>
      </c>
      <c r="M74" s="150">
        <f>SUM(M75+M80)</f>
        <v>0</v>
      </c>
      <c r="N74" s="366"/>
      <c r="O74" s="2"/>
      <c r="P74" s="2"/>
      <c r="Q74" s="2"/>
      <c r="R74" s="2"/>
      <c r="S74" s="2"/>
    </row>
    <row r="75" spans="1:48" ht="13.5" customHeight="1" x14ac:dyDescent="0.2">
      <c r="A75" s="14"/>
      <c r="B75" s="14" t="s">
        <v>2</v>
      </c>
      <c r="C75" s="542">
        <v>139309</v>
      </c>
      <c r="D75" s="141">
        <f>SUM(D76:D79)</f>
        <v>174613</v>
      </c>
      <c r="E75" s="533">
        <f t="shared" si="8"/>
        <v>-47798</v>
      </c>
      <c r="F75" s="141">
        <f>SUM(F76:F79)</f>
        <v>126815</v>
      </c>
      <c r="G75" s="533">
        <f t="shared" si="4"/>
        <v>-126815</v>
      </c>
      <c r="H75" s="141">
        <f>SUM(H76:H79)</f>
        <v>0</v>
      </c>
      <c r="I75" s="533">
        <f t="shared" si="4"/>
        <v>0</v>
      </c>
      <c r="J75" s="141">
        <f>SUM(J76:J79)</f>
        <v>0</v>
      </c>
      <c r="K75" s="533">
        <f t="shared" si="4"/>
        <v>0</v>
      </c>
      <c r="L75" s="141">
        <f>SUM(L76:L79)</f>
        <v>0</v>
      </c>
      <c r="M75" s="141">
        <f>SUM(M76:M79)</f>
        <v>0</v>
      </c>
      <c r="N75" s="366"/>
      <c r="O75" s="2"/>
      <c r="P75" s="2"/>
      <c r="Q75" s="2"/>
      <c r="R75" s="2"/>
      <c r="S75" s="2"/>
    </row>
    <row r="76" spans="1:48" ht="25.5" x14ac:dyDescent="0.2">
      <c r="A76" s="14"/>
      <c r="B76" s="19" t="s">
        <v>852</v>
      </c>
      <c r="C76" s="123">
        <v>139309</v>
      </c>
      <c r="D76" s="79">
        <f>(220907+8885)-139309</f>
        <v>90483</v>
      </c>
      <c r="E76" s="533">
        <f t="shared" si="8"/>
        <v>0</v>
      </c>
      <c r="F76" s="79">
        <f>(220907+8885)-139309</f>
        <v>90483</v>
      </c>
      <c r="G76" s="533">
        <f t="shared" si="4"/>
        <v>-90483</v>
      </c>
      <c r="H76" s="79">
        <v>0</v>
      </c>
      <c r="I76" s="533">
        <f t="shared" si="4"/>
        <v>0</v>
      </c>
      <c r="J76" s="79">
        <v>0</v>
      </c>
      <c r="K76" s="533">
        <f t="shared" si="4"/>
        <v>0</v>
      </c>
      <c r="L76" s="79">
        <v>0</v>
      </c>
      <c r="M76" s="79">
        <v>0</v>
      </c>
      <c r="N76" s="366"/>
      <c r="O76" s="2"/>
      <c r="P76" s="2" t="s">
        <v>1038</v>
      </c>
      <c r="Q76" s="7"/>
      <c r="R76" s="7" t="s">
        <v>1039</v>
      </c>
      <c r="S76" s="7"/>
      <c r="T76" s="700">
        <f>81598+8885</f>
        <v>90483</v>
      </c>
    </row>
    <row r="77" spans="1:48" x14ac:dyDescent="0.2">
      <c r="A77" s="14"/>
      <c r="B77" s="8" t="s">
        <v>668</v>
      </c>
      <c r="C77" s="217">
        <v>0</v>
      </c>
      <c r="D77" s="11">
        <v>84130</v>
      </c>
      <c r="E77" s="533">
        <f t="shared" si="8"/>
        <v>-47798</v>
      </c>
      <c r="F77" s="11">
        <f>84130-47798</f>
        <v>36332</v>
      </c>
      <c r="G77" s="533">
        <f t="shared" si="4"/>
        <v>-36332</v>
      </c>
      <c r="H77" s="11">
        <v>0</v>
      </c>
      <c r="I77" s="533">
        <f t="shared" si="4"/>
        <v>0</v>
      </c>
      <c r="J77" s="11">
        <v>0</v>
      </c>
      <c r="K77" s="533">
        <f t="shared" si="4"/>
        <v>0</v>
      </c>
      <c r="L77" s="11">
        <v>0</v>
      </c>
      <c r="M77" s="11">
        <v>0</v>
      </c>
      <c r="N77" s="366"/>
      <c r="O77" s="2"/>
      <c r="P77" s="2"/>
      <c r="Q77" s="7">
        <f>229792-139309</f>
        <v>90483</v>
      </c>
      <c r="R77" s="7"/>
      <c r="S77" s="7"/>
      <c r="T77" s="7"/>
    </row>
    <row r="78" spans="1:48" ht="13.5" hidden="1" customHeight="1" x14ac:dyDescent="0.2">
      <c r="A78" s="14"/>
      <c r="B78" s="8"/>
      <c r="C78" s="217"/>
      <c r="D78" s="11"/>
      <c r="E78" s="533"/>
      <c r="F78" s="11"/>
      <c r="G78" s="533">
        <f t="shared" si="4"/>
        <v>0</v>
      </c>
      <c r="H78" s="11"/>
      <c r="I78" s="533">
        <f t="shared" si="4"/>
        <v>0</v>
      </c>
      <c r="J78" s="11"/>
      <c r="K78" s="533">
        <f t="shared" si="4"/>
        <v>0</v>
      </c>
      <c r="L78" s="11"/>
      <c r="M78" s="11"/>
      <c r="N78" s="366"/>
      <c r="O78" s="2"/>
      <c r="P78" s="2"/>
      <c r="Q78" s="2"/>
      <c r="R78" s="2"/>
      <c r="S78" s="2"/>
    </row>
    <row r="79" spans="1:48" ht="7.5" customHeight="1" x14ac:dyDescent="0.2">
      <c r="A79" s="14"/>
      <c r="B79" s="8"/>
      <c r="C79" s="217"/>
      <c r="D79" s="11"/>
      <c r="E79" s="533"/>
      <c r="F79" s="11"/>
      <c r="G79" s="533"/>
      <c r="H79" s="11"/>
      <c r="I79" s="533"/>
      <c r="J79" s="11"/>
      <c r="K79" s="533"/>
      <c r="L79" s="11"/>
      <c r="M79" s="11"/>
      <c r="N79" s="366"/>
      <c r="O79" s="2"/>
      <c r="P79" s="2"/>
      <c r="Q79" s="2"/>
      <c r="R79" s="2"/>
      <c r="S79" s="2"/>
    </row>
    <row r="80" spans="1:48" ht="13.5" customHeight="1" x14ac:dyDescent="0.2">
      <c r="A80" s="14"/>
      <c r="B80" s="14" t="s">
        <v>305</v>
      </c>
      <c r="C80" s="542">
        <v>33350</v>
      </c>
      <c r="D80" s="141">
        <f>SUM(D81:D95)</f>
        <v>155063</v>
      </c>
      <c r="E80" s="533">
        <f>F80-D80</f>
        <v>-5535</v>
      </c>
      <c r="F80" s="141">
        <f>SUM(F81:F95)</f>
        <v>149528</v>
      </c>
      <c r="G80" s="533">
        <f t="shared" si="4"/>
        <v>-149528</v>
      </c>
      <c r="H80" s="141">
        <f>SUM(H81:H95)</f>
        <v>0</v>
      </c>
      <c r="I80" s="533">
        <f t="shared" si="4"/>
        <v>0</v>
      </c>
      <c r="J80" s="141">
        <f>SUM(J81:J95)</f>
        <v>0</v>
      </c>
      <c r="K80" s="533">
        <f t="shared" si="4"/>
        <v>0</v>
      </c>
      <c r="L80" s="141">
        <f>SUM(L81:L95)</f>
        <v>0</v>
      </c>
      <c r="M80" s="141">
        <f>SUM(M81:M95)</f>
        <v>0</v>
      </c>
      <c r="N80" s="366"/>
      <c r="O80" s="2"/>
      <c r="P80" s="2"/>
      <c r="Q80" s="2"/>
      <c r="R80" s="2"/>
      <c r="S80" s="2"/>
    </row>
    <row r="81" spans="1:19" ht="13.5" customHeight="1" x14ac:dyDescent="0.2">
      <c r="A81" s="14"/>
      <c r="B81" s="8" t="s">
        <v>876</v>
      </c>
      <c r="C81" s="217">
        <v>0</v>
      </c>
      <c r="D81" s="11">
        <f>49402-27171</f>
        <v>22231</v>
      </c>
      <c r="E81" s="533">
        <f t="shared" ref="E81:E88" si="9">F81-D81</f>
        <v>0</v>
      </c>
      <c r="F81" s="11">
        <f>49402-27171</f>
        <v>22231</v>
      </c>
      <c r="G81" s="533">
        <f t="shared" si="4"/>
        <v>-22231</v>
      </c>
      <c r="H81" s="11">
        <v>0</v>
      </c>
      <c r="I81" s="533">
        <f t="shared" si="4"/>
        <v>0</v>
      </c>
      <c r="J81" s="11">
        <v>0</v>
      </c>
      <c r="K81" s="533">
        <f t="shared" si="4"/>
        <v>0</v>
      </c>
      <c r="L81" s="11">
        <v>0</v>
      </c>
      <c r="M81" s="11">
        <v>0</v>
      </c>
      <c r="N81" s="366"/>
      <c r="P81" s="2">
        <v>22427</v>
      </c>
      <c r="Q81" s="2"/>
      <c r="R81" s="2"/>
      <c r="S81" s="2"/>
    </row>
    <row r="82" spans="1:19" ht="12.75" customHeight="1" x14ac:dyDescent="0.2">
      <c r="A82" s="14"/>
      <c r="B82" s="8" t="s">
        <v>968</v>
      </c>
      <c r="C82" s="217">
        <v>0</v>
      </c>
      <c r="D82" s="13">
        <f>20597-6178</f>
        <v>14419</v>
      </c>
      <c r="E82" s="533">
        <f t="shared" si="9"/>
        <v>0</v>
      </c>
      <c r="F82" s="13">
        <f>20597-6178</f>
        <v>14419</v>
      </c>
      <c r="G82" s="533">
        <f t="shared" si="4"/>
        <v>-14419</v>
      </c>
      <c r="H82" s="13">
        <v>0</v>
      </c>
      <c r="I82" s="533">
        <f t="shared" si="4"/>
        <v>0</v>
      </c>
      <c r="J82" s="13">
        <v>0</v>
      </c>
      <c r="K82" s="533">
        <f t="shared" si="4"/>
        <v>0</v>
      </c>
      <c r="L82" s="13">
        <v>0</v>
      </c>
      <c r="M82" s="13">
        <v>0</v>
      </c>
      <c r="N82" s="366"/>
      <c r="O82" s="2"/>
      <c r="P82" s="2"/>
      <c r="Q82" s="2"/>
      <c r="R82" s="2"/>
      <c r="S82" s="2"/>
    </row>
    <row r="83" spans="1:19" ht="13.5" customHeight="1" x14ac:dyDescent="0.2">
      <c r="A83" s="14"/>
      <c r="B83" s="8" t="s">
        <v>1044</v>
      </c>
      <c r="C83" s="217">
        <v>0</v>
      </c>
      <c r="D83" s="13">
        <v>4955</v>
      </c>
      <c r="E83" s="533">
        <f t="shared" si="9"/>
        <v>0</v>
      </c>
      <c r="F83" s="13">
        <v>4955</v>
      </c>
      <c r="G83" s="533">
        <f t="shared" si="4"/>
        <v>-4955</v>
      </c>
      <c r="H83" s="13">
        <v>0</v>
      </c>
      <c r="I83" s="533">
        <f t="shared" si="4"/>
        <v>0</v>
      </c>
      <c r="J83" s="13">
        <v>0</v>
      </c>
      <c r="K83" s="533">
        <f t="shared" si="4"/>
        <v>0</v>
      </c>
      <c r="L83" s="13">
        <v>0</v>
      </c>
      <c r="M83" s="13">
        <v>0</v>
      </c>
      <c r="N83" s="366"/>
      <c r="O83" s="2"/>
      <c r="P83" s="2"/>
      <c r="Q83" s="2"/>
      <c r="R83" s="2"/>
      <c r="S83" s="2"/>
    </row>
    <row r="84" spans="1:19" ht="13.5" customHeight="1" x14ac:dyDescent="0.2">
      <c r="A84" s="14"/>
      <c r="B84" s="8" t="s">
        <v>1101</v>
      </c>
      <c r="C84" s="217">
        <v>0</v>
      </c>
      <c r="D84" s="13">
        <v>22098</v>
      </c>
      <c r="E84" s="533">
        <f t="shared" si="9"/>
        <v>-3069</v>
      </c>
      <c r="F84" s="13">
        <f>22098-3069</f>
        <v>19029</v>
      </c>
      <c r="G84" s="533">
        <f t="shared" si="4"/>
        <v>-19029</v>
      </c>
      <c r="H84" s="13">
        <v>0</v>
      </c>
      <c r="I84" s="533">
        <f t="shared" si="4"/>
        <v>0</v>
      </c>
      <c r="J84" s="13">
        <v>0</v>
      </c>
      <c r="K84" s="533">
        <f t="shared" si="4"/>
        <v>0</v>
      </c>
      <c r="L84" s="13">
        <v>0</v>
      </c>
      <c r="M84" s="13">
        <v>0</v>
      </c>
      <c r="N84" s="366"/>
      <c r="O84" s="2"/>
      <c r="P84" s="2"/>
      <c r="Q84" s="2"/>
      <c r="R84" s="2"/>
      <c r="S84" s="2"/>
    </row>
    <row r="85" spans="1:19" ht="13.5" customHeight="1" x14ac:dyDescent="0.2">
      <c r="A85" s="14"/>
      <c r="B85" s="8" t="s">
        <v>1065</v>
      </c>
      <c r="C85" s="217">
        <v>0</v>
      </c>
      <c r="D85" s="11">
        <v>22860</v>
      </c>
      <c r="E85" s="533">
        <f t="shared" si="9"/>
        <v>0</v>
      </c>
      <c r="F85" s="11">
        <v>22860</v>
      </c>
      <c r="G85" s="533">
        <f t="shared" si="4"/>
        <v>-22860</v>
      </c>
      <c r="H85" s="11">
        <v>0</v>
      </c>
      <c r="I85" s="533">
        <f t="shared" si="4"/>
        <v>0</v>
      </c>
      <c r="J85" s="11">
        <v>0</v>
      </c>
      <c r="K85" s="533">
        <f t="shared" si="4"/>
        <v>0</v>
      </c>
      <c r="L85" s="11">
        <v>0</v>
      </c>
      <c r="M85" s="11">
        <v>0</v>
      </c>
      <c r="N85" s="366"/>
      <c r="O85" s="2"/>
      <c r="P85" s="2"/>
      <c r="Q85" s="2"/>
      <c r="R85" s="2"/>
      <c r="S85" s="2"/>
    </row>
    <row r="86" spans="1:19" ht="13.5" customHeight="1" x14ac:dyDescent="0.2">
      <c r="A86" s="14"/>
      <c r="B86" s="8" t="s">
        <v>1078</v>
      </c>
      <c r="C86" s="217">
        <v>0</v>
      </c>
      <c r="D86" s="11">
        <v>3000</v>
      </c>
      <c r="E86" s="533">
        <f t="shared" si="9"/>
        <v>-2466</v>
      </c>
      <c r="F86" s="11">
        <f>3000-857-516-1093</f>
        <v>534</v>
      </c>
      <c r="G86" s="533"/>
      <c r="H86" s="11"/>
      <c r="I86" s="533"/>
      <c r="J86" s="11"/>
      <c r="K86" s="533"/>
      <c r="L86" s="11"/>
      <c r="M86" s="11"/>
      <c r="N86" s="366"/>
      <c r="O86" s="2"/>
      <c r="P86" s="2"/>
      <c r="Q86" s="2"/>
      <c r="R86" s="2"/>
      <c r="S86" s="2"/>
    </row>
    <row r="87" spans="1:19" ht="13.5" customHeight="1" x14ac:dyDescent="0.2">
      <c r="A87" s="14"/>
      <c r="B87" s="8" t="s">
        <v>1102</v>
      </c>
      <c r="C87" s="217">
        <v>0</v>
      </c>
      <c r="D87" s="11">
        <v>63500</v>
      </c>
      <c r="E87" s="533">
        <f t="shared" si="9"/>
        <v>0</v>
      </c>
      <c r="F87" s="11">
        <v>63500</v>
      </c>
      <c r="G87" s="533">
        <f t="shared" si="4"/>
        <v>-63500</v>
      </c>
      <c r="H87" s="11">
        <v>0</v>
      </c>
      <c r="I87" s="533">
        <f t="shared" si="4"/>
        <v>0</v>
      </c>
      <c r="J87" s="11">
        <v>0</v>
      </c>
      <c r="K87" s="533">
        <f t="shared" si="4"/>
        <v>0</v>
      </c>
      <c r="L87" s="11">
        <v>0</v>
      </c>
      <c r="M87" s="11">
        <v>0</v>
      </c>
      <c r="N87" s="366"/>
      <c r="O87" s="2"/>
      <c r="P87" s="2"/>
      <c r="Q87" s="2"/>
      <c r="R87" s="2"/>
      <c r="S87" s="2"/>
    </row>
    <row r="88" spans="1:19" ht="13.5" customHeight="1" x14ac:dyDescent="0.2">
      <c r="A88" s="14"/>
      <c r="B88" s="8" t="s">
        <v>1113</v>
      </c>
      <c r="C88" s="217">
        <v>0</v>
      </c>
      <c r="D88" s="11">
        <v>2000</v>
      </c>
      <c r="E88" s="533">
        <f t="shared" si="9"/>
        <v>0</v>
      </c>
      <c r="F88" s="11">
        <v>2000</v>
      </c>
      <c r="G88" s="533">
        <f t="shared" si="4"/>
        <v>-2000</v>
      </c>
      <c r="H88" s="11">
        <v>0</v>
      </c>
      <c r="I88" s="533">
        <f t="shared" si="4"/>
        <v>0</v>
      </c>
      <c r="J88" s="11">
        <v>0</v>
      </c>
      <c r="K88" s="533">
        <f t="shared" si="4"/>
        <v>0</v>
      </c>
      <c r="L88" s="11">
        <v>0</v>
      </c>
      <c r="M88" s="11">
        <v>0</v>
      </c>
      <c r="N88" s="366"/>
      <c r="O88" s="2"/>
      <c r="P88" s="2"/>
      <c r="Q88" s="2"/>
      <c r="R88" s="2"/>
      <c r="S88" s="2"/>
    </row>
    <row r="89" spans="1:19" ht="13.5" hidden="1" customHeight="1" x14ac:dyDescent="0.2">
      <c r="A89" s="14"/>
      <c r="B89" s="8"/>
      <c r="C89" s="217"/>
      <c r="D89" s="11">
        <v>0</v>
      </c>
      <c r="E89" s="533"/>
      <c r="F89" s="11">
        <v>0</v>
      </c>
      <c r="G89" s="533">
        <f t="shared" si="4"/>
        <v>0</v>
      </c>
      <c r="H89" s="11">
        <v>0</v>
      </c>
      <c r="I89" s="533">
        <f t="shared" si="4"/>
        <v>0</v>
      </c>
      <c r="J89" s="11">
        <v>0</v>
      </c>
      <c r="K89" s="533">
        <f t="shared" si="4"/>
        <v>0</v>
      </c>
      <c r="L89" s="11">
        <v>0</v>
      </c>
      <c r="M89" s="11">
        <v>0</v>
      </c>
      <c r="N89" s="366"/>
      <c r="O89" s="2"/>
      <c r="P89" s="2"/>
      <c r="Q89" s="2"/>
      <c r="R89" s="2"/>
      <c r="S89" s="2"/>
    </row>
    <row r="90" spans="1:19" ht="13.5" hidden="1" customHeight="1" x14ac:dyDescent="0.2">
      <c r="A90" s="14"/>
      <c r="B90" s="8"/>
      <c r="C90" s="217"/>
      <c r="D90" s="11"/>
      <c r="E90" s="533"/>
      <c r="F90" s="11"/>
      <c r="G90" s="533">
        <f t="shared" si="4"/>
        <v>0</v>
      </c>
      <c r="H90" s="11"/>
      <c r="I90" s="533">
        <f t="shared" si="4"/>
        <v>0</v>
      </c>
      <c r="J90" s="11"/>
      <c r="K90" s="533">
        <f t="shared" si="4"/>
        <v>0</v>
      </c>
      <c r="L90" s="11"/>
      <c r="M90" s="11"/>
      <c r="N90" s="366"/>
      <c r="O90" s="2"/>
      <c r="P90" s="2"/>
      <c r="Q90" s="2"/>
      <c r="R90" s="2"/>
      <c r="S90" s="2"/>
    </row>
    <row r="91" spans="1:19" ht="13.5" hidden="1" customHeight="1" x14ac:dyDescent="0.2">
      <c r="A91" s="14"/>
      <c r="B91" s="8"/>
      <c r="C91" s="217"/>
      <c r="D91" s="11"/>
      <c r="E91" s="533"/>
      <c r="F91" s="11"/>
      <c r="G91" s="533">
        <f t="shared" si="4"/>
        <v>0</v>
      </c>
      <c r="H91" s="11"/>
      <c r="I91" s="533">
        <f t="shared" si="4"/>
        <v>0</v>
      </c>
      <c r="J91" s="11"/>
      <c r="K91" s="533">
        <f t="shared" si="4"/>
        <v>0</v>
      </c>
      <c r="L91" s="11"/>
      <c r="M91" s="11"/>
      <c r="N91" s="366"/>
      <c r="O91" s="2"/>
      <c r="P91" s="2"/>
      <c r="Q91" s="2"/>
      <c r="R91" s="2"/>
      <c r="S91" s="2"/>
    </row>
    <row r="92" spans="1:19" ht="13.5" hidden="1" customHeight="1" x14ac:dyDescent="0.2">
      <c r="A92" s="14"/>
      <c r="B92" s="8"/>
      <c r="C92" s="217"/>
      <c r="D92" s="11"/>
      <c r="E92" s="533"/>
      <c r="F92" s="11"/>
      <c r="G92" s="533">
        <f t="shared" si="4"/>
        <v>0</v>
      </c>
      <c r="H92" s="11"/>
      <c r="I92" s="533">
        <f t="shared" si="4"/>
        <v>0</v>
      </c>
      <c r="J92" s="11"/>
      <c r="K92" s="533">
        <f t="shared" si="4"/>
        <v>0</v>
      </c>
      <c r="L92" s="11"/>
      <c r="M92" s="11"/>
      <c r="N92" s="366"/>
      <c r="O92" s="2"/>
      <c r="P92" s="2"/>
      <c r="Q92" s="2"/>
      <c r="R92" s="2"/>
      <c r="S92" s="2"/>
    </row>
    <row r="93" spans="1:19" ht="13.5" hidden="1" customHeight="1" x14ac:dyDescent="0.2">
      <c r="A93" s="14"/>
      <c r="B93" s="8"/>
      <c r="C93" s="217"/>
      <c r="D93" s="11"/>
      <c r="E93" s="533"/>
      <c r="F93" s="11"/>
      <c r="G93" s="533">
        <f t="shared" si="4"/>
        <v>0</v>
      </c>
      <c r="H93" s="11"/>
      <c r="I93" s="533">
        <f t="shared" si="4"/>
        <v>0</v>
      </c>
      <c r="J93" s="11"/>
      <c r="K93" s="533">
        <f t="shared" si="4"/>
        <v>0</v>
      </c>
      <c r="L93" s="11"/>
      <c r="M93" s="11"/>
      <c r="N93" s="366"/>
      <c r="O93" s="2"/>
      <c r="P93" s="2"/>
      <c r="Q93" s="2"/>
      <c r="R93" s="2"/>
      <c r="S93" s="2"/>
    </row>
    <row r="94" spans="1:19" ht="13.5" hidden="1" customHeight="1" x14ac:dyDescent="0.2">
      <c r="A94" s="14"/>
      <c r="B94" s="8"/>
      <c r="C94" s="217"/>
      <c r="D94" s="11"/>
      <c r="E94" s="533"/>
      <c r="F94" s="11"/>
      <c r="G94" s="533">
        <f t="shared" si="4"/>
        <v>0</v>
      </c>
      <c r="H94" s="11"/>
      <c r="I94" s="533">
        <f t="shared" si="4"/>
        <v>0</v>
      </c>
      <c r="J94" s="11"/>
      <c r="K94" s="533">
        <f t="shared" si="4"/>
        <v>0</v>
      </c>
      <c r="L94" s="11"/>
      <c r="M94" s="11"/>
      <c r="N94" s="366"/>
      <c r="O94" s="2"/>
      <c r="P94" s="2"/>
      <c r="Q94" s="2"/>
      <c r="R94" s="2"/>
      <c r="S94" s="2"/>
    </row>
    <row r="95" spans="1:19" ht="7.5" customHeight="1" x14ac:dyDescent="0.2">
      <c r="A95" s="14"/>
      <c r="B95" s="8"/>
      <c r="C95" s="217"/>
      <c r="D95" s="11"/>
      <c r="E95" s="533"/>
      <c r="F95" s="11"/>
      <c r="G95" s="533"/>
      <c r="H95" s="11"/>
      <c r="I95" s="533"/>
      <c r="J95" s="11"/>
      <c r="K95" s="533"/>
      <c r="L95" s="11"/>
      <c r="M95" s="11"/>
      <c r="N95" s="366"/>
      <c r="O95" s="2"/>
      <c r="P95" s="2"/>
      <c r="Q95" s="2"/>
      <c r="R95" s="2"/>
      <c r="S95" s="2"/>
    </row>
    <row r="96" spans="1:19" ht="15" x14ac:dyDescent="0.25">
      <c r="A96" s="14" t="s">
        <v>315</v>
      </c>
      <c r="B96" s="22" t="s">
        <v>12</v>
      </c>
      <c r="C96" s="558">
        <v>0</v>
      </c>
      <c r="D96" s="40">
        <f>SUM(D97:D101)</f>
        <v>0</v>
      </c>
      <c r="E96" s="533">
        <f>F96-D96</f>
        <v>22225</v>
      </c>
      <c r="F96" s="40">
        <f>SUM(F97:F101)</f>
        <v>22225</v>
      </c>
      <c r="G96" s="533">
        <f t="shared" si="4"/>
        <v>-22225</v>
      </c>
      <c r="H96" s="40">
        <f>SUM(H97:H101)</f>
        <v>0</v>
      </c>
      <c r="I96" s="533">
        <f t="shared" si="4"/>
        <v>0</v>
      </c>
      <c r="J96" s="40">
        <f>SUM(J97:J101)</f>
        <v>0</v>
      </c>
      <c r="K96" s="533">
        <f t="shared" si="4"/>
        <v>0</v>
      </c>
      <c r="L96" s="40">
        <f>SUM(L97:L101)</f>
        <v>0</v>
      </c>
      <c r="M96" s="40">
        <f>SUM(M97:M101)</f>
        <v>0</v>
      </c>
      <c r="N96" s="366"/>
      <c r="O96" s="2"/>
      <c r="P96" s="2"/>
      <c r="Q96" s="2"/>
      <c r="R96" s="2"/>
      <c r="S96" s="2"/>
    </row>
    <row r="97" spans="1:19" s="286" customFormat="1" ht="26.25" customHeight="1" x14ac:dyDescent="0.2">
      <c r="A97" s="535" t="s">
        <v>592</v>
      </c>
      <c r="B97" s="515" t="s">
        <v>1155</v>
      </c>
      <c r="C97" s="578"/>
      <c r="D97" s="157">
        <v>0</v>
      </c>
      <c r="E97" s="533">
        <f t="shared" ref="E97:E108" si="10">F97-D97</f>
        <v>22225</v>
      </c>
      <c r="F97" s="157">
        <v>22225</v>
      </c>
      <c r="G97" s="533">
        <f t="shared" si="4"/>
        <v>-22225</v>
      </c>
      <c r="H97" s="157">
        <v>0</v>
      </c>
      <c r="I97" s="533">
        <f t="shared" si="4"/>
        <v>0</v>
      </c>
      <c r="J97" s="157">
        <v>0</v>
      </c>
      <c r="K97" s="533">
        <f t="shared" si="4"/>
        <v>0</v>
      </c>
      <c r="L97" s="157">
        <v>0</v>
      </c>
      <c r="M97" s="157">
        <v>0</v>
      </c>
      <c r="N97" s="366"/>
      <c r="O97" s="66"/>
      <c r="P97" s="66"/>
      <c r="Q97" s="66"/>
      <c r="R97" s="66"/>
      <c r="S97" s="66"/>
    </row>
    <row r="98" spans="1:19" ht="13.5" hidden="1" customHeight="1" x14ac:dyDescent="0.2">
      <c r="A98" s="8" t="s">
        <v>592</v>
      </c>
      <c r="B98" s="19" t="s">
        <v>818</v>
      </c>
      <c r="C98" s="548"/>
      <c r="D98" s="13">
        <v>0</v>
      </c>
      <c r="E98" s="533">
        <f t="shared" si="10"/>
        <v>0</v>
      </c>
      <c r="F98" s="13">
        <v>0</v>
      </c>
      <c r="G98" s="533">
        <f t="shared" si="4"/>
        <v>0</v>
      </c>
      <c r="H98" s="13">
        <v>0</v>
      </c>
      <c r="I98" s="533">
        <f t="shared" si="4"/>
        <v>0</v>
      </c>
      <c r="J98" s="13">
        <v>0</v>
      </c>
      <c r="K98" s="533">
        <f t="shared" si="4"/>
        <v>0</v>
      </c>
      <c r="L98" s="13">
        <v>0</v>
      </c>
      <c r="M98" s="13">
        <v>0</v>
      </c>
      <c r="N98" s="366"/>
      <c r="O98" s="2"/>
      <c r="P98" s="2"/>
      <c r="Q98" s="2"/>
      <c r="R98" s="2"/>
      <c r="S98" s="2"/>
    </row>
    <row r="99" spans="1:19" ht="13.5" hidden="1" customHeight="1" x14ac:dyDescent="0.2">
      <c r="A99" s="8" t="s">
        <v>592</v>
      </c>
      <c r="B99" s="19" t="s">
        <v>819</v>
      </c>
      <c r="C99" s="548"/>
      <c r="D99" s="13">
        <v>0</v>
      </c>
      <c r="E99" s="533">
        <f t="shared" si="10"/>
        <v>0</v>
      </c>
      <c r="F99" s="13">
        <v>0</v>
      </c>
      <c r="G99" s="533">
        <f t="shared" si="4"/>
        <v>0</v>
      </c>
      <c r="H99" s="13">
        <v>0</v>
      </c>
      <c r="I99" s="533">
        <f t="shared" si="4"/>
        <v>0</v>
      </c>
      <c r="J99" s="13">
        <v>0</v>
      </c>
      <c r="K99" s="533">
        <f t="shared" si="4"/>
        <v>0</v>
      </c>
      <c r="L99" s="13">
        <v>0</v>
      </c>
      <c r="M99" s="13">
        <v>0</v>
      </c>
      <c r="N99" s="366"/>
      <c r="O99" s="2"/>
      <c r="P99" s="2"/>
      <c r="Q99" s="2"/>
      <c r="R99" s="2"/>
      <c r="S99" s="2"/>
    </row>
    <row r="100" spans="1:19" ht="13.5" hidden="1" customHeight="1" x14ac:dyDescent="0.2">
      <c r="A100" s="8" t="s">
        <v>600</v>
      </c>
      <c r="B100" s="19" t="s">
        <v>617</v>
      </c>
      <c r="C100" s="548"/>
      <c r="D100" s="13">
        <v>0</v>
      </c>
      <c r="E100" s="533">
        <f t="shared" si="10"/>
        <v>0</v>
      </c>
      <c r="F100" s="13">
        <v>0</v>
      </c>
      <c r="G100" s="533">
        <f t="shared" si="4"/>
        <v>0</v>
      </c>
      <c r="H100" s="13">
        <v>0</v>
      </c>
      <c r="I100" s="533">
        <f t="shared" si="4"/>
        <v>0</v>
      </c>
      <c r="J100" s="13">
        <v>0</v>
      </c>
      <c r="K100" s="533">
        <f t="shared" si="4"/>
        <v>0</v>
      </c>
      <c r="L100" s="13">
        <v>0</v>
      </c>
      <c r="M100" s="13">
        <v>0</v>
      </c>
      <c r="N100" s="366"/>
      <c r="O100" s="2"/>
      <c r="P100" s="2"/>
      <c r="Q100" s="2"/>
      <c r="R100" s="2"/>
      <c r="S100" s="2"/>
    </row>
    <row r="101" spans="1:19" hidden="1" x14ac:dyDescent="0.2">
      <c r="A101" s="14"/>
      <c r="B101" s="8" t="s">
        <v>751</v>
      </c>
      <c r="C101" s="217"/>
      <c r="D101" s="13">
        <f>609635-609635</f>
        <v>0</v>
      </c>
      <c r="E101" s="533">
        <f t="shared" si="10"/>
        <v>0</v>
      </c>
      <c r="F101" s="13">
        <f>609635-609635</f>
        <v>0</v>
      </c>
      <c r="G101" s="533">
        <f t="shared" si="4"/>
        <v>0</v>
      </c>
      <c r="H101" s="13">
        <f>609635-609635</f>
        <v>0</v>
      </c>
      <c r="I101" s="533">
        <f t="shared" si="4"/>
        <v>0</v>
      </c>
      <c r="J101" s="13">
        <f>609635-609635</f>
        <v>0</v>
      </c>
      <c r="K101" s="533">
        <f t="shared" si="4"/>
        <v>0</v>
      </c>
      <c r="L101" s="13">
        <f>609635-609635</f>
        <v>0</v>
      </c>
      <c r="M101" s="13">
        <f>609635-609635</f>
        <v>0</v>
      </c>
      <c r="N101" s="366"/>
      <c r="O101" s="2"/>
      <c r="P101" s="2"/>
      <c r="Q101" s="2"/>
      <c r="R101" s="2"/>
      <c r="S101" s="2"/>
    </row>
    <row r="102" spans="1:19" hidden="1" x14ac:dyDescent="0.2">
      <c r="A102" s="14"/>
      <c r="B102" s="8" t="s">
        <v>546</v>
      </c>
      <c r="C102" s="217"/>
      <c r="D102" s="13">
        <v>0</v>
      </c>
      <c r="E102" s="533">
        <f t="shared" si="10"/>
        <v>0</v>
      </c>
      <c r="F102" s="13">
        <v>0</v>
      </c>
      <c r="G102" s="533">
        <f t="shared" si="4"/>
        <v>0</v>
      </c>
      <c r="H102" s="13">
        <v>0</v>
      </c>
      <c r="I102" s="533">
        <f t="shared" si="4"/>
        <v>0</v>
      </c>
      <c r="J102" s="13">
        <v>0</v>
      </c>
      <c r="K102" s="533">
        <f t="shared" si="4"/>
        <v>0</v>
      </c>
      <c r="L102" s="13">
        <v>0</v>
      </c>
      <c r="M102" s="13">
        <v>0</v>
      </c>
      <c r="N102" s="366"/>
      <c r="O102" s="2"/>
      <c r="P102" s="2"/>
      <c r="Q102" s="2"/>
      <c r="R102" s="2"/>
      <c r="S102" s="2"/>
    </row>
    <row r="103" spans="1:19" ht="15.75" x14ac:dyDescent="0.2">
      <c r="A103" s="14" t="s">
        <v>196</v>
      </c>
      <c r="B103" s="177" t="s">
        <v>306</v>
      </c>
      <c r="C103" s="575">
        <f>SUM(C104+C107+C108)</f>
        <v>94210</v>
      </c>
      <c r="D103" s="324">
        <f>SUM(D104+D107+D108)</f>
        <v>94210</v>
      </c>
      <c r="E103" s="533">
        <f t="shared" si="10"/>
        <v>0</v>
      </c>
      <c r="F103" s="324">
        <f>SUM(F104+F107+F108)</f>
        <v>94210</v>
      </c>
      <c r="G103" s="533">
        <f t="shared" si="4"/>
        <v>-94210</v>
      </c>
      <c r="H103" s="324">
        <f>SUM(H104+H107+H108)</f>
        <v>0</v>
      </c>
      <c r="I103" s="533">
        <f t="shared" si="4"/>
        <v>0</v>
      </c>
      <c r="J103" s="324">
        <f>SUM(J104+J107+J108)</f>
        <v>0</v>
      </c>
      <c r="K103" s="533">
        <f t="shared" si="4"/>
        <v>0</v>
      </c>
      <c r="L103" s="324">
        <f>SUM(L104+L107+L108)</f>
        <v>0</v>
      </c>
      <c r="M103" s="324">
        <f>SUM(M104+M107+M108)</f>
        <v>0</v>
      </c>
      <c r="N103" s="366"/>
      <c r="O103" s="2"/>
      <c r="P103" s="2"/>
      <c r="Q103" s="2"/>
      <c r="R103" s="2"/>
      <c r="S103" s="2"/>
    </row>
    <row r="104" spans="1:19" ht="15" customHeight="1" x14ac:dyDescent="0.2">
      <c r="A104" s="14"/>
      <c r="B104" s="179" t="s">
        <v>339</v>
      </c>
      <c r="C104" s="575">
        <f>SUM(C106)</f>
        <v>94210</v>
      </c>
      <c r="D104" s="325">
        <f>SUM(D106)</f>
        <v>94210</v>
      </c>
      <c r="E104" s="533">
        <f t="shared" si="10"/>
        <v>0</v>
      </c>
      <c r="F104" s="325">
        <f>SUM(F106)</f>
        <v>94210</v>
      </c>
      <c r="G104" s="533">
        <f t="shared" si="4"/>
        <v>-94210</v>
      </c>
      <c r="H104" s="325">
        <f>SUM(H106)</f>
        <v>0</v>
      </c>
      <c r="I104" s="533">
        <f t="shared" si="4"/>
        <v>0</v>
      </c>
      <c r="J104" s="325">
        <f>SUM(J106)</f>
        <v>0</v>
      </c>
      <c r="K104" s="533">
        <f t="shared" si="4"/>
        <v>0</v>
      </c>
      <c r="L104" s="325">
        <f>SUM(L106)</f>
        <v>0</v>
      </c>
      <c r="M104" s="325">
        <f>SUM(M106)</f>
        <v>0</v>
      </c>
      <c r="N104" s="366"/>
      <c r="O104" s="2"/>
      <c r="P104" s="2"/>
      <c r="Q104" s="2"/>
      <c r="R104" s="2"/>
      <c r="S104" s="2"/>
    </row>
    <row r="105" spans="1:19" ht="13.5" hidden="1" customHeight="1" x14ac:dyDescent="0.2">
      <c r="A105" s="14"/>
      <c r="B105" s="213" t="s">
        <v>340</v>
      </c>
      <c r="C105" s="571"/>
      <c r="D105" s="178"/>
      <c r="E105" s="533">
        <f t="shared" si="10"/>
        <v>0</v>
      </c>
      <c r="F105" s="178"/>
      <c r="G105" s="533">
        <f t="shared" si="4"/>
        <v>0</v>
      </c>
      <c r="H105" s="178"/>
      <c r="I105" s="533">
        <f t="shared" si="4"/>
        <v>0</v>
      </c>
      <c r="J105" s="178"/>
      <c r="K105" s="533">
        <f t="shared" si="4"/>
        <v>0</v>
      </c>
      <c r="L105" s="178"/>
      <c r="M105" s="178"/>
      <c r="N105" s="366"/>
      <c r="O105" s="2"/>
      <c r="P105" s="2"/>
      <c r="Q105" s="2"/>
      <c r="R105" s="2"/>
      <c r="S105" s="2"/>
    </row>
    <row r="106" spans="1:19" ht="13.5" customHeight="1" x14ac:dyDescent="0.2">
      <c r="A106" s="14"/>
      <c r="B106" s="213" t="s">
        <v>867</v>
      </c>
      <c r="C106" s="123">
        <v>94210</v>
      </c>
      <c r="D106" s="79">
        <v>94210</v>
      </c>
      <c r="E106" s="533">
        <f t="shared" si="10"/>
        <v>0</v>
      </c>
      <c r="F106" s="79">
        <v>94210</v>
      </c>
      <c r="G106" s="533">
        <f t="shared" si="4"/>
        <v>-94210</v>
      </c>
      <c r="H106" s="79">
        <v>0</v>
      </c>
      <c r="I106" s="533">
        <f t="shared" si="4"/>
        <v>0</v>
      </c>
      <c r="J106" s="79">
        <v>0</v>
      </c>
      <c r="K106" s="533">
        <f t="shared" si="4"/>
        <v>0</v>
      </c>
      <c r="L106" s="79">
        <v>0</v>
      </c>
      <c r="M106" s="79">
        <v>0</v>
      </c>
      <c r="N106" s="366"/>
      <c r="O106" s="2"/>
      <c r="P106" s="2"/>
      <c r="Q106" s="2"/>
      <c r="R106" s="2"/>
      <c r="S106" s="2"/>
    </row>
    <row r="107" spans="1:19" ht="15" customHeight="1" x14ac:dyDescent="0.2">
      <c r="A107" s="14"/>
      <c r="B107" s="179" t="s">
        <v>341</v>
      </c>
      <c r="C107" s="576">
        <v>0</v>
      </c>
      <c r="D107" s="178">
        <v>0</v>
      </c>
      <c r="E107" s="533">
        <f t="shared" si="10"/>
        <v>0</v>
      </c>
      <c r="F107" s="178">
        <v>0</v>
      </c>
      <c r="G107" s="533">
        <f t="shared" si="4"/>
        <v>0</v>
      </c>
      <c r="H107" s="178">
        <v>0</v>
      </c>
      <c r="I107" s="533">
        <f t="shared" si="4"/>
        <v>0</v>
      </c>
      <c r="J107" s="178">
        <v>0</v>
      </c>
      <c r="K107" s="533">
        <f t="shared" si="4"/>
        <v>0</v>
      </c>
      <c r="L107" s="178">
        <v>0</v>
      </c>
      <c r="M107" s="178">
        <v>0</v>
      </c>
      <c r="N107" s="366"/>
      <c r="O107" s="2"/>
      <c r="P107" s="2"/>
      <c r="Q107" s="2"/>
      <c r="R107" s="2"/>
      <c r="S107" s="2"/>
    </row>
    <row r="108" spans="1:19" ht="15" customHeight="1" thickBot="1" x14ac:dyDescent="0.25">
      <c r="A108" s="21"/>
      <c r="B108" s="176" t="s">
        <v>342</v>
      </c>
      <c r="C108" s="577">
        <v>0</v>
      </c>
      <c r="D108" s="165">
        <v>0</v>
      </c>
      <c r="E108" s="533">
        <f t="shared" si="10"/>
        <v>0</v>
      </c>
      <c r="F108" s="165">
        <v>0</v>
      </c>
      <c r="G108" s="533">
        <f t="shared" si="4"/>
        <v>0</v>
      </c>
      <c r="H108" s="165">
        <v>0</v>
      </c>
      <c r="I108" s="533">
        <f t="shared" si="4"/>
        <v>0</v>
      </c>
      <c r="J108" s="165">
        <v>0</v>
      </c>
      <c r="K108" s="533">
        <f t="shared" si="4"/>
        <v>0</v>
      </c>
      <c r="L108" s="165">
        <v>0</v>
      </c>
      <c r="M108" s="165">
        <v>0</v>
      </c>
      <c r="N108" s="366"/>
      <c r="O108" s="2"/>
      <c r="P108" s="2"/>
      <c r="Q108" s="2"/>
      <c r="R108" s="2"/>
      <c r="S108" s="2"/>
    </row>
    <row r="109" spans="1:19" ht="20.25" customHeight="1" thickBot="1" x14ac:dyDescent="0.4">
      <c r="A109" s="207"/>
      <c r="B109" s="238" t="s">
        <v>338</v>
      </c>
      <c r="C109" s="573">
        <f>SUM(C46+C103)</f>
        <v>455352</v>
      </c>
      <c r="D109" s="216">
        <f>SUM(D46+D103)</f>
        <v>1168448</v>
      </c>
      <c r="E109" s="534">
        <f>F109-D109</f>
        <v>-30330</v>
      </c>
      <c r="F109" s="216">
        <f>SUM(F46+F103)</f>
        <v>1138118</v>
      </c>
      <c r="G109" s="534">
        <f>H109-F109</f>
        <v>-1138118</v>
      </c>
      <c r="H109" s="216">
        <f>SUM(H46+H103)</f>
        <v>0</v>
      </c>
      <c r="I109" s="534">
        <f>J109-H109</f>
        <v>0</v>
      </c>
      <c r="J109" s="216">
        <f>SUM(J46+J103)</f>
        <v>0</v>
      </c>
      <c r="K109" s="534">
        <f>L109-J109</f>
        <v>0</v>
      </c>
      <c r="L109" s="216">
        <f>SUM(L46+L103)</f>
        <v>0</v>
      </c>
      <c r="M109" s="216">
        <f>SUM(M46+M103)</f>
        <v>0</v>
      </c>
      <c r="N109" s="366"/>
      <c r="O109" s="2"/>
      <c r="P109" s="2"/>
      <c r="Q109" s="2"/>
      <c r="R109" s="2"/>
      <c r="S109" s="2"/>
    </row>
    <row r="110" spans="1:19" ht="15.75" hidden="1" customHeight="1" x14ac:dyDescent="0.2">
      <c r="B110" s="2"/>
      <c r="C110" s="26"/>
      <c r="D110" s="7">
        <f>SUM(D45-D109)</f>
        <v>-303088</v>
      </c>
      <c r="E110" s="7"/>
      <c r="F110" s="7">
        <f>SUM(F45-F109)</f>
        <v>-221052</v>
      </c>
      <c r="G110" s="7"/>
      <c r="H110" s="7">
        <f>SUM(H45-H109)</f>
        <v>0</v>
      </c>
      <c r="I110" s="7"/>
      <c r="J110" s="7">
        <f>SUM(J45-J109)</f>
        <v>0</v>
      </c>
      <c r="K110" s="7"/>
      <c r="L110" s="7">
        <f>SUM(L45-L109)</f>
        <v>0</v>
      </c>
      <c r="M110" s="7">
        <f>SUM(M45-M109)</f>
        <v>0</v>
      </c>
      <c r="N110" s="2"/>
      <c r="O110" s="2"/>
      <c r="P110" s="2"/>
      <c r="Q110" s="2"/>
      <c r="R110" s="2"/>
      <c r="S110" s="2"/>
    </row>
    <row r="111" spans="1:19" s="160" customFormat="1" ht="13.5" hidden="1" customHeight="1" x14ac:dyDescent="0.2">
      <c r="A111" s="86"/>
      <c r="B111" s="160" t="s">
        <v>296</v>
      </c>
      <c r="C111" s="9"/>
      <c r="D111" s="35">
        <f>SUM(D45-D109)</f>
        <v>-303088</v>
      </c>
      <c r="F111" s="35">
        <f>SUM(F45-F109)</f>
        <v>-221052</v>
      </c>
      <c r="N111" s="86"/>
      <c r="O111" s="86"/>
      <c r="P111" s="86"/>
      <c r="Q111" s="86"/>
      <c r="R111" s="86"/>
      <c r="S111" s="86"/>
    </row>
    <row r="112" spans="1:19" s="160" customFormat="1" ht="13.5" hidden="1" customHeight="1" x14ac:dyDescent="0.2">
      <c r="A112" s="86"/>
      <c r="B112" s="244" t="s">
        <v>610</v>
      </c>
      <c r="C112" s="574"/>
      <c r="D112" s="35" t="e">
        <f>-SUM('8.Önk.'!#REF!)</f>
        <v>#REF!</v>
      </c>
      <c r="E112" s="35"/>
      <c r="F112" s="35" t="e">
        <f>-SUM('8.Önk.'!#REF!)</f>
        <v>#REF!</v>
      </c>
      <c r="G112" s="35"/>
      <c r="H112" s="35"/>
      <c r="I112" s="35"/>
      <c r="J112" s="35"/>
      <c r="K112" s="35"/>
      <c r="L112" s="35"/>
      <c r="M112" s="35"/>
      <c r="N112" s="86"/>
      <c r="O112" s="86"/>
      <c r="P112" s="86"/>
      <c r="Q112" s="86"/>
      <c r="R112" s="86"/>
      <c r="S112" s="86"/>
    </row>
    <row r="113" spans="1:19" s="160" customFormat="1" ht="13.5" hidden="1" customHeight="1" x14ac:dyDescent="0.2">
      <c r="A113" s="86"/>
      <c r="B113" s="160" t="s">
        <v>611</v>
      </c>
      <c r="C113" s="9"/>
      <c r="D113" s="35">
        <f>-SUM('8.Önk.'!X165)</f>
        <v>0</v>
      </c>
      <c r="F113" s="35">
        <f>-SUM('8.Önk.'!Y165)</f>
        <v>0</v>
      </c>
      <c r="N113" s="86"/>
      <c r="O113" s="86"/>
      <c r="P113" s="86"/>
      <c r="Q113" s="86"/>
      <c r="R113" s="86"/>
      <c r="S113" s="86"/>
    </row>
    <row r="114" spans="1:19" s="160" customFormat="1" ht="13.5" customHeight="1" x14ac:dyDescent="0.2">
      <c r="A114" s="86"/>
      <c r="C114" s="9"/>
      <c r="D114" s="159"/>
      <c r="E114" s="159"/>
      <c r="F114" s="159"/>
      <c r="G114" s="159"/>
      <c r="I114" s="159"/>
      <c r="K114" s="159"/>
      <c r="N114" s="86"/>
      <c r="O114" s="86"/>
      <c r="P114" s="86"/>
      <c r="Q114" s="86"/>
      <c r="R114" s="86"/>
      <c r="S114" s="86"/>
    </row>
    <row r="115" spans="1:19" s="160" customFormat="1" ht="13.5" customHeight="1" x14ac:dyDescent="0.2">
      <c r="A115" s="86"/>
      <c r="C115" s="9"/>
      <c r="D115" s="159"/>
      <c r="F115" s="159"/>
      <c r="N115" s="86"/>
      <c r="O115" s="86"/>
      <c r="P115" s="86"/>
      <c r="Q115" s="86"/>
      <c r="R115" s="86"/>
      <c r="S115" s="86"/>
    </row>
    <row r="116" spans="1:19" s="160" customFormat="1" ht="13.5" customHeight="1" x14ac:dyDescent="0.2">
      <c r="A116" s="86"/>
      <c r="C116" s="9"/>
      <c r="N116" s="86"/>
      <c r="O116" s="86"/>
      <c r="P116" s="86"/>
      <c r="Q116" s="86"/>
      <c r="R116" s="86"/>
      <c r="S116" s="86"/>
    </row>
    <row r="117" spans="1:19" s="160" customFormat="1" ht="13.5" customHeight="1" x14ac:dyDescent="0.2">
      <c r="A117" s="86"/>
      <c r="C117" s="9"/>
      <c r="N117" s="86"/>
      <c r="O117" s="86"/>
      <c r="P117" s="86"/>
      <c r="Q117" s="86"/>
      <c r="R117" s="86"/>
      <c r="S117" s="86"/>
    </row>
    <row r="118" spans="1:19" s="160" customFormat="1" ht="13.5" customHeight="1" x14ac:dyDescent="0.2">
      <c r="A118" s="86"/>
      <c r="C118" s="9"/>
      <c r="N118" s="86"/>
      <c r="O118" s="86"/>
      <c r="P118" s="86"/>
      <c r="Q118" s="86"/>
      <c r="R118" s="86"/>
      <c r="S118" s="86"/>
    </row>
    <row r="119" spans="1:19" s="160" customFormat="1" ht="13.5" customHeight="1" x14ac:dyDescent="0.2">
      <c r="A119" s="86"/>
      <c r="C119" s="9"/>
      <c r="N119" s="86"/>
      <c r="O119" s="86"/>
      <c r="P119" s="86"/>
      <c r="Q119" s="86"/>
      <c r="R119" s="86"/>
      <c r="S119" s="86"/>
    </row>
    <row r="120" spans="1:19" s="160" customFormat="1" ht="13.5" customHeight="1" x14ac:dyDescent="0.2">
      <c r="A120" s="86"/>
      <c r="C120" s="9"/>
      <c r="N120" s="86"/>
      <c r="O120" s="86"/>
      <c r="P120" s="86"/>
      <c r="Q120" s="86"/>
      <c r="R120" s="86"/>
      <c r="S120" s="86"/>
    </row>
    <row r="121" spans="1:19" s="160" customFormat="1" ht="13.5" customHeight="1" x14ac:dyDescent="0.2">
      <c r="A121" s="86"/>
      <c r="C121" s="9"/>
      <c r="N121" s="86"/>
      <c r="O121" s="86"/>
      <c r="P121" s="86"/>
      <c r="Q121" s="86"/>
      <c r="R121" s="86"/>
      <c r="S121" s="86"/>
    </row>
    <row r="122" spans="1:19" s="160" customFormat="1" ht="13.5" customHeight="1" x14ac:dyDescent="0.2">
      <c r="A122" s="86"/>
      <c r="C122" s="9"/>
      <c r="N122" s="86"/>
      <c r="O122" s="86"/>
      <c r="P122" s="86"/>
      <c r="Q122" s="86"/>
      <c r="R122" s="86"/>
      <c r="S122" s="86"/>
    </row>
    <row r="123" spans="1:19" s="160" customFormat="1" ht="13.5" customHeight="1" x14ac:dyDescent="0.2">
      <c r="A123" s="86"/>
      <c r="C123" s="9"/>
      <c r="N123" s="86"/>
      <c r="O123" s="86"/>
      <c r="P123" s="86"/>
      <c r="Q123" s="86"/>
      <c r="R123" s="86"/>
      <c r="S123" s="86"/>
    </row>
    <row r="124" spans="1:19" ht="15.75" customHeight="1" x14ac:dyDescent="0.2">
      <c r="B124" s="2"/>
      <c r="C124" s="26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2"/>
      <c r="O124" s="2"/>
      <c r="P124" s="2"/>
      <c r="Q124" s="2"/>
      <c r="R124" s="2"/>
      <c r="S124" s="2"/>
    </row>
    <row r="125" spans="1:19" ht="15.75" customHeight="1" x14ac:dyDescent="0.2">
      <c r="B125" s="2"/>
      <c r="C125" s="26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2"/>
      <c r="O125" s="2"/>
      <c r="P125" s="2"/>
      <c r="Q125" s="2"/>
      <c r="R125" s="2"/>
      <c r="S125" s="2"/>
    </row>
    <row r="126" spans="1:19" ht="15.75" customHeight="1" x14ac:dyDescent="0.2">
      <c r="B126" s="2"/>
      <c r="C126" s="26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2"/>
      <c r="O126" s="2"/>
      <c r="P126" s="2"/>
      <c r="Q126" s="2"/>
      <c r="R126" s="2"/>
      <c r="S126" s="2"/>
    </row>
    <row r="127" spans="1:19" ht="15.75" customHeight="1" x14ac:dyDescent="0.2">
      <c r="B127" s="2"/>
      <c r="C127" s="2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">
      <c r="B128" s="2"/>
      <c r="C128" s="2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">
      <c r="B129" s="2"/>
      <c r="C129" s="2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">
      <c r="B130" s="2"/>
      <c r="C130" s="2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">
      <c r="B131" s="2"/>
      <c r="C131" s="2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">
      <c r="B132" s="2"/>
      <c r="C132" s="2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">
      <c r="A133"/>
      <c r="B133" s="2"/>
      <c r="C133" s="2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">
      <c r="A134"/>
      <c r="B134" s="2"/>
      <c r="C134" s="2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">
      <c r="A135"/>
      <c r="B135" s="2"/>
      <c r="C135" s="2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">
      <c r="A136"/>
      <c r="B136" s="2"/>
      <c r="C136" s="2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">
      <c r="A137"/>
      <c r="B137" s="2"/>
      <c r="C137" s="2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">
      <c r="A138"/>
      <c r="B138" s="2"/>
      <c r="C138" s="2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">
      <c r="A139"/>
      <c r="B139" s="2"/>
      <c r="C139" s="2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">
      <c r="A140"/>
      <c r="B140" s="2"/>
      <c r="C140" s="2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">
      <c r="A141"/>
      <c r="B141" s="2"/>
      <c r="C141" s="2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">
      <c r="A142"/>
      <c r="B142" s="2"/>
      <c r="C142" s="2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">
      <c r="A143"/>
      <c r="B143" s="2"/>
      <c r="C143" s="2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">
      <c r="A144"/>
      <c r="B144" s="2"/>
      <c r="C144" s="2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">
      <c r="A145"/>
      <c r="B145" s="2"/>
      <c r="C145" s="2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">
      <c r="A146"/>
      <c r="B146" s="2"/>
      <c r="C146" s="2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">
      <c r="A147"/>
      <c r="B147" s="2"/>
      <c r="C147" s="2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">
      <c r="A148"/>
      <c r="B148" s="2"/>
      <c r="C148" s="2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">
      <c r="A149"/>
      <c r="B149" s="2"/>
      <c r="C149" s="2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">
      <c r="A150"/>
      <c r="B150" s="2"/>
      <c r="C150" s="2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">
      <c r="A151"/>
      <c r="B151" s="2"/>
      <c r="C151" s="2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">
      <c r="A152"/>
      <c r="B152" s="2"/>
      <c r="C152" s="2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">
      <c r="A153"/>
      <c r="B153" s="2"/>
      <c r="C153" s="2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">
      <c r="A154"/>
      <c r="B154" s="2"/>
      <c r="C154" s="2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">
      <c r="A155"/>
      <c r="B155" s="2"/>
      <c r="C155" s="2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">
      <c r="A156"/>
      <c r="B156" s="2"/>
      <c r="C156" s="2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">
      <c r="A157"/>
      <c r="B157" s="2"/>
      <c r="C157" s="2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">
      <c r="A158"/>
      <c r="B158" s="2"/>
      <c r="C158" s="2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">
      <c r="A159"/>
      <c r="B159" s="2"/>
      <c r="C159" s="2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">
      <c r="A160"/>
      <c r="B160" s="2"/>
      <c r="C160" s="2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">
      <c r="A161"/>
      <c r="B161" s="2"/>
      <c r="C161" s="2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">
      <c r="A162"/>
      <c r="B162" s="2"/>
      <c r="C162" s="2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">
      <c r="A163"/>
      <c r="B163" s="2"/>
      <c r="C163" s="2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">
      <c r="A164"/>
      <c r="B164" s="2"/>
      <c r="C164" s="2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">
      <c r="A165"/>
      <c r="B165" s="2"/>
      <c r="C165" s="2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">
      <c r="A166"/>
      <c r="B166" s="2"/>
      <c r="C166" s="2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">
      <c r="A167"/>
      <c r="B167" s="2"/>
      <c r="C167" s="2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">
      <c r="A168"/>
      <c r="B168" s="2"/>
      <c r="C168" s="26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"/>
      <c r="O168" s="2"/>
      <c r="P168" s="2"/>
      <c r="Q168" s="2"/>
      <c r="R168" s="2"/>
      <c r="S168" s="2"/>
    </row>
    <row r="169" spans="1:19" ht="15.75" customHeight="1" x14ac:dyDescent="0.2">
      <c r="A169"/>
      <c r="B169" s="2"/>
      <c r="C169" s="26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"/>
      <c r="O169" s="2"/>
      <c r="P169" s="2"/>
      <c r="Q169" s="2"/>
      <c r="R169" s="2"/>
      <c r="S169" s="2"/>
    </row>
    <row r="170" spans="1:19" ht="15.75" customHeight="1" x14ac:dyDescent="0.2">
      <c r="A170"/>
      <c r="B170" s="2"/>
      <c r="C170" s="26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"/>
      <c r="O170" s="2"/>
      <c r="P170" s="2"/>
      <c r="Q170" s="2"/>
      <c r="R170" s="2"/>
      <c r="S170" s="2"/>
    </row>
    <row r="171" spans="1:19" ht="15.75" customHeight="1" x14ac:dyDescent="0.2">
      <c r="A171"/>
      <c r="B171" s="2"/>
      <c r="C171" s="26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"/>
      <c r="O171" s="2"/>
      <c r="P171" s="2"/>
      <c r="Q171" s="2"/>
      <c r="R171" s="2"/>
      <c r="S171" s="2"/>
    </row>
    <row r="172" spans="1:19" ht="15.75" customHeight="1" x14ac:dyDescent="0.2">
      <c r="A172"/>
      <c r="B172" s="2"/>
      <c r="C172" s="26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"/>
      <c r="O172" s="2"/>
      <c r="P172" s="2"/>
      <c r="Q172" s="2"/>
      <c r="R172" s="2"/>
      <c r="S172" s="2"/>
    </row>
    <row r="173" spans="1:19" ht="15.75" customHeight="1" x14ac:dyDescent="0.2">
      <c r="A173"/>
      <c r="B173" s="2"/>
      <c r="C173" s="26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"/>
      <c r="O173" s="2"/>
      <c r="P173" s="2"/>
      <c r="Q173" s="2"/>
      <c r="R173" s="2"/>
      <c r="S173" s="2"/>
    </row>
    <row r="174" spans="1:19" ht="15.75" customHeight="1" x14ac:dyDescent="0.2">
      <c r="A174"/>
      <c r="B174" s="2"/>
      <c r="C174" s="26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"/>
      <c r="O174" s="2"/>
      <c r="P174" s="2"/>
      <c r="Q174" s="2"/>
      <c r="R174" s="2"/>
      <c r="S174" s="2"/>
    </row>
    <row r="175" spans="1:19" ht="15.75" customHeight="1" x14ac:dyDescent="0.2">
      <c r="A175"/>
      <c r="B175" s="2"/>
      <c r="C175" s="26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"/>
      <c r="O175" s="2"/>
      <c r="P175" s="2"/>
      <c r="Q175" s="2"/>
      <c r="R175" s="2"/>
      <c r="S175" s="2"/>
    </row>
    <row r="176" spans="1:19" ht="15.75" customHeight="1" x14ac:dyDescent="0.2">
      <c r="A176"/>
      <c r="B176" s="2"/>
      <c r="C176" s="26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"/>
      <c r="O176" s="2"/>
      <c r="P176" s="2"/>
      <c r="Q176" s="2"/>
      <c r="R176" s="2"/>
      <c r="S176" s="2"/>
    </row>
    <row r="177" spans="1:19" ht="15.75" customHeight="1" x14ac:dyDescent="0.2">
      <c r="A177"/>
      <c r="B177" s="2"/>
      <c r="C177" s="26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"/>
      <c r="O177" s="2"/>
      <c r="P177" s="2"/>
      <c r="Q177" s="2"/>
      <c r="R177" s="2"/>
      <c r="S177" s="2"/>
    </row>
    <row r="178" spans="1:19" ht="15.75" customHeight="1" x14ac:dyDescent="0.2">
      <c r="A178"/>
      <c r="B178" s="2"/>
      <c r="C178" s="26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"/>
      <c r="O178" s="2"/>
      <c r="P178" s="2"/>
      <c r="Q178" s="2"/>
      <c r="R178" s="2"/>
      <c r="S178" s="2"/>
    </row>
    <row r="179" spans="1:19" ht="15.75" customHeight="1" x14ac:dyDescent="0.2">
      <c r="A179"/>
      <c r="B179" s="2"/>
      <c r="C179" s="26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"/>
      <c r="O179" s="2"/>
      <c r="P179" s="2"/>
      <c r="Q179" s="2"/>
      <c r="R179" s="2"/>
      <c r="S179" s="2"/>
    </row>
    <row r="180" spans="1:19" ht="15.75" customHeight="1" x14ac:dyDescent="0.2">
      <c r="A180"/>
      <c r="B180" s="2"/>
      <c r="C180" s="26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"/>
      <c r="O180" s="2"/>
      <c r="P180" s="2"/>
      <c r="Q180" s="2"/>
      <c r="R180" s="2"/>
      <c r="S180" s="2"/>
    </row>
    <row r="181" spans="1:19" ht="15.75" customHeight="1" x14ac:dyDescent="0.2">
      <c r="A181"/>
      <c r="B181" s="2"/>
      <c r="C181" s="26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"/>
      <c r="O181" s="2"/>
      <c r="P181" s="2"/>
      <c r="Q181" s="2"/>
      <c r="R181" s="2"/>
      <c r="S181" s="2"/>
    </row>
    <row r="182" spans="1:19" ht="15.75" customHeight="1" x14ac:dyDescent="0.2">
      <c r="A182"/>
      <c r="B182" s="2"/>
      <c r="C182" s="26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"/>
      <c r="O182" s="2"/>
      <c r="P182" s="2"/>
      <c r="Q182" s="2"/>
      <c r="R182" s="2"/>
      <c r="S182" s="2"/>
    </row>
    <row r="183" spans="1:19" ht="15.75" customHeight="1" x14ac:dyDescent="0.2">
      <c r="A183"/>
      <c r="B183" s="2"/>
      <c r="C183" s="26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"/>
      <c r="O183" s="2"/>
      <c r="P183" s="2"/>
      <c r="Q183" s="2"/>
      <c r="R183" s="2"/>
      <c r="S183" s="2"/>
    </row>
    <row r="184" spans="1:19" ht="15.75" customHeight="1" x14ac:dyDescent="0.2">
      <c r="A184"/>
      <c r="B184" s="2"/>
      <c r="C184" s="26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"/>
      <c r="O184" s="2"/>
      <c r="P184" s="2"/>
      <c r="Q184" s="2"/>
      <c r="R184" s="2"/>
      <c r="S184" s="2"/>
    </row>
    <row r="185" spans="1:19" ht="15.75" customHeight="1" x14ac:dyDescent="0.2">
      <c r="A185"/>
      <c r="B185" s="2"/>
      <c r="C185" s="26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"/>
      <c r="O185" s="2"/>
      <c r="P185" s="2"/>
      <c r="Q185" s="2"/>
      <c r="R185" s="2"/>
      <c r="S185" s="2"/>
    </row>
    <row r="186" spans="1:19" ht="15.75" customHeight="1" x14ac:dyDescent="0.2">
      <c r="A186"/>
      <c r="B186" s="2"/>
      <c r="C186" s="26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"/>
      <c r="O186" s="2"/>
      <c r="P186" s="2"/>
      <c r="Q186" s="2"/>
      <c r="R186" s="2"/>
      <c r="S186" s="2"/>
    </row>
    <row r="187" spans="1:19" ht="15.75" customHeight="1" x14ac:dyDescent="0.2">
      <c r="A187"/>
      <c r="B187" s="2"/>
      <c r="C187" s="26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"/>
      <c r="O187" s="2"/>
      <c r="P187" s="2"/>
      <c r="Q187" s="2"/>
      <c r="R187" s="2"/>
      <c r="S187" s="2"/>
    </row>
    <row r="188" spans="1:19" ht="15.75" customHeight="1" x14ac:dyDescent="0.2">
      <c r="A188"/>
      <c r="B188" s="2"/>
      <c r="C188" s="26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"/>
      <c r="O188" s="2"/>
      <c r="P188" s="2"/>
      <c r="Q188" s="2"/>
      <c r="R188" s="2"/>
      <c r="S188" s="2"/>
    </row>
    <row r="189" spans="1:19" ht="15.75" customHeight="1" x14ac:dyDescent="0.2">
      <c r="A189"/>
      <c r="B189" s="2"/>
      <c r="C189" s="26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"/>
      <c r="O189" s="2"/>
      <c r="P189" s="2"/>
      <c r="Q189" s="2"/>
      <c r="R189" s="2"/>
      <c r="S189" s="2"/>
    </row>
    <row r="190" spans="1:19" ht="15.75" customHeight="1" x14ac:dyDescent="0.2">
      <c r="A190"/>
      <c r="B190" s="2"/>
      <c r="C190" s="26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"/>
      <c r="O190" s="2"/>
      <c r="P190" s="2"/>
      <c r="Q190" s="2"/>
      <c r="R190" s="2"/>
      <c r="S190" s="2"/>
    </row>
    <row r="191" spans="1:19" ht="15.75" customHeight="1" x14ac:dyDescent="0.2">
      <c r="A191"/>
      <c r="B191" s="2"/>
      <c r="C191" s="26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"/>
      <c r="O191" s="2"/>
      <c r="P191" s="2"/>
      <c r="Q191" s="2"/>
      <c r="R191" s="2"/>
      <c r="S191" s="2"/>
    </row>
    <row r="192" spans="1:19" ht="15.75" customHeight="1" x14ac:dyDescent="0.2">
      <c r="A192"/>
      <c r="B192" s="2"/>
      <c r="C192" s="26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"/>
      <c r="O192" s="2"/>
      <c r="P192" s="2"/>
      <c r="Q192" s="2"/>
      <c r="R192" s="2"/>
      <c r="S192" s="2"/>
    </row>
    <row r="193" spans="1:19" ht="15.75" customHeight="1" x14ac:dyDescent="0.2">
      <c r="A193"/>
      <c r="B193" s="2"/>
      <c r="C193" s="26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"/>
      <c r="O193" s="2"/>
      <c r="P193" s="2"/>
      <c r="Q193" s="2"/>
      <c r="R193" s="2"/>
      <c r="S193" s="2"/>
    </row>
    <row r="194" spans="1:19" ht="15.75" customHeight="1" x14ac:dyDescent="0.2">
      <c r="A194"/>
      <c r="B194" s="2"/>
      <c r="C194" s="26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"/>
      <c r="O194" s="2"/>
      <c r="P194" s="2"/>
      <c r="Q194" s="2"/>
      <c r="R194" s="2"/>
      <c r="S194" s="2"/>
    </row>
    <row r="195" spans="1:19" ht="15.75" customHeight="1" x14ac:dyDescent="0.2">
      <c r="A195"/>
      <c r="B195" s="2"/>
      <c r="C195" s="26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"/>
      <c r="O195" s="2"/>
      <c r="P195" s="2"/>
      <c r="Q195" s="2"/>
      <c r="R195" s="2"/>
      <c r="S195" s="2"/>
    </row>
    <row r="196" spans="1:19" ht="15.75" customHeight="1" x14ac:dyDescent="0.2">
      <c r="A196"/>
      <c r="B196" s="2"/>
      <c r="C196" s="26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"/>
      <c r="O196" s="2"/>
      <c r="P196" s="2"/>
      <c r="Q196" s="2"/>
      <c r="R196" s="2"/>
      <c r="S196" s="2"/>
    </row>
    <row r="197" spans="1:19" ht="15.75" customHeight="1" x14ac:dyDescent="0.2">
      <c r="A197"/>
      <c r="B197" s="2"/>
      <c r="C197" s="26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"/>
      <c r="O197" s="2"/>
      <c r="P197" s="2"/>
      <c r="Q197" s="2"/>
      <c r="R197" s="2"/>
      <c r="S197" s="2"/>
    </row>
    <row r="198" spans="1:19" ht="15.75" customHeight="1" x14ac:dyDescent="0.2">
      <c r="A198"/>
      <c r="B198" s="2"/>
      <c r="C198" s="26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"/>
      <c r="O198" s="2"/>
      <c r="P198" s="2"/>
      <c r="Q198" s="2"/>
      <c r="R198" s="2"/>
      <c r="S198" s="2"/>
    </row>
    <row r="199" spans="1:19" ht="15.75" customHeight="1" x14ac:dyDescent="0.2">
      <c r="A199"/>
      <c r="B199" s="2"/>
      <c r="C199" s="26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"/>
      <c r="O199" s="2"/>
      <c r="P199" s="2"/>
      <c r="Q199" s="2"/>
      <c r="R199" s="2"/>
      <c r="S199" s="2"/>
    </row>
    <row r="200" spans="1:19" ht="15.75" customHeight="1" x14ac:dyDescent="0.2">
      <c r="A200"/>
      <c r="B200" s="2"/>
      <c r="C200" s="26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"/>
      <c r="O200" s="2"/>
      <c r="P200" s="2"/>
      <c r="Q200" s="2"/>
      <c r="R200" s="2"/>
      <c r="S200" s="2"/>
    </row>
    <row r="201" spans="1:19" ht="15.75" customHeight="1" x14ac:dyDescent="0.2">
      <c r="A201"/>
      <c r="B201" s="2"/>
      <c r="C201" s="26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"/>
      <c r="O201" s="2"/>
      <c r="P201" s="2"/>
      <c r="Q201" s="2"/>
      <c r="R201" s="2"/>
      <c r="S201" s="2"/>
    </row>
    <row r="202" spans="1:19" ht="15.75" customHeight="1" x14ac:dyDescent="0.2">
      <c r="A202"/>
      <c r="B202" s="2"/>
      <c r="C202" s="26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"/>
      <c r="O202" s="2"/>
      <c r="P202" s="2"/>
      <c r="Q202" s="2"/>
      <c r="R202" s="2"/>
      <c r="S202" s="2"/>
    </row>
    <row r="203" spans="1:19" ht="15.75" customHeight="1" x14ac:dyDescent="0.2">
      <c r="A203"/>
      <c r="B203" s="2"/>
      <c r="C203" s="26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"/>
      <c r="O203" s="2"/>
      <c r="P203" s="2"/>
      <c r="Q203" s="2"/>
      <c r="R203" s="2"/>
      <c r="S203" s="2"/>
    </row>
    <row r="204" spans="1:19" ht="15.75" customHeight="1" x14ac:dyDescent="0.2">
      <c r="A204"/>
      <c r="B204" s="2"/>
      <c r="C204" s="26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"/>
      <c r="O204" s="2"/>
      <c r="P204" s="2"/>
      <c r="Q204" s="2"/>
      <c r="R204" s="2"/>
      <c r="S204" s="2"/>
    </row>
    <row r="205" spans="1:19" ht="15.75" customHeight="1" x14ac:dyDescent="0.2">
      <c r="A205"/>
      <c r="B205" s="2"/>
      <c r="C205" s="26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"/>
      <c r="O205" s="2"/>
      <c r="P205" s="2"/>
      <c r="Q205" s="2"/>
      <c r="R205" s="2"/>
      <c r="S205" s="2"/>
    </row>
    <row r="206" spans="1:19" ht="15.75" customHeight="1" x14ac:dyDescent="0.2">
      <c r="A206"/>
      <c r="B206" s="2"/>
      <c r="C206" s="26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"/>
      <c r="O206" s="2"/>
      <c r="P206" s="2"/>
      <c r="Q206" s="2"/>
      <c r="R206" s="2"/>
      <c r="S206" s="2"/>
    </row>
    <row r="207" spans="1:19" ht="15.75" customHeight="1" x14ac:dyDescent="0.2">
      <c r="A207"/>
      <c r="B207" s="2"/>
      <c r="C207" s="26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"/>
      <c r="O207" s="2"/>
      <c r="P207" s="2"/>
      <c r="Q207" s="2"/>
      <c r="R207" s="2"/>
      <c r="S207" s="2"/>
    </row>
    <row r="208" spans="1:19" ht="15.75" customHeight="1" x14ac:dyDescent="0.2">
      <c r="A208"/>
      <c r="B208" s="2"/>
      <c r="C208" s="26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"/>
      <c r="O208" s="2"/>
      <c r="P208" s="2"/>
      <c r="Q208" s="2"/>
      <c r="R208" s="2"/>
      <c r="S208" s="2"/>
    </row>
    <row r="209" spans="1:19" ht="15.75" customHeight="1" x14ac:dyDescent="0.2">
      <c r="A209"/>
      <c r="B209" s="2"/>
      <c r="C209" s="26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"/>
      <c r="O209" s="2"/>
      <c r="P209" s="2"/>
      <c r="Q209" s="2"/>
      <c r="R209" s="2"/>
      <c r="S209" s="2"/>
    </row>
    <row r="210" spans="1:19" ht="15.75" customHeight="1" x14ac:dyDescent="0.2">
      <c r="A210"/>
      <c r="B210" s="2"/>
      <c r="C210" s="26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"/>
      <c r="O210" s="2"/>
      <c r="P210" s="2"/>
      <c r="Q210" s="2"/>
      <c r="R210" s="2"/>
      <c r="S210" s="2"/>
    </row>
    <row r="211" spans="1:19" ht="15.75" customHeight="1" x14ac:dyDescent="0.2">
      <c r="A211"/>
      <c r="B211" s="2"/>
      <c r="C211" s="26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"/>
      <c r="O211" s="2"/>
      <c r="P211" s="2"/>
      <c r="Q211" s="2"/>
      <c r="R211" s="2"/>
      <c r="S211" s="2"/>
    </row>
    <row r="212" spans="1:19" ht="15.75" customHeight="1" x14ac:dyDescent="0.2">
      <c r="A212"/>
      <c r="B212" s="2"/>
      <c r="C212" s="26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"/>
      <c r="O212" s="2"/>
      <c r="P212" s="2"/>
      <c r="Q212" s="2"/>
      <c r="R212" s="2"/>
      <c r="S212" s="2"/>
    </row>
    <row r="213" spans="1:19" ht="15.75" customHeight="1" x14ac:dyDescent="0.2">
      <c r="A213"/>
      <c r="B213" s="2"/>
      <c r="C213" s="26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"/>
      <c r="O213" s="2"/>
      <c r="P213" s="2"/>
      <c r="Q213" s="2"/>
      <c r="R213" s="2"/>
      <c r="S213" s="2"/>
    </row>
    <row r="214" spans="1:19" ht="15.75" customHeight="1" x14ac:dyDescent="0.2">
      <c r="A214"/>
      <c r="B214" s="2"/>
      <c r="C214" s="26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"/>
      <c r="O214" s="2"/>
      <c r="P214" s="2"/>
      <c r="Q214" s="2"/>
      <c r="R214" s="2"/>
      <c r="S214" s="2"/>
    </row>
    <row r="215" spans="1:19" ht="15.75" customHeight="1" x14ac:dyDescent="0.2">
      <c r="A215"/>
      <c r="B215" s="2"/>
      <c r="C215" s="26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"/>
      <c r="O215" s="2"/>
      <c r="P215" s="2"/>
      <c r="Q215" s="2"/>
      <c r="R215" s="2"/>
      <c r="S215" s="2"/>
    </row>
    <row r="216" spans="1:19" ht="15.75" customHeight="1" x14ac:dyDescent="0.2">
      <c r="A216"/>
      <c r="B216" s="2"/>
      <c r="C216" s="26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"/>
      <c r="O216" s="2"/>
      <c r="P216" s="2"/>
      <c r="Q216" s="2"/>
      <c r="R216" s="2"/>
      <c r="S216" s="2"/>
    </row>
    <row r="217" spans="1:19" ht="15.75" customHeight="1" x14ac:dyDescent="0.2">
      <c r="A217"/>
      <c r="B217" s="2"/>
      <c r="C217" s="26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"/>
      <c r="O217" s="2"/>
      <c r="P217" s="2"/>
      <c r="Q217" s="2"/>
      <c r="R217" s="2"/>
      <c r="S217" s="2"/>
    </row>
    <row r="218" spans="1:19" ht="15.75" customHeight="1" x14ac:dyDescent="0.2">
      <c r="A218"/>
      <c r="B218" s="2"/>
      <c r="C218" s="26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"/>
      <c r="O218" s="2"/>
      <c r="P218" s="2"/>
      <c r="Q218" s="2"/>
      <c r="R218" s="2"/>
      <c r="S218" s="2"/>
    </row>
    <row r="219" spans="1:19" ht="15.75" customHeight="1" x14ac:dyDescent="0.2">
      <c r="A219"/>
      <c r="B219" s="2"/>
      <c r="C219" s="26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"/>
      <c r="O219" s="2"/>
      <c r="P219" s="2"/>
      <c r="Q219" s="2"/>
      <c r="R219" s="2"/>
      <c r="S219" s="2"/>
    </row>
    <row r="220" spans="1:19" ht="15.75" customHeight="1" x14ac:dyDescent="0.2">
      <c r="A220"/>
      <c r="B220" s="2"/>
      <c r="C220" s="26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"/>
      <c r="O220" s="2"/>
      <c r="P220" s="2"/>
      <c r="Q220" s="2"/>
      <c r="R220" s="2"/>
      <c r="S220" s="2"/>
    </row>
    <row r="221" spans="1:19" ht="15.75" customHeight="1" x14ac:dyDescent="0.2">
      <c r="A221"/>
      <c r="B221" s="2"/>
      <c r="C221" s="26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"/>
      <c r="O221" s="2"/>
      <c r="P221" s="2"/>
      <c r="Q221" s="2"/>
      <c r="R221" s="2"/>
      <c r="S221" s="2"/>
    </row>
    <row r="222" spans="1:19" ht="15.75" customHeight="1" x14ac:dyDescent="0.2">
      <c r="A222"/>
      <c r="B222" s="2"/>
      <c r="C222" s="26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"/>
      <c r="O222" s="2"/>
      <c r="P222" s="2"/>
      <c r="Q222" s="2"/>
      <c r="R222" s="2"/>
      <c r="S222" s="2"/>
    </row>
    <row r="223" spans="1:19" ht="15.75" customHeight="1" x14ac:dyDescent="0.2">
      <c r="A223"/>
      <c r="B223" s="2"/>
      <c r="C223" s="26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"/>
      <c r="O223" s="2"/>
      <c r="P223" s="2"/>
      <c r="Q223" s="2"/>
      <c r="R223" s="2"/>
      <c r="S223" s="2"/>
    </row>
    <row r="224" spans="1:19" ht="15.75" customHeight="1" x14ac:dyDescent="0.2">
      <c r="A224"/>
      <c r="B224" s="2"/>
      <c r="C224" s="26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"/>
      <c r="O224" s="2"/>
      <c r="P224" s="2"/>
      <c r="Q224" s="2"/>
      <c r="R224" s="2"/>
      <c r="S224" s="2"/>
    </row>
    <row r="225" spans="1:19" ht="15.75" customHeight="1" x14ac:dyDescent="0.2">
      <c r="A225"/>
      <c r="B225" s="2"/>
      <c r="C225" s="26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"/>
      <c r="O225" s="2"/>
      <c r="P225" s="2"/>
      <c r="Q225" s="2"/>
      <c r="R225" s="2"/>
      <c r="S225" s="2"/>
    </row>
    <row r="226" spans="1:19" ht="15.75" customHeight="1" x14ac:dyDescent="0.2">
      <c r="A226"/>
      <c r="B226" s="2"/>
      <c r="C226" s="26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"/>
      <c r="O226" s="2"/>
      <c r="P226" s="2"/>
      <c r="Q226" s="2"/>
      <c r="R226" s="2"/>
      <c r="S226" s="2"/>
    </row>
    <row r="227" spans="1:19" ht="15.75" customHeight="1" x14ac:dyDescent="0.2">
      <c r="A227"/>
      <c r="B227" s="2"/>
      <c r="C227" s="26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"/>
      <c r="O227" s="2"/>
      <c r="P227" s="2"/>
      <c r="Q227" s="2"/>
      <c r="R227" s="2"/>
      <c r="S227" s="2"/>
    </row>
    <row r="228" spans="1:19" ht="15.75" customHeight="1" x14ac:dyDescent="0.2">
      <c r="A228"/>
      <c r="B228" s="2"/>
      <c r="C228" s="26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"/>
      <c r="O228" s="2"/>
      <c r="P228" s="2"/>
      <c r="Q228" s="2"/>
      <c r="R228" s="2"/>
      <c r="S228" s="2"/>
    </row>
    <row r="229" spans="1:19" ht="15.75" customHeight="1" x14ac:dyDescent="0.2">
      <c r="A229"/>
      <c r="B229" s="2"/>
      <c r="C229" s="26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"/>
      <c r="O229" s="2"/>
      <c r="P229" s="2"/>
      <c r="Q229" s="2"/>
      <c r="R229" s="2"/>
      <c r="S229" s="2"/>
    </row>
    <row r="230" spans="1:19" ht="15.75" customHeight="1" x14ac:dyDescent="0.2">
      <c r="A230"/>
      <c r="B230" s="2"/>
      <c r="C230" s="26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"/>
      <c r="O230" s="2"/>
      <c r="P230" s="2"/>
      <c r="Q230" s="2"/>
      <c r="R230" s="2"/>
      <c r="S230" s="2"/>
    </row>
    <row r="231" spans="1:19" ht="15.75" customHeight="1" x14ac:dyDescent="0.2">
      <c r="A231"/>
      <c r="B231" s="2"/>
      <c r="C231" s="26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"/>
      <c r="O231" s="2"/>
      <c r="P231" s="2"/>
      <c r="Q231" s="2"/>
      <c r="R231" s="2"/>
      <c r="S231" s="2"/>
    </row>
    <row r="232" spans="1:19" ht="15.75" customHeight="1" x14ac:dyDescent="0.2">
      <c r="A232"/>
      <c r="B232" s="2"/>
      <c r="C232" s="26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"/>
      <c r="O232" s="2"/>
      <c r="P232" s="2"/>
      <c r="Q232" s="2"/>
      <c r="R232" s="2"/>
      <c r="S232" s="2"/>
    </row>
    <row r="233" spans="1:19" ht="15.75" customHeight="1" x14ac:dyDescent="0.2">
      <c r="A233"/>
      <c r="B233" s="2"/>
      <c r="C233" s="26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"/>
      <c r="O233" s="2"/>
      <c r="P233" s="2"/>
      <c r="Q233" s="2"/>
      <c r="R233" s="2"/>
      <c r="S233" s="2"/>
    </row>
    <row r="234" spans="1:19" ht="15.75" customHeight="1" x14ac:dyDescent="0.2">
      <c r="A234"/>
      <c r="B234" s="2"/>
      <c r="C234" s="26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"/>
      <c r="O234" s="2"/>
      <c r="P234" s="2"/>
      <c r="Q234" s="2"/>
      <c r="R234" s="2"/>
      <c r="S234" s="2"/>
    </row>
    <row r="235" spans="1:19" ht="15.75" customHeight="1" x14ac:dyDescent="0.2">
      <c r="A235"/>
      <c r="B235" s="2"/>
      <c r="C235" s="26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"/>
      <c r="O235" s="2"/>
      <c r="P235" s="2"/>
      <c r="Q235" s="2"/>
      <c r="R235" s="2"/>
      <c r="S235" s="2"/>
    </row>
    <row r="236" spans="1:19" ht="15.75" customHeight="1" x14ac:dyDescent="0.2">
      <c r="A236"/>
      <c r="B236" s="2"/>
      <c r="C236" s="26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"/>
      <c r="O236" s="2"/>
      <c r="P236" s="2"/>
      <c r="Q236" s="2"/>
      <c r="R236" s="2"/>
      <c r="S236" s="2"/>
    </row>
    <row r="237" spans="1:19" ht="15.75" customHeight="1" x14ac:dyDescent="0.2">
      <c r="A237"/>
      <c r="B237" s="2"/>
      <c r="C237" s="26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"/>
      <c r="O237" s="2"/>
      <c r="P237" s="2"/>
      <c r="Q237" s="2"/>
      <c r="R237" s="2"/>
      <c r="S237" s="2"/>
    </row>
    <row r="238" spans="1:19" ht="15.75" customHeight="1" x14ac:dyDescent="0.2">
      <c r="A238"/>
      <c r="B238" s="2"/>
      <c r="C238" s="26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"/>
      <c r="O238" s="2"/>
      <c r="P238" s="2"/>
      <c r="Q238" s="2"/>
      <c r="R238" s="2"/>
      <c r="S238" s="2"/>
    </row>
    <row r="239" spans="1:19" ht="15.75" customHeight="1" x14ac:dyDescent="0.2">
      <c r="A239"/>
      <c r="B239" s="2"/>
      <c r="C239" s="26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"/>
      <c r="O239" s="2"/>
      <c r="P239" s="2"/>
      <c r="Q239" s="2"/>
      <c r="R239" s="2"/>
      <c r="S239" s="2"/>
    </row>
    <row r="240" spans="1:19" ht="15.75" customHeight="1" x14ac:dyDescent="0.2">
      <c r="A240"/>
      <c r="B240" s="2"/>
      <c r="C240" s="26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"/>
      <c r="O240" s="2"/>
      <c r="P240" s="2"/>
      <c r="Q240" s="2"/>
      <c r="R240" s="2"/>
      <c r="S240" s="2"/>
    </row>
    <row r="241" spans="1:19" ht="15.75" customHeight="1" x14ac:dyDescent="0.2">
      <c r="A241"/>
      <c r="B241" s="2"/>
      <c r="C241" s="26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"/>
      <c r="O241" s="2"/>
      <c r="P241" s="2"/>
      <c r="Q241" s="2"/>
      <c r="R241" s="2"/>
      <c r="S241" s="2"/>
    </row>
    <row r="242" spans="1:19" ht="15.75" customHeight="1" x14ac:dyDescent="0.2">
      <c r="A242"/>
      <c r="B242" s="2"/>
      <c r="C242" s="26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"/>
      <c r="O242" s="2"/>
      <c r="P242" s="2"/>
      <c r="Q242" s="2"/>
      <c r="R242" s="2"/>
      <c r="S242" s="2"/>
    </row>
    <row r="243" spans="1:19" ht="15.75" customHeight="1" x14ac:dyDescent="0.2">
      <c r="A243"/>
      <c r="B243" s="2"/>
      <c r="C243" s="26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"/>
      <c r="O243" s="2"/>
      <c r="P243" s="2"/>
      <c r="Q243" s="2"/>
      <c r="R243" s="2"/>
      <c r="S243" s="2"/>
    </row>
    <row r="244" spans="1:19" ht="15.75" customHeight="1" x14ac:dyDescent="0.2">
      <c r="A244"/>
      <c r="B244" s="2"/>
      <c r="C244" s="26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"/>
      <c r="O244" s="2"/>
      <c r="P244" s="2"/>
      <c r="Q244" s="2"/>
      <c r="R244" s="2"/>
      <c r="S244" s="2"/>
    </row>
    <row r="245" spans="1:19" ht="15.75" customHeight="1" x14ac:dyDescent="0.2">
      <c r="A245"/>
      <c r="B245" s="2"/>
      <c r="C245" s="26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"/>
      <c r="O245" s="2"/>
      <c r="P245" s="2"/>
      <c r="Q245" s="2"/>
      <c r="R245" s="2"/>
      <c r="S245" s="2"/>
    </row>
    <row r="246" spans="1:19" ht="15.75" customHeight="1" x14ac:dyDescent="0.2">
      <c r="A246"/>
      <c r="B246" s="2"/>
      <c r="C246" s="26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"/>
      <c r="O246" s="2"/>
      <c r="P246" s="2"/>
      <c r="Q246" s="2"/>
      <c r="R246" s="2"/>
      <c r="S246" s="2"/>
    </row>
    <row r="247" spans="1:19" ht="15.75" customHeight="1" x14ac:dyDescent="0.2">
      <c r="A247"/>
      <c r="B247" s="2"/>
      <c r="C247" s="26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"/>
      <c r="O247" s="2"/>
      <c r="P247" s="2"/>
      <c r="Q247" s="2"/>
      <c r="R247" s="2"/>
      <c r="S247" s="2"/>
    </row>
    <row r="248" spans="1:19" ht="15.75" customHeight="1" x14ac:dyDescent="0.2">
      <c r="A248"/>
      <c r="B248" s="2"/>
      <c r="C248" s="26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"/>
      <c r="O248" s="2"/>
      <c r="P248" s="2"/>
      <c r="Q248" s="2"/>
      <c r="R248" s="2"/>
      <c r="S248" s="2"/>
    </row>
    <row r="249" spans="1:19" ht="15.75" customHeight="1" x14ac:dyDescent="0.2">
      <c r="A249"/>
      <c r="B249" s="2"/>
      <c r="C249" s="26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"/>
      <c r="O249" s="2"/>
      <c r="P249" s="2"/>
      <c r="Q249" s="2"/>
      <c r="R249" s="2"/>
      <c r="S249" s="2"/>
    </row>
    <row r="250" spans="1:19" ht="15.75" customHeight="1" x14ac:dyDescent="0.2">
      <c r="A250"/>
      <c r="B250" s="2"/>
      <c r="C250" s="26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"/>
      <c r="O250" s="2"/>
      <c r="P250" s="2"/>
      <c r="Q250" s="2"/>
      <c r="R250" s="2"/>
      <c r="S250" s="2"/>
    </row>
    <row r="251" spans="1:19" ht="15.75" customHeight="1" x14ac:dyDescent="0.2">
      <c r="A251"/>
      <c r="B251" s="2"/>
      <c r="C251" s="26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"/>
      <c r="O251" s="2"/>
      <c r="P251" s="2"/>
      <c r="Q251" s="2"/>
      <c r="R251" s="2"/>
      <c r="S251" s="2"/>
    </row>
    <row r="252" spans="1:19" ht="15.75" customHeight="1" x14ac:dyDescent="0.2">
      <c r="A252"/>
      <c r="B252" s="2"/>
      <c r="C252" s="26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"/>
      <c r="O252" s="2"/>
      <c r="P252" s="2"/>
      <c r="Q252" s="2"/>
      <c r="R252" s="2"/>
      <c r="S252" s="2"/>
    </row>
    <row r="253" spans="1:19" ht="15.75" customHeight="1" x14ac:dyDescent="0.2">
      <c r="A253"/>
      <c r="B253" s="2"/>
      <c r="C253" s="26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"/>
      <c r="O253" s="2"/>
      <c r="P253" s="2"/>
      <c r="Q253" s="2"/>
      <c r="R253" s="2"/>
      <c r="S253" s="2"/>
    </row>
    <row r="254" spans="1:19" ht="15.75" customHeight="1" x14ac:dyDescent="0.2">
      <c r="A254"/>
      <c r="B254" s="2"/>
      <c r="C254" s="26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"/>
      <c r="O254" s="2"/>
      <c r="P254" s="2"/>
      <c r="Q254" s="2"/>
      <c r="R254" s="2"/>
      <c r="S254" s="2"/>
    </row>
    <row r="255" spans="1:19" ht="15.75" customHeight="1" x14ac:dyDescent="0.2">
      <c r="A255"/>
      <c r="B255" s="2"/>
      <c r="C255" s="26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"/>
      <c r="O255" s="2"/>
      <c r="P255" s="2"/>
      <c r="Q255" s="2"/>
      <c r="R255" s="2"/>
      <c r="S255" s="2"/>
    </row>
    <row r="256" spans="1:19" ht="15.75" customHeight="1" x14ac:dyDescent="0.2">
      <c r="A256"/>
      <c r="B256" s="2"/>
      <c r="C256" s="26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"/>
      <c r="O256" s="2"/>
      <c r="P256" s="2"/>
      <c r="Q256" s="2"/>
      <c r="R256" s="2"/>
      <c r="S256" s="2"/>
    </row>
    <row r="257" spans="1:19" ht="15.75" customHeight="1" x14ac:dyDescent="0.2">
      <c r="A257"/>
      <c r="B257" s="2"/>
      <c r="C257" s="26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"/>
      <c r="O257" s="2"/>
      <c r="P257" s="2"/>
      <c r="Q257" s="2"/>
      <c r="R257" s="2"/>
      <c r="S257" s="2"/>
    </row>
    <row r="258" spans="1:19" ht="15.75" customHeight="1" x14ac:dyDescent="0.2">
      <c r="A258"/>
      <c r="B258" s="2"/>
      <c r="C258" s="26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"/>
      <c r="O258" s="2"/>
      <c r="P258" s="2"/>
      <c r="Q258" s="2"/>
      <c r="R258" s="2"/>
      <c r="S258" s="2"/>
    </row>
    <row r="259" spans="1:19" ht="15.75" customHeight="1" x14ac:dyDescent="0.2">
      <c r="A259"/>
      <c r="B259" s="2"/>
      <c r="C259" s="26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"/>
      <c r="O259" s="2"/>
      <c r="P259" s="2"/>
      <c r="Q259" s="2"/>
      <c r="R259" s="2"/>
      <c r="S259" s="2"/>
    </row>
    <row r="260" spans="1:19" ht="15.75" customHeight="1" x14ac:dyDescent="0.2">
      <c r="A260"/>
      <c r="B260" s="2"/>
      <c r="C260" s="26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"/>
      <c r="O260" s="2"/>
      <c r="P260" s="2"/>
      <c r="Q260" s="2"/>
      <c r="R260" s="2"/>
      <c r="S260" s="2"/>
    </row>
    <row r="261" spans="1:19" ht="15.75" customHeight="1" x14ac:dyDescent="0.2">
      <c r="A261"/>
      <c r="B261" s="2"/>
      <c r="C261" s="26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"/>
      <c r="O261" s="2"/>
      <c r="P261" s="2"/>
      <c r="Q261" s="2"/>
      <c r="R261" s="2"/>
      <c r="S261" s="2"/>
    </row>
    <row r="262" spans="1:19" ht="15.75" customHeight="1" x14ac:dyDescent="0.2">
      <c r="A262"/>
      <c r="B262" s="2"/>
      <c r="C262" s="26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"/>
      <c r="O262" s="2"/>
      <c r="P262" s="2"/>
      <c r="Q262" s="2"/>
      <c r="R262" s="2"/>
      <c r="S262" s="2"/>
    </row>
    <row r="263" spans="1:19" ht="15.75" customHeight="1" x14ac:dyDescent="0.2">
      <c r="A263"/>
      <c r="B263" s="2"/>
      <c r="C263" s="26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"/>
      <c r="O263" s="2"/>
      <c r="P263" s="2"/>
      <c r="Q263" s="2"/>
      <c r="R263" s="2"/>
      <c r="S263" s="2"/>
    </row>
    <row r="264" spans="1:19" ht="15.75" customHeight="1" x14ac:dyDescent="0.2">
      <c r="A264"/>
      <c r="B264" s="2"/>
      <c r="C264" s="26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"/>
      <c r="O264" s="2"/>
      <c r="P264" s="2"/>
      <c r="Q264" s="2"/>
      <c r="R264" s="2"/>
      <c r="S264" s="2"/>
    </row>
    <row r="265" spans="1:19" ht="15.75" customHeight="1" x14ac:dyDescent="0.2">
      <c r="A265"/>
      <c r="B265" s="2"/>
      <c r="C265" s="26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"/>
      <c r="O265" s="2"/>
      <c r="P265" s="2"/>
      <c r="Q265" s="2"/>
      <c r="R265" s="2"/>
      <c r="S265" s="2"/>
    </row>
    <row r="266" spans="1:19" ht="15.75" customHeight="1" x14ac:dyDescent="0.2">
      <c r="A266"/>
      <c r="B266" s="2"/>
      <c r="C266" s="26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"/>
      <c r="O266" s="2"/>
      <c r="P266" s="2"/>
      <c r="Q266" s="2"/>
      <c r="R266" s="2"/>
      <c r="S266" s="2"/>
    </row>
    <row r="267" spans="1:19" ht="15.75" customHeight="1" x14ac:dyDescent="0.2">
      <c r="A267"/>
      <c r="B267" s="2"/>
      <c r="C267" s="26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"/>
      <c r="O267" s="2"/>
      <c r="P267" s="2"/>
      <c r="Q267" s="2"/>
      <c r="R267" s="2"/>
      <c r="S267" s="2"/>
    </row>
    <row r="268" spans="1:19" ht="15.75" customHeight="1" x14ac:dyDescent="0.2">
      <c r="A268"/>
      <c r="B268" s="2"/>
      <c r="C268" s="26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"/>
      <c r="O268" s="2"/>
      <c r="P268" s="2"/>
      <c r="Q268" s="2"/>
      <c r="R268" s="2"/>
      <c r="S268" s="2"/>
    </row>
    <row r="269" spans="1:19" ht="15.75" customHeight="1" x14ac:dyDescent="0.2">
      <c r="A269"/>
      <c r="B269" s="2"/>
      <c r="C269" s="26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"/>
      <c r="O269" s="2"/>
      <c r="P269" s="2"/>
      <c r="Q269" s="2"/>
      <c r="R269" s="2"/>
      <c r="S269" s="2"/>
    </row>
    <row r="270" spans="1:19" ht="15.75" customHeight="1" x14ac:dyDescent="0.2">
      <c r="A270"/>
      <c r="B270" s="2"/>
      <c r="C270" s="26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"/>
      <c r="O270" s="2"/>
      <c r="P270" s="2"/>
      <c r="Q270" s="2"/>
      <c r="R270" s="2"/>
      <c r="S270" s="2"/>
    </row>
    <row r="271" spans="1:19" ht="15.75" customHeight="1" x14ac:dyDescent="0.2">
      <c r="A271"/>
      <c r="B271" s="2"/>
      <c r="C271" s="26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"/>
      <c r="O271" s="2"/>
      <c r="P271" s="2"/>
      <c r="Q271" s="2"/>
      <c r="R271" s="2"/>
      <c r="S271" s="2"/>
    </row>
    <row r="272" spans="1:19" ht="15.75" customHeight="1" x14ac:dyDescent="0.2">
      <c r="A272"/>
      <c r="B272" s="2"/>
      <c r="C272" s="26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"/>
      <c r="O272" s="2"/>
      <c r="P272" s="2"/>
      <c r="Q272" s="2"/>
      <c r="R272" s="2"/>
      <c r="S272" s="2"/>
    </row>
    <row r="273" spans="1:19" ht="15.75" customHeight="1" x14ac:dyDescent="0.2">
      <c r="A273"/>
      <c r="B273" s="2"/>
      <c r="C273" s="26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"/>
      <c r="O273" s="2"/>
      <c r="P273" s="2"/>
      <c r="Q273" s="2"/>
      <c r="R273" s="2"/>
      <c r="S273" s="2"/>
    </row>
    <row r="274" spans="1:19" ht="15.75" customHeight="1" x14ac:dyDescent="0.2">
      <c r="A274"/>
      <c r="B274" s="2"/>
      <c r="C274" s="26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"/>
      <c r="O274" s="2"/>
      <c r="P274" s="2"/>
      <c r="Q274" s="2"/>
      <c r="R274" s="2"/>
      <c r="S274" s="2"/>
    </row>
    <row r="275" spans="1:19" ht="15.75" customHeight="1" x14ac:dyDescent="0.2">
      <c r="A275"/>
      <c r="B275" s="2"/>
      <c r="C275" s="26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"/>
      <c r="O275" s="2"/>
      <c r="P275" s="2"/>
      <c r="Q275" s="2"/>
      <c r="R275" s="2"/>
      <c r="S275" s="2"/>
    </row>
    <row r="276" spans="1:19" ht="15.75" customHeight="1" x14ac:dyDescent="0.2">
      <c r="A276"/>
      <c r="B276" s="2"/>
      <c r="C276" s="26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"/>
      <c r="O276" s="2"/>
      <c r="P276" s="2"/>
      <c r="Q276" s="2"/>
      <c r="R276" s="2"/>
      <c r="S276" s="2"/>
    </row>
    <row r="277" spans="1:19" ht="15.75" customHeight="1" x14ac:dyDescent="0.2">
      <c r="A277"/>
      <c r="B277" s="2"/>
      <c r="C277" s="26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"/>
      <c r="O277" s="2"/>
      <c r="P277" s="2"/>
      <c r="Q277" s="2"/>
      <c r="R277" s="2"/>
      <c r="S277" s="2"/>
    </row>
    <row r="278" spans="1:19" ht="15.75" customHeight="1" x14ac:dyDescent="0.2">
      <c r="A278"/>
      <c r="B278" s="2"/>
      <c r="C278" s="26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"/>
      <c r="O278" s="2"/>
      <c r="P278" s="2"/>
      <c r="Q278" s="2"/>
      <c r="R278" s="2"/>
      <c r="S278" s="2"/>
    </row>
    <row r="279" spans="1:19" ht="15.75" customHeight="1" x14ac:dyDescent="0.2">
      <c r="A279"/>
      <c r="B279" s="2"/>
      <c r="C279" s="26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"/>
      <c r="O279" s="2"/>
      <c r="P279" s="2"/>
      <c r="Q279" s="2"/>
      <c r="R279" s="2"/>
      <c r="S279" s="2"/>
    </row>
    <row r="280" spans="1:19" ht="15.75" customHeight="1" x14ac:dyDescent="0.2">
      <c r="A280"/>
      <c r="B280" s="2"/>
      <c r="C280" s="26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"/>
      <c r="O280" s="2"/>
      <c r="P280" s="2"/>
      <c r="Q280" s="2"/>
      <c r="R280" s="2"/>
      <c r="S280" s="2"/>
    </row>
    <row r="281" spans="1:19" ht="15.75" customHeight="1" x14ac:dyDescent="0.2">
      <c r="A281"/>
      <c r="B281" s="2"/>
      <c r="C281" s="26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"/>
      <c r="O281" s="2"/>
      <c r="P281" s="2"/>
      <c r="Q281" s="2"/>
      <c r="R281" s="2"/>
      <c r="S281" s="2"/>
    </row>
    <row r="282" spans="1:19" ht="15.75" customHeight="1" x14ac:dyDescent="0.2">
      <c r="A282"/>
      <c r="B282" s="2"/>
      <c r="C282" s="26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"/>
      <c r="O282" s="2"/>
      <c r="P282" s="2"/>
      <c r="Q282" s="2"/>
      <c r="R282" s="2"/>
      <c r="S282" s="2"/>
    </row>
    <row r="283" spans="1:19" ht="15.75" customHeight="1" x14ac:dyDescent="0.2">
      <c r="A283"/>
      <c r="B283" s="2"/>
      <c r="C283" s="26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"/>
      <c r="O283" s="2"/>
      <c r="P283" s="2"/>
      <c r="Q283" s="2"/>
      <c r="R283" s="2"/>
      <c r="S283" s="2"/>
    </row>
    <row r="284" spans="1:19" ht="15.75" customHeight="1" x14ac:dyDescent="0.2">
      <c r="A284"/>
      <c r="B284" s="2"/>
      <c r="C284" s="26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"/>
      <c r="O284" s="2"/>
      <c r="P284" s="2"/>
      <c r="Q284" s="2"/>
      <c r="R284" s="2"/>
      <c r="S284" s="2"/>
    </row>
    <row r="285" spans="1:19" ht="15.75" customHeight="1" x14ac:dyDescent="0.2">
      <c r="A285"/>
      <c r="B285" s="2"/>
      <c r="C285" s="26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"/>
      <c r="O285" s="2"/>
      <c r="P285" s="2"/>
      <c r="Q285" s="2"/>
      <c r="R285" s="2"/>
      <c r="S285" s="2"/>
    </row>
    <row r="286" spans="1:19" ht="15.75" customHeight="1" x14ac:dyDescent="0.2">
      <c r="A286"/>
      <c r="B286" s="2"/>
      <c r="C286" s="26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"/>
      <c r="O286" s="2"/>
      <c r="P286" s="2"/>
      <c r="Q286" s="2"/>
      <c r="R286" s="2"/>
      <c r="S286" s="2"/>
    </row>
    <row r="287" spans="1:19" ht="15.75" customHeight="1" x14ac:dyDescent="0.2">
      <c r="A287"/>
      <c r="B287" s="2"/>
      <c r="C287" s="26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"/>
      <c r="O287" s="2"/>
      <c r="P287" s="2"/>
      <c r="Q287" s="2"/>
      <c r="R287" s="2"/>
      <c r="S287" s="2"/>
    </row>
    <row r="288" spans="1:19" ht="15.75" customHeight="1" x14ac:dyDescent="0.2">
      <c r="A288"/>
      <c r="B288" s="2"/>
      <c r="C288" s="26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"/>
      <c r="O288" s="2"/>
      <c r="P288" s="2"/>
      <c r="Q288" s="2"/>
      <c r="R288" s="2"/>
      <c r="S288" s="2"/>
    </row>
    <row r="289" spans="1:19" ht="15.75" customHeight="1" x14ac:dyDescent="0.2">
      <c r="A289"/>
      <c r="B289" s="2"/>
      <c r="C289" s="26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"/>
      <c r="O289" s="2"/>
      <c r="P289" s="2"/>
      <c r="Q289" s="2"/>
      <c r="R289" s="2"/>
      <c r="S289" s="2"/>
    </row>
    <row r="290" spans="1:19" ht="15.75" customHeight="1" x14ac:dyDescent="0.2">
      <c r="A290"/>
      <c r="B290" s="2"/>
      <c r="C290" s="26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"/>
      <c r="O290" s="2"/>
      <c r="P290" s="2"/>
      <c r="Q290" s="2"/>
      <c r="R290" s="2"/>
      <c r="S290" s="2"/>
    </row>
    <row r="291" spans="1:19" ht="15.75" customHeight="1" x14ac:dyDescent="0.2">
      <c r="A291"/>
      <c r="B291" s="2"/>
      <c r="C291" s="26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"/>
      <c r="O291" s="2"/>
      <c r="P291" s="2"/>
      <c r="Q291" s="2"/>
      <c r="R291" s="2"/>
      <c r="S291" s="2"/>
    </row>
    <row r="292" spans="1:19" ht="15.75" customHeight="1" x14ac:dyDescent="0.2">
      <c r="A292"/>
      <c r="B292" s="2"/>
      <c r="C292" s="26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"/>
      <c r="O292" s="2"/>
      <c r="P292" s="2"/>
      <c r="Q292" s="2"/>
      <c r="R292" s="2"/>
      <c r="S292" s="2"/>
    </row>
    <row r="293" spans="1:19" ht="15.75" customHeight="1" x14ac:dyDescent="0.2">
      <c r="A293"/>
      <c r="B293" s="2"/>
      <c r="C293" s="26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"/>
      <c r="O293" s="2"/>
      <c r="P293" s="2"/>
      <c r="Q293" s="2"/>
      <c r="R293" s="2"/>
      <c r="S293" s="2"/>
    </row>
    <row r="294" spans="1:19" ht="15.75" customHeight="1" x14ac:dyDescent="0.2">
      <c r="A294"/>
      <c r="B294" s="2"/>
      <c r="C294" s="26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"/>
      <c r="O294" s="2"/>
      <c r="P294" s="2"/>
      <c r="Q294" s="2"/>
      <c r="R294" s="2"/>
      <c r="S294" s="2"/>
    </row>
    <row r="295" spans="1:19" ht="15.75" customHeight="1" x14ac:dyDescent="0.2">
      <c r="A295"/>
      <c r="B295" s="2"/>
      <c r="C295" s="26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"/>
      <c r="O295" s="2"/>
      <c r="P295" s="2"/>
      <c r="Q295" s="2"/>
      <c r="R295" s="2"/>
      <c r="S295" s="2"/>
    </row>
    <row r="296" spans="1:19" ht="15.75" customHeight="1" x14ac:dyDescent="0.2">
      <c r="A296"/>
      <c r="B296" s="2"/>
      <c r="C296" s="26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"/>
      <c r="O296" s="2"/>
      <c r="P296" s="2"/>
      <c r="Q296" s="2"/>
      <c r="R296" s="2"/>
      <c r="S296" s="2"/>
    </row>
    <row r="297" spans="1:19" ht="15.75" customHeight="1" x14ac:dyDescent="0.2">
      <c r="A297"/>
      <c r="B297" s="2"/>
      <c r="C297" s="26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"/>
      <c r="O297" s="2"/>
      <c r="P297" s="2"/>
      <c r="Q297" s="2"/>
      <c r="R297" s="2"/>
      <c r="S297" s="2"/>
    </row>
    <row r="298" spans="1:19" ht="15.75" customHeight="1" x14ac:dyDescent="0.2">
      <c r="A298"/>
      <c r="B298" s="2"/>
      <c r="C298" s="26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"/>
      <c r="O298" s="2"/>
      <c r="P298" s="2"/>
      <c r="Q298" s="2"/>
      <c r="R298" s="2"/>
      <c r="S298" s="2"/>
    </row>
    <row r="299" spans="1:19" ht="15.75" customHeight="1" x14ac:dyDescent="0.2">
      <c r="A299"/>
      <c r="B299" s="2"/>
      <c r="C299" s="26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"/>
      <c r="O299" s="2"/>
      <c r="P299" s="2"/>
      <c r="Q299" s="2"/>
      <c r="R299" s="2"/>
      <c r="S299" s="2"/>
    </row>
    <row r="300" spans="1:19" ht="15.75" customHeight="1" x14ac:dyDescent="0.2">
      <c r="A300"/>
      <c r="B300" s="2"/>
      <c r="C300" s="26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"/>
      <c r="O300" s="2"/>
      <c r="P300" s="2"/>
      <c r="Q300" s="2"/>
      <c r="R300" s="2"/>
      <c r="S300" s="2"/>
    </row>
    <row r="301" spans="1:19" ht="15.75" customHeight="1" x14ac:dyDescent="0.2">
      <c r="A301"/>
      <c r="B301" s="2"/>
      <c r="C301" s="26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"/>
      <c r="O301" s="2"/>
      <c r="P301" s="2"/>
      <c r="Q301" s="2"/>
      <c r="R301" s="2"/>
      <c r="S301" s="2"/>
    </row>
    <row r="302" spans="1:19" ht="15.75" customHeight="1" x14ac:dyDescent="0.2">
      <c r="A302"/>
      <c r="B302" s="2"/>
      <c r="C302" s="26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"/>
      <c r="O302" s="2"/>
      <c r="P302" s="2"/>
      <c r="Q302" s="2"/>
      <c r="R302" s="2"/>
      <c r="S302" s="2"/>
    </row>
    <row r="303" spans="1:19" ht="15.75" customHeight="1" x14ac:dyDescent="0.2">
      <c r="A303"/>
      <c r="B303" s="2"/>
      <c r="C303" s="26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"/>
      <c r="O303" s="2"/>
      <c r="P303" s="2"/>
      <c r="Q303" s="2"/>
      <c r="R303" s="2"/>
      <c r="S303" s="2"/>
    </row>
    <row r="304" spans="1:19" ht="15.75" customHeight="1" x14ac:dyDescent="0.2">
      <c r="A304"/>
      <c r="B304" s="2"/>
      <c r="C304" s="26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"/>
      <c r="O304" s="2"/>
      <c r="P304" s="2"/>
      <c r="Q304" s="2"/>
      <c r="R304" s="2"/>
      <c r="S304" s="2"/>
    </row>
    <row r="305" spans="1:19" ht="15.75" customHeight="1" x14ac:dyDescent="0.2">
      <c r="A305"/>
      <c r="B305" s="2"/>
      <c r="C305" s="26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"/>
      <c r="O305" s="2"/>
      <c r="P305" s="2"/>
      <c r="Q305" s="2"/>
      <c r="R305" s="2"/>
      <c r="S305" s="2"/>
    </row>
    <row r="306" spans="1:19" ht="15.75" customHeight="1" x14ac:dyDescent="0.2">
      <c r="A306"/>
      <c r="B306" s="2"/>
      <c r="C306" s="26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"/>
      <c r="O306" s="2"/>
      <c r="P306" s="2"/>
      <c r="Q306" s="2"/>
      <c r="R306" s="2"/>
      <c r="S306" s="2"/>
    </row>
    <row r="307" spans="1:19" ht="15.75" customHeight="1" x14ac:dyDescent="0.2">
      <c r="A307"/>
      <c r="B307" s="2"/>
      <c r="C307" s="26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"/>
      <c r="O307" s="2"/>
      <c r="P307" s="2"/>
      <c r="Q307" s="2"/>
      <c r="R307" s="2"/>
      <c r="S307" s="2"/>
    </row>
    <row r="308" spans="1:19" ht="15.75" customHeight="1" x14ac:dyDescent="0.2">
      <c r="A308"/>
      <c r="B308" s="2"/>
      <c r="C308" s="26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"/>
      <c r="O308" s="2"/>
      <c r="P308" s="2"/>
      <c r="Q308" s="2"/>
      <c r="R308" s="2"/>
      <c r="S308" s="2"/>
    </row>
    <row r="309" spans="1:19" ht="15.75" customHeight="1" x14ac:dyDescent="0.2">
      <c r="A309"/>
      <c r="B309" s="2"/>
      <c r="C309" s="26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"/>
      <c r="O309" s="2"/>
      <c r="P309" s="2"/>
      <c r="Q309" s="2"/>
      <c r="R309" s="2"/>
      <c r="S309" s="2"/>
    </row>
    <row r="310" spans="1:19" ht="15.75" customHeight="1" x14ac:dyDescent="0.2">
      <c r="A310"/>
      <c r="B310" s="2"/>
      <c r="C310" s="26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"/>
      <c r="O310" s="2"/>
      <c r="P310" s="2"/>
      <c r="Q310" s="2"/>
      <c r="R310" s="2"/>
      <c r="S310" s="2"/>
    </row>
    <row r="311" spans="1:19" ht="15.75" customHeight="1" x14ac:dyDescent="0.2">
      <c r="A311"/>
      <c r="B311" s="2"/>
      <c r="C311" s="26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"/>
      <c r="O311" s="2"/>
      <c r="P311" s="2"/>
      <c r="Q311" s="2"/>
      <c r="R311" s="2"/>
      <c r="S311" s="2"/>
    </row>
    <row r="312" spans="1:19" ht="15.75" customHeight="1" x14ac:dyDescent="0.2">
      <c r="A312"/>
      <c r="B312" s="2"/>
      <c r="C312" s="26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"/>
      <c r="O312" s="2"/>
      <c r="P312" s="2"/>
      <c r="Q312" s="2"/>
      <c r="R312" s="2"/>
      <c r="S312" s="2"/>
    </row>
    <row r="313" spans="1:19" ht="15.75" customHeight="1" x14ac:dyDescent="0.2">
      <c r="A313"/>
      <c r="B313" s="2"/>
      <c r="C313" s="26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"/>
      <c r="O313" s="2"/>
      <c r="P313" s="2"/>
      <c r="Q313" s="2"/>
      <c r="R313" s="2"/>
      <c r="S313" s="2"/>
    </row>
    <row r="314" spans="1:19" ht="15.75" customHeight="1" x14ac:dyDescent="0.2">
      <c r="A314"/>
      <c r="B314" s="2"/>
      <c r="C314" s="26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"/>
      <c r="O314" s="2"/>
      <c r="P314" s="2"/>
      <c r="Q314" s="2"/>
      <c r="R314" s="2"/>
      <c r="S314" s="2"/>
    </row>
    <row r="315" spans="1:19" ht="15.75" customHeight="1" x14ac:dyDescent="0.2">
      <c r="A315"/>
      <c r="B315" s="2"/>
      <c r="C315" s="26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"/>
      <c r="O315" s="2"/>
      <c r="P315" s="2"/>
      <c r="Q315" s="2"/>
      <c r="R315" s="2"/>
      <c r="S315" s="2"/>
    </row>
    <row r="316" spans="1:19" ht="15.75" customHeight="1" x14ac:dyDescent="0.2">
      <c r="A316"/>
      <c r="B316" s="2"/>
      <c r="C316" s="26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"/>
      <c r="O316" s="2"/>
      <c r="P316" s="2"/>
      <c r="Q316" s="2"/>
      <c r="R316" s="2"/>
      <c r="S316" s="2"/>
    </row>
    <row r="317" spans="1:19" ht="15.75" customHeight="1" x14ac:dyDescent="0.2">
      <c r="A317"/>
      <c r="B317" s="2"/>
      <c r="C317" s="26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"/>
      <c r="O317" s="2"/>
      <c r="P317" s="2"/>
      <c r="Q317" s="2"/>
      <c r="R317" s="2"/>
      <c r="S317" s="2"/>
    </row>
    <row r="318" spans="1:19" ht="15.75" customHeight="1" x14ac:dyDescent="0.2">
      <c r="A318"/>
      <c r="B318" s="2"/>
      <c r="C318" s="26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"/>
      <c r="O318" s="2"/>
      <c r="P318" s="2"/>
      <c r="Q318" s="2"/>
      <c r="R318" s="2"/>
      <c r="S318" s="2"/>
    </row>
    <row r="319" spans="1:19" ht="15.75" customHeight="1" x14ac:dyDescent="0.2">
      <c r="A319"/>
      <c r="B319" s="2"/>
      <c r="C319" s="26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"/>
      <c r="O319" s="2"/>
      <c r="P319" s="2"/>
      <c r="Q319" s="2"/>
      <c r="R319" s="2"/>
      <c r="S319" s="2"/>
    </row>
    <row r="320" spans="1:19" ht="15.75" customHeight="1" x14ac:dyDescent="0.2">
      <c r="A320"/>
      <c r="B320" s="2"/>
      <c r="C320" s="26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"/>
      <c r="O320" s="2"/>
      <c r="P320" s="2"/>
      <c r="Q320" s="2"/>
      <c r="R320" s="2"/>
      <c r="S320" s="2"/>
    </row>
    <row r="321" spans="1:19" ht="15.75" customHeight="1" x14ac:dyDescent="0.2">
      <c r="A321"/>
      <c r="B321" s="2"/>
      <c r="C321" s="26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"/>
      <c r="O321" s="2"/>
      <c r="P321" s="2"/>
      <c r="Q321" s="2"/>
      <c r="R321" s="2"/>
      <c r="S321" s="2"/>
    </row>
    <row r="322" spans="1:19" ht="15.75" customHeight="1" x14ac:dyDescent="0.2">
      <c r="A322"/>
      <c r="B322" s="2"/>
      <c r="C322" s="26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"/>
      <c r="O322" s="2"/>
      <c r="P322" s="2"/>
      <c r="Q322" s="2"/>
      <c r="R322" s="2"/>
      <c r="S322" s="2"/>
    </row>
    <row r="323" spans="1:19" ht="15.75" customHeight="1" x14ac:dyDescent="0.2">
      <c r="A323"/>
      <c r="B323" s="2"/>
      <c r="C323" s="26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"/>
      <c r="O323" s="2"/>
      <c r="P323" s="2"/>
      <c r="Q323" s="2"/>
      <c r="R323" s="2"/>
      <c r="S323" s="2"/>
    </row>
    <row r="324" spans="1:19" ht="15.75" customHeight="1" x14ac:dyDescent="0.2">
      <c r="A324"/>
      <c r="B324" s="2"/>
      <c r="C324" s="26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"/>
      <c r="O324" s="2"/>
      <c r="P324" s="2"/>
      <c r="Q324" s="2"/>
      <c r="R324" s="2"/>
      <c r="S324" s="2"/>
    </row>
    <row r="325" spans="1:19" ht="15.75" customHeight="1" x14ac:dyDescent="0.2">
      <c r="A325"/>
      <c r="B325" s="2"/>
      <c r="C325" s="26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"/>
      <c r="O325" s="2"/>
      <c r="P325" s="2"/>
      <c r="Q325" s="2"/>
      <c r="R325" s="2"/>
      <c r="S325" s="2"/>
    </row>
    <row r="326" spans="1:19" ht="15.75" customHeight="1" x14ac:dyDescent="0.2">
      <c r="A326"/>
      <c r="B326" s="2"/>
      <c r="C326" s="26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"/>
      <c r="O326" s="2"/>
      <c r="P326" s="2"/>
      <c r="Q326" s="2"/>
      <c r="R326" s="2"/>
      <c r="S326" s="2"/>
    </row>
    <row r="327" spans="1:19" ht="15.75" customHeight="1" x14ac:dyDescent="0.2">
      <c r="A327"/>
      <c r="B327" s="2"/>
      <c r="C327" s="26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"/>
      <c r="O327" s="2"/>
      <c r="P327" s="2"/>
      <c r="Q327" s="2"/>
      <c r="R327" s="2"/>
      <c r="S327" s="2"/>
    </row>
    <row r="328" spans="1:19" ht="15.75" customHeight="1" x14ac:dyDescent="0.2">
      <c r="A328"/>
      <c r="B328" s="2"/>
      <c r="C328" s="26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"/>
      <c r="O328" s="2"/>
      <c r="P328" s="2"/>
      <c r="Q328" s="2"/>
      <c r="R328" s="2"/>
      <c r="S328" s="2"/>
    </row>
    <row r="329" spans="1:19" ht="15.75" customHeight="1" x14ac:dyDescent="0.2">
      <c r="A329"/>
      <c r="B329" s="2"/>
      <c r="C329" s="26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"/>
      <c r="O329" s="2"/>
      <c r="P329" s="2"/>
      <c r="Q329" s="2"/>
      <c r="R329" s="2"/>
      <c r="S329" s="2"/>
    </row>
    <row r="330" spans="1:19" ht="15.75" customHeight="1" x14ac:dyDescent="0.2">
      <c r="A330"/>
      <c r="B330" s="2"/>
      <c r="C330" s="26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"/>
      <c r="O330" s="2"/>
      <c r="P330" s="2"/>
      <c r="Q330" s="2"/>
      <c r="R330" s="2"/>
      <c r="S330" s="2"/>
    </row>
    <row r="331" spans="1:19" ht="15.75" customHeight="1" x14ac:dyDescent="0.2">
      <c r="A331"/>
      <c r="B331" s="2"/>
      <c r="C331" s="26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"/>
      <c r="O331" s="2"/>
      <c r="P331" s="2"/>
      <c r="Q331" s="2"/>
      <c r="R331" s="2"/>
      <c r="S331" s="2"/>
    </row>
    <row r="332" spans="1:19" ht="15.75" customHeight="1" x14ac:dyDescent="0.2">
      <c r="A332"/>
      <c r="B332" s="2"/>
      <c r="C332" s="26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"/>
      <c r="O332" s="2"/>
      <c r="P332" s="2"/>
      <c r="Q332" s="2"/>
      <c r="R332" s="2"/>
      <c r="S332" s="2"/>
    </row>
    <row r="333" spans="1:19" ht="15.75" customHeight="1" x14ac:dyDescent="0.2">
      <c r="A333"/>
      <c r="B333" s="2"/>
      <c r="C333" s="26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"/>
      <c r="O333" s="2"/>
      <c r="P333" s="2"/>
      <c r="Q333" s="2"/>
      <c r="R333" s="2"/>
      <c r="S333" s="2"/>
    </row>
    <row r="334" spans="1:19" ht="15.75" customHeight="1" x14ac:dyDescent="0.2">
      <c r="A334"/>
      <c r="B334" s="2"/>
      <c r="C334" s="26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"/>
      <c r="O334" s="2"/>
      <c r="P334" s="2"/>
      <c r="Q334" s="2"/>
      <c r="R334" s="2"/>
      <c r="S334" s="2"/>
    </row>
    <row r="335" spans="1:19" ht="15.75" customHeight="1" x14ac:dyDescent="0.2">
      <c r="A335"/>
      <c r="B335" s="2"/>
      <c r="C335" s="26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"/>
      <c r="O335" s="2"/>
      <c r="P335" s="2"/>
      <c r="Q335" s="2"/>
      <c r="R335" s="2"/>
      <c r="S335" s="2"/>
    </row>
    <row r="336" spans="1:19" ht="15.75" customHeight="1" x14ac:dyDescent="0.2">
      <c r="A336"/>
      <c r="B336" s="2"/>
      <c r="C336" s="26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"/>
      <c r="O336" s="2"/>
      <c r="P336" s="2"/>
      <c r="Q336" s="2"/>
      <c r="R336" s="2"/>
      <c r="S336" s="2"/>
    </row>
    <row r="337" spans="1:19" ht="15.75" customHeight="1" x14ac:dyDescent="0.2">
      <c r="A337"/>
      <c r="B337" s="2"/>
      <c r="C337" s="26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"/>
      <c r="O337" s="2"/>
      <c r="P337" s="2"/>
      <c r="Q337" s="2"/>
      <c r="R337" s="2"/>
      <c r="S337" s="2"/>
    </row>
    <row r="338" spans="1:19" ht="15.75" customHeight="1" x14ac:dyDescent="0.2">
      <c r="A338"/>
      <c r="B338" s="2"/>
      <c r="C338" s="26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"/>
      <c r="O338" s="2"/>
      <c r="P338" s="2"/>
      <c r="Q338" s="2"/>
      <c r="R338" s="2"/>
      <c r="S338" s="2"/>
    </row>
    <row r="339" spans="1:19" ht="15.75" customHeight="1" x14ac:dyDescent="0.2">
      <c r="A339"/>
      <c r="B339" s="2"/>
      <c r="C339" s="26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"/>
      <c r="O339" s="2"/>
      <c r="P339" s="2"/>
      <c r="Q339" s="2"/>
      <c r="R339" s="2"/>
      <c r="S339" s="2"/>
    </row>
    <row r="340" spans="1:19" ht="15.75" customHeight="1" x14ac:dyDescent="0.2">
      <c r="A340"/>
      <c r="B340" s="2"/>
      <c r="C340" s="26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"/>
      <c r="O340" s="2"/>
      <c r="P340" s="2"/>
      <c r="Q340" s="2"/>
      <c r="R340" s="2"/>
      <c r="S340" s="2"/>
    </row>
    <row r="341" spans="1:19" ht="15.75" customHeight="1" x14ac:dyDescent="0.2">
      <c r="A341"/>
      <c r="B341" s="2"/>
      <c r="C341" s="26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"/>
      <c r="O341" s="2"/>
      <c r="P341" s="2"/>
      <c r="Q341" s="2"/>
      <c r="R341" s="2"/>
      <c r="S341" s="2"/>
    </row>
    <row r="342" spans="1:19" ht="15.75" customHeight="1" x14ac:dyDescent="0.2">
      <c r="A342"/>
      <c r="B342" s="2"/>
      <c r="C342" s="26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"/>
      <c r="O342" s="2"/>
      <c r="P342" s="2"/>
      <c r="Q342" s="2"/>
      <c r="R342" s="2"/>
      <c r="S342" s="2"/>
    </row>
    <row r="343" spans="1:19" ht="15.75" customHeight="1" x14ac:dyDescent="0.2">
      <c r="A343"/>
      <c r="B343" s="2"/>
      <c r="C343" s="26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"/>
      <c r="O343" s="2"/>
      <c r="P343" s="2"/>
      <c r="Q343" s="2"/>
      <c r="R343" s="2"/>
      <c r="S343" s="2"/>
    </row>
    <row r="344" spans="1:19" ht="15.75" customHeight="1" x14ac:dyDescent="0.2">
      <c r="A344"/>
      <c r="B344" s="2"/>
      <c r="C344" s="26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"/>
      <c r="O344" s="2"/>
      <c r="P344" s="2"/>
      <c r="Q344" s="2"/>
      <c r="R344" s="2"/>
      <c r="S344" s="2"/>
    </row>
    <row r="345" spans="1:19" ht="15.75" customHeight="1" x14ac:dyDescent="0.2">
      <c r="A345"/>
      <c r="B345" s="2"/>
      <c r="C345" s="26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"/>
      <c r="O345" s="2"/>
      <c r="P345" s="2"/>
      <c r="Q345" s="2"/>
      <c r="R345" s="2"/>
      <c r="S345" s="2"/>
    </row>
    <row r="346" spans="1:19" ht="15.75" customHeight="1" x14ac:dyDescent="0.2">
      <c r="A346"/>
      <c r="B346" s="2"/>
      <c r="C346" s="26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"/>
      <c r="O346" s="2"/>
      <c r="P346" s="2"/>
      <c r="Q346" s="2"/>
      <c r="R346" s="2"/>
      <c r="S346" s="2"/>
    </row>
    <row r="347" spans="1:19" ht="15.75" customHeight="1" x14ac:dyDescent="0.2">
      <c r="A347"/>
      <c r="B347" s="2"/>
      <c r="C347" s="26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"/>
      <c r="O347" s="2"/>
      <c r="P347" s="2"/>
      <c r="Q347" s="2"/>
      <c r="R347" s="2"/>
      <c r="S347" s="2"/>
    </row>
    <row r="348" spans="1:19" ht="15.75" customHeight="1" x14ac:dyDescent="0.2">
      <c r="A348"/>
      <c r="B348" s="2"/>
      <c r="C348" s="26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"/>
      <c r="O348" s="2"/>
      <c r="P348" s="2"/>
      <c r="Q348" s="2"/>
      <c r="R348" s="2"/>
      <c r="S348" s="2"/>
    </row>
    <row r="349" spans="1:19" ht="15.75" customHeight="1" x14ac:dyDescent="0.2">
      <c r="A349"/>
      <c r="B349" s="2"/>
      <c r="C349" s="26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"/>
      <c r="O349" s="2"/>
      <c r="P349" s="2"/>
      <c r="Q349" s="2"/>
      <c r="R349" s="2"/>
      <c r="S349" s="2"/>
    </row>
    <row r="350" spans="1:19" ht="15.75" customHeight="1" x14ac:dyDescent="0.2">
      <c r="A350"/>
      <c r="B350" s="2"/>
      <c r="C350" s="26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"/>
      <c r="O350" s="2"/>
      <c r="P350" s="2"/>
      <c r="Q350" s="2"/>
      <c r="R350" s="2"/>
      <c r="S350" s="2"/>
    </row>
    <row r="351" spans="1:19" ht="15.75" customHeight="1" x14ac:dyDescent="0.2">
      <c r="A351"/>
      <c r="B351" s="2"/>
      <c r="C351" s="26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"/>
      <c r="O351" s="2"/>
      <c r="P351" s="2"/>
      <c r="Q351" s="2"/>
      <c r="R351" s="2"/>
      <c r="S351" s="2"/>
    </row>
    <row r="352" spans="1:19" ht="15.75" customHeight="1" x14ac:dyDescent="0.2">
      <c r="A352"/>
      <c r="B352" s="2"/>
      <c r="C352" s="26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"/>
      <c r="O352" s="2"/>
      <c r="P352" s="2"/>
      <c r="Q352" s="2"/>
      <c r="R352" s="2"/>
      <c r="S352" s="2"/>
    </row>
    <row r="353" spans="1:19" ht="15.75" customHeight="1" x14ac:dyDescent="0.2">
      <c r="A353"/>
      <c r="B353" s="2"/>
      <c r="C353" s="26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"/>
      <c r="O353" s="2"/>
      <c r="P353" s="2"/>
      <c r="Q353" s="2"/>
      <c r="R353" s="2"/>
      <c r="S353" s="2"/>
    </row>
    <row r="354" spans="1:19" ht="15.75" customHeight="1" x14ac:dyDescent="0.2">
      <c r="A354"/>
      <c r="B354" s="2"/>
      <c r="C354" s="26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"/>
      <c r="O354" s="2"/>
      <c r="P354" s="2"/>
      <c r="Q354" s="2"/>
      <c r="R354" s="2"/>
      <c r="S354" s="2"/>
    </row>
    <row r="355" spans="1:19" ht="15.75" customHeight="1" x14ac:dyDescent="0.2">
      <c r="A355"/>
      <c r="B355" s="2"/>
      <c r="C355" s="26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"/>
      <c r="O355" s="2"/>
      <c r="P355" s="2"/>
      <c r="Q355" s="2"/>
      <c r="R355" s="2"/>
      <c r="S355" s="2"/>
    </row>
    <row r="356" spans="1:19" ht="15.75" customHeight="1" x14ac:dyDescent="0.2">
      <c r="A356"/>
      <c r="B356" s="2"/>
      <c r="C356" s="26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"/>
      <c r="O356" s="2"/>
      <c r="P356" s="2"/>
      <c r="Q356" s="2"/>
      <c r="R356" s="2"/>
      <c r="S356" s="2"/>
    </row>
    <row r="357" spans="1:19" ht="15.75" customHeight="1" x14ac:dyDescent="0.2">
      <c r="A357"/>
      <c r="B357" s="2"/>
      <c r="C357" s="26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"/>
      <c r="O357" s="2"/>
      <c r="P357" s="2"/>
      <c r="Q357" s="2"/>
      <c r="R357" s="2"/>
      <c r="S357" s="2"/>
    </row>
    <row r="358" spans="1:19" ht="15.75" customHeight="1" x14ac:dyDescent="0.2">
      <c r="A358"/>
      <c r="B358" s="2"/>
      <c r="C358" s="26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"/>
      <c r="O358" s="2"/>
      <c r="P358" s="2"/>
      <c r="Q358" s="2"/>
      <c r="R358" s="2"/>
      <c r="S358" s="2"/>
    </row>
    <row r="359" spans="1:19" ht="15.75" customHeight="1" x14ac:dyDescent="0.2">
      <c r="A359"/>
      <c r="B359" s="2"/>
      <c r="C359" s="26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"/>
      <c r="O359" s="2"/>
      <c r="P359" s="2"/>
      <c r="Q359" s="2"/>
      <c r="R359" s="2"/>
      <c r="S359" s="2"/>
    </row>
    <row r="360" spans="1:19" ht="15.75" customHeight="1" x14ac:dyDescent="0.2">
      <c r="A360"/>
      <c r="B360" s="2"/>
      <c r="C360" s="26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"/>
      <c r="O360" s="2"/>
      <c r="P360" s="2"/>
      <c r="Q360" s="2"/>
      <c r="R360" s="2"/>
      <c r="S360" s="2"/>
    </row>
    <row r="361" spans="1:19" ht="15.75" customHeight="1" x14ac:dyDescent="0.2">
      <c r="A361"/>
      <c r="B361" s="2"/>
      <c r="C361" s="26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"/>
      <c r="O361" s="2"/>
      <c r="P361" s="2"/>
      <c r="Q361" s="2"/>
      <c r="R361" s="2"/>
      <c r="S361" s="2"/>
    </row>
    <row r="362" spans="1:19" ht="15.75" customHeight="1" x14ac:dyDescent="0.2">
      <c r="A362"/>
      <c r="B362" s="2"/>
      <c r="C362" s="26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"/>
      <c r="O362" s="2"/>
      <c r="P362" s="2"/>
      <c r="Q362" s="2"/>
      <c r="R362" s="2"/>
      <c r="S362" s="2"/>
    </row>
    <row r="363" spans="1:19" ht="15.75" customHeight="1" x14ac:dyDescent="0.2">
      <c r="A363"/>
      <c r="B363" s="2"/>
      <c r="C363" s="26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"/>
      <c r="O363" s="2"/>
      <c r="P363" s="2"/>
      <c r="Q363" s="2"/>
      <c r="R363" s="2"/>
      <c r="S363" s="2"/>
    </row>
    <row r="364" spans="1:19" ht="15.75" customHeight="1" x14ac:dyDescent="0.2">
      <c r="A364"/>
      <c r="B364" s="2"/>
      <c r="C364" s="26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"/>
      <c r="O364" s="2"/>
      <c r="P364" s="2"/>
      <c r="Q364" s="2"/>
      <c r="R364" s="2"/>
      <c r="S364" s="2"/>
    </row>
    <row r="365" spans="1:19" ht="15.75" customHeight="1" x14ac:dyDescent="0.2">
      <c r="A365"/>
      <c r="B365" s="2"/>
      <c r="C365" s="26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"/>
      <c r="O365" s="2"/>
      <c r="P365" s="2"/>
      <c r="Q365" s="2"/>
      <c r="R365" s="2"/>
      <c r="S365" s="2"/>
    </row>
    <row r="366" spans="1:19" ht="15.75" customHeight="1" x14ac:dyDescent="0.2">
      <c r="A366"/>
      <c r="B366" s="2"/>
      <c r="C366" s="26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"/>
      <c r="O366" s="2"/>
      <c r="P366" s="2"/>
      <c r="Q366" s="2"/>
      <c r="R366" s="2"/>
      <c r="S366" s="2"/>
    </row>
    <row r="367" spans="1:19" ht="15.75" customHeight="1" x14ac:dyDescent="0.2">
      <c r="A367"/>
      <c r="B367" s="2"/>
      <c r="C367" s="26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"/>
      <c r="O367" s="2"/>
      <c r="P367" s="2"/>
      <c r="Q367" s="2"/>
      <c r="R367" s="2"/>
      <c r="S367" s="2"/>
    </row>
    <row r="368" spans="1:19" ht="15.75" customHeight="1" x14ac:dyDescent="0.2">
      <c r="A368"/>
      <c r="B368" s="2"/>
      <c r="C368" s="26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"/>
      <c r="O368" s="2"/>
      <c r="P368" s="2"/>
      <c r="Q368" s="2"/>
      <c r="R368" s="2"/>
      <c r="S368" s="2"/>
    </row>
    <row r="369" spans="1:19" ht="15.75" customHeight="1" x14ac:dyDescent="0.2">
      <c r="A369"/>
      <c r="B369" s="2"/>
      <c r="C369" s="26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"/>
      <c r="O369" s="2"/>
      <c r="P369" s="2"/>
      <c r="Q369" s="2"/>
      <c r="R369" s="2"/>
      <c r="S369" s="2"/>
    </row>
    <row r="370" spans="1:19" ht="15.75" customHeight="1" x14ac:dyDescent="0.2">
      <c r="A370"/>
      <c r="B370" s="2"/>
      <c r="C370" s="26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"/>
      <c r="O370" s="2"/>
      <c r="P370" s="2"/>
      <c r="Q370" s="2"/>
      <c r="R370" s="2"/>
      <c r="S370" s="2"/>
    </row>
    <row r="371" spans="1:19" ht="15.75" customHeight="1" x14ac:dyDescent="0.2">
      <c r="A371"/>
      <c r="B371" s="2"/>
      <c r="C371" s="26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"/>
      <c r="O371" s="2"/>
      <c r="P371" s="2"/>
      <c r="Q371" s="2"/>
      <c r="R371" s="2"/>
      <c r="S371" s="2"/>
    </row>
    <row r="372" spans="1:19" ht="15.75" customHeight="1" x14ac:dyDescent="0.2">
      <c r="A372"/>
      <c r="B372" s="2"/>
      <c r="C372" s="26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"/>
      <c r="O372" s="2"/>
      <c r="P372" s="2"/>
      <c r="Q372" s="2"/>
      <c r="R372" s="2"/>
      <c r="S372" s="2"/>
    </row>
    <row r="373" spans="1:19" ht="15.75" customHeight="1" x14ac:dyDescent="0.2">
      <c r="A373"/>
      <c r="B373" s="2"/>
      <c r="C373" s="26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"/>
      <c r="O373" s="2"/>
      <c r="P373" s="2"/>
      <c r="Q373" s="2"/>
      <c r="R373" s="2"/>
      <c r="S373" s="2"/>
    </row>
    <row r="374" spans="1:19" ht="15.75" customHeight="1" x14ac:dyDescent="0.2">
      <c r="A374"/>
      <c r="B374" s="2"/>
      <c r="C374" s="26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"/>
      <c r="O374" s="2"/>
      <c r="P374" s="2"/>
      <c r="Q374" s="2"/>
      <c r="R374" s="2"/>
      <c r="S374" s="2"/>
    </row>
    <row r="375" spans="1:19" ht="15.75" customHeight="1" x14ac:dyDescent="0.2">
      <c r="A375"/>
      <c r="B375" s="2"/>
      <c r="C375" s="26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"/>
      <c r="O375" s="2"/>
      <c r="P375" s="2"/>
      <c r="Q375" s="2"/>
      <c r="R375" s="2"/>
      <c r="S375" s="2"/>
    </row>
    <row r="376" spans="1:19" ht="15.75" customHeight="1" x14ac:dyDescent="0.2">
      <c r="A376"/>
      <c r="B376" s="2"/>
      <c r="C376" s="26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"/>
      <c r="O376" s="2"/>
      <c r="P376" s="2"/>
      <c r="Q376" s="2"/>
      <c r="R376" s="2"/>
      <c r="S376" s="2"/>
    </row>
    <row r="377" spans="1:19" ht="15.75" customHeight="1" x14ac:dyDescent="0.2">
      <c r="A377"/>
      <c r="B377" s="2"/>
      <c r="C377" s="26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"/>
      <c r="O377" s="2"/>
      <c r="P377" s="2"/>
      <c r="Q377" s="2"/>
      <c r="R377" s="2"/>
      <c r="S377" s="2"/>
    </row>
    <row r="378" spans="1:19" ht="15.75" customHeight="1" x14ac:dyDescent="0.2">
      <c r="A378"/>
      <c r="B378" s="2"/>
      <c r="C378" s="26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"/>
      <c r="O378" s="2"/>
      <c r="P378" s="2"/>
      <c r="Q378" s="2"/>
      <c r="R378" s="2"/>
      <c r="S378" s="2"/>
    </row>
    <row r="379" spans="1:19" ht="15.75" customHeight="1" x14ac:dyDescent="0.2">
      <c r="A379"/>
      <c r="B379" s="2"/>
      <c r="C379" s="26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"/>
      <c r="O379" s="2"/>
      <c r="P379" s="2"/>
      <c r="Q379" s="2"/>
      <c r="R379" s="2"/>
      <c r="S379" s="2"/>
    </row>
    <row r="380" spans="1:19" ht="15.75" customHeight="1" x14ac:dyDescent="0.2">
      <c r="A380"/>
      <c r="B380" s="2"/>
      <c r="C380" s="26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"/>
      <c r="O380" s="2"/>
      <c r="P380" s="2"/>
      <c r="Q380" s="2"/>
      <c r="R380" s="2"/>
      <c r="S380" s="2"/>
    </row>
    <row r="381" spans="1:19" ht="15.75" customHeight="1" x14ac:dyDescent="0.2">
      <c r="A381"/>
      <c r="B381" s="2"/>
      <c r="C381" s="26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"/>
      <c r="O381" s="2"/>
      <c r="P381" s="2"/>
      <c r="Q381" s="2"/>
      <c r="R381" s="2"/>
      <c r="S381" s="2"/>
    </row>
    <row r="382" spans="1:19" ht="15.75" customHeight="1" x14ac:dyDescent="0.2">
      <c r="A382"/>
      <c r="B382" s="2"/>
      <c r="C382" s="26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"/>
      <c r="O382" s="2"/>
      <c r="P382" s="2"/>
      <c r="Q382" s="2"/>
      <c r="R382" s="2"/>
      <c r="S382" s="2"/>
    </row>
    <row r="383" spans="1:19" ht="15.75" customHeight="1" x14ac:dyDescent="0.2">
      <c r="A383"/>
      <c r="B383" s="2"/>
      <c r="C383" s="26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"/>
      <c r="O383" s="2"/>
      <c r="P383" s="2"/>
      <c r="Q383" s="2"/>
      <c r="R383" s="2"/>
      <c r="S383" s="2"/>
    </row>
    <row r="384" spans="1:19" ht="15.75" customHeight="1" x14ac:dyDescent="0.2">
      <c r="A384"/>
      <c r="B384" s="2"/>
      <c r="C384" s="26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"/>
      <c r="O384" s="2"/>
      <c r="P384" s="2"/>
      <c r="Q384" s="2"/>
      <c r="R384" s="2"/>
      <c r="S384" s="2"/>
    </row>
    <row r="385" spans="1:19" ht="15.75" customHeight="1" x14ac:dyDescent="0.2">
      <c r="A385"/>
      <c r="B385" s="2"/>
      <c r="C385" s="26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"/>
      <c r="O385" s="2"/>
      <c r="P385" s="2"/>
      <c r="Q385" s="2"/>
      <c r="R385" s="2"/>
      <c r="S385" s="2"/>
    </row>
    <row r="386" spans="1:19" ht="15.75" customHeight="1" x14ac:dyDescent="0.2">
      <c r="A386"/>
      <c r="B386" s="2"/>
      <c r="C386" s="26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"/>
      <c r="O386" s="2"/>
      <c r="P386" s="2"/>
      <c r="Q386" s="2"/>
      <c r="R386" s="2"/>
      <c r="S386" s="2"/>
    </row>
    <row r="387" spans="1:19" ht="15.75" customHeight="1" x14ac:dyDescent="0.2">
      <c r="A387"/>
      <c r="B387" s="2"/>
      <c r="C387" s="26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"/>
      <c r="O387" s="2"/>
      <c r="P387" s="2"/>
      <c r="Q387" s="2"/>
      <c r="R387" s="2"/>
      <c r="S387" s="2"/>
    </row>
    <row r="388" spans="1:19" ht="15.75" customHeight="1" x14ac:dyDescent="0.2">
      <c r="A388"/>
      <c r="B388" s="2"/>
      <c r="C388" s="26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"/>
      <c r="O388" s="2"/>
      <c r="P388" s="2"/>
      <c r="Q388" s="2"/>
      <c r="R388" s="2"/>
      <c r="S388" s="2"/>
    </row>
    <row r="389" spans="1:19" ht="15.75" customHeight="1" x14ac:dyDescent="0.2">
      <c r="A389"/>
      <c r="B389" s="2"/>
      <c r="C389" s="26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"/>
      <c r="O389" s="2"/>
      <c r="P389" s="2"/>
      <c r="Q389" s="2"/>
      <c r="R389" s="2"/>
      <c r="S389" s="2"/>
    </row>
    <row r="390" spans="1:19" ht="15.75" customHeight="1" x14ac:dyDescent="0.2">
      <c r="A390"/>
      <c r="B390" s="2"/>
      <c r="C390" s="26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"/>
      <c r="O390" s="2"/>
      <c r="P390" s="2"/>
      <c r="Q390" s="2"/>
      <c r="R390" s="2"/>
      <c r="S390" s="2"/>
    </row>
    <row r="391" spans="1:19" ht="15.75" customHeight="1" x14ac:dyDescent="0.2">
      <c r="A391"/>
      <c r="B391" s="2"/>
      <c r="C391" s="26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"/>
      <c r="O391" s="2"/>
      <c r="P391" s="2"/>
      <c r="Q391" s="2"/>
      <c r="R391" s="2"/>
      <c r="S391" s="2"/>
    </row>
    <row r="392" spans="1:19" ht="15.75" customHeight="1" x14ac:dyDescent="0.2">
      <c r="A392"/>
      <c r="B392" s="2"/>
      <c r="C392" s="26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"/>
      <c r="O392" s="2"/>
      <c r="P392" s="2"/>
      <c r="Q392" s="2"/>
      <c r="R392" s="2"/>
      <c r="S392" s="2"/>
    </row>
    <row r="393" spans="1:19" ht="15.75" customHeight="1" x14ac:dyDescent="0.2">
      <c r="A393"/>
      <c r="B393" s="2"/>
      <c r="C393" s="26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"/>
      <c r="O393" s="2"/>
      <c r="P393" s="2"/>
      <c r="Q393" s="2"/>
      <c r="R393" s="2"/>
      <c r="S393" s="2"/>
    </row>
    <row r="394" spans="1:19" ht="15.75" customHeight="1" x14ac:dyDescent="0.2">
      <c r="A394"/>
      <c r="B394" s="2"/>
      <c r="C394" s="26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"/>
      <c r="O394" s="2"/>
      <c r="P394" s="2"/>
      <c r="Q394" s="2"/>
      <c r="R394" s="2"/>
      <c r="S394" s="2"/>
    </row>
    <row r="395" spans="1:19" ht="15.75" customHeight="1" x14ac:dyDescent="0.2">
      <c r="A395"/>
      <c r="B395" s="2"/>
      <c r="C395" s="26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"/>
      <c r="O395" s="2"/>
      <c r="P395" s="2"/>
      <c r="Q395" s="2"/>
      <c r="R395" s="2"/>
      <c r="S395" s="2"/>
    </row>
    <row r="396" spans="1:19" ht="15.75" customHeight="1" x14ac:dyDescent="0.2">
      <c r="A396"/>
      <c r="B396" s="2"/>
      <c r="C396" s="26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"/>
      <c r="O396" s="2"/>
      <c r="P396" s="2"/>
      <c r="Q396" s="2"/>
      <c r="R396" s="2"/>
      <c r="S396" s="2"/>
    </row>
    <row r="397" spans="1:19" ht="15.75" customHeight="1" x14ac:dyDescent="0.2">
      <c r="A397"/>
      <c r="B397" s="2"/>
      <c r="C397" s="26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"/>
      <c r="O397" s="2"/>
      <c r="P397" s="2"/>
      <c r="Q397" s="2"/>
      <c r="R397" s="2"/>
      <c r="S397" s="2"/>
    </row>
    <row r="398" spans="1:19" ht="15.75" customHeight="1" x14ac:dyDescent="0.2">
      <c r="A398"/>
      <c r="B398" s="2"/>
      <c r="C398" s="26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"/>
      <c r="O398" s="2"/>
      <c r="P398" s="2"/>
      <c r="Q398" s="2"/>
      <c r="R398" s="2"/>
      <c r="S398" s="2"/>
    </row>
    <row r="399" spans="1:19" ht="15.75" customHeight="1" x14ac:dyDescent="0.2">
      <c r="A399"/>
      <c r="B399" s="2"/>
      <c r="C399" s="26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"/>
      <c r="O399" s="2"/>
      <c r="P399" s="2"/>
      <c r="Q399" s="2"/>
      <c r="R399" s="2"/>
      <c r="S399" s="2"/>
    </row>
    <row r="400" spans="1:19" ht="15.75" customHeight="1" x14ac:dyDescent="0.2">
      <c r="A400"/>
      <c r="B400" s="2"/>
      <c r="C400" s="26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"/>
      <c r="O400" s="2"/>
      <c r="P400" s="2"/>
      <c r="Q400" s="2"/>
      <c r="R400" s="2"/>
      <c r="S400" s="2"/>
    </row>
    <row r="401" spans="1:19" ht="15.75" customHeight="1" x14ac:dyDescent="0.2">
      <c r="A401"/>
      <c r="B401" s="2"/>
      <c r="C401" s="26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"/>
      <c r="O401" s="2"/>
      <c r="P401" s="2"/>
      <c r="Q401" s="2"/>
      <c r="R401" s="2"/>
      <c r="S401" s="2"/>
    </row>
    <row r="402" spans="1:19" ht="15.75" customHeight="1" x14ac:dyDescent="0.2">
      <c r="A402"/>
      <c r="B402" s="2"/>
      <c r="C402" s="26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"/>
      <c r="O402" s="2"/>
      <c r="P402" s="2"/>
      <c r="Q402" s="2"/>
      <c r="R402" s="2"/>
      <c r="S402" s="2"/>
    </row>
    <row r="403" spans="1:19" ht="15.75" customHeight="1" x14ac:dyDescent="0.2">
      <c r="A403"/>
      <c r="B403" s="2"/>
      <c r="C403" s="26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"/>
      <c r="O403" s="2"/>
      <c r="P403" s="2"/>
      <c r="Q403" s="2"/>
      <c r="R403" s="2"/>
      <c r="S403" s="2"/>
    </row>
    <row r="404" spans="1:19" ht="15.75" customHeight="1" x14ac:dyDescent="0.2">
      <c r="A404"/>
      <c r="B404" s="2"/>
      <c r="C404" s="26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"/>
      <c r="O404" s="2"/>
      <c r="P404" s="2"/>
      <c r="Q404" s="2"/>
      <c r="R404" s="2"/>
      <c r="S404" s="2"/>
    </row>
    <row r="405" spans="1:19" ht="15.75" customHeight="1" x14ac:dyDescent="0.2">
      <c r="A405"/>
      <c r="B405" s="2"/>
      <c r="C405" s="26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"/>
      <c r="O405" s="2"/>
      <c r="P405" s="2"/>
      <c r="Q405" s="2"/>
      <c r="R405" s="2"/>
      <c r="S405" s="2"/>
    </row>
    <row r="406" spans="1:19" ht="15.75" customHeight="1" x14ac:dyDescent="0.2">
      <c r="A406"/>
      <c r="B406" s="2"/>
      <c r="C406" s="26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"/>
      <c r="O406" s="2"/>
      <c r="P406" s="2"/>
      <c r="Q406" s="2"/>
      <c r="R406" s="2"/>
      <c r="S406" s="2"/>
    </row>
    <row r="407" spans="1:19" ht="15.75" customHeight="1" x14ac:dyDescent="0.2">
      <c r="A407"/>
      <c r="B407" s="2"/>
      <c r="C407" s="26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"/>
      <c r="O407" s="2"/>
      <c r="P407" s="2"/>
      <c r="Q407" s="2"/>
      <c r="R407" s="2"/>
      <c r="S407" s="2"/>
    </row>
    <row r="408" spans="1:19" ht="15.75" customHeight="1" x14ac:dyDescent="0.2">
      <c r="A408"/>
      <c r="B408" s="2"/>
      <c r="C408" s="26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"/>
      <c r="O408" s="2"/>
      <c r="P408" s="2"/>
      <c r="Q408" s="2"/>
      <c r="R408" s="2"/>
      <c r="S408" s="2"/>
    </row>
    <row r="409" spans="1:19" ht="15.75" customHeight="1" x14ac:dyDescent="0.2">
      <c r="A409"/>
      <c r="B409" s="2"/>
      <c r="C409" s="26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"/>
      <c r="O409" s="2"/>
      <c r="P409" s="2"/>
      <c r="Q409" s="2"/>
      <c r="R409" s="2"/>
      <c r="S409" s="2"/>
    </row>
    <row r="410" spans="1:19" ht="15.75" customHeight="1" x14ac:dyDescent="0.2">
      <c r="A410"/>
      <c r="B410" s="2"/>
      <c r="C410" s="26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"/>
      <c r="O410" s="2"/>
      <c r="P410" s="2"/>
      <c r="Q410" s="2"/>
      <c r="R410" s="2"/>
      <c r="S410" s="2"/>
    </row>
    <row r="411" spans="1:19" ht="15.75" customHeight="1" x14ac:dyDescent="0.2">
      <c r="A411"/>
      <c r="B411" s="2"/>
      <c r="C411" s="26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"/>
      <c r="O411" s="2"/>
      <c r="P411" s="2"/>
      <c r="Q411" s="2"/>
      <c r="R411" s="2"/>
      <c r="S411" s="2"/>
    </row>
    <row r="412" spans="1:19" ht="15.75" customHeight="1" x14ac:dyDescent="0.2">
      <c r="A412"/>
      <c r="B412" s="2"/>
      <c r="C412" s="26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"/>
      <c r="O412" s="2"/>
      <c r="P412" s="2"/>
      <c r="Q412" s="2"/>
      <c r="R412" s="2"/>
      <c r="S412" s="2"/>
    </row>
    <row r="413" spans="1:19" ht="15.75" customHeight="1" x14ac:dyDescent="0.2">
      <c r="A413"/>
      <c r="B413" s="2"/>
      <c r="C413" s="26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"/>
      <c r="O413" s="2"/>
      <c r="P413" s="2"/>
      <c r="Q413" s="2"/>
      <c r="R413" s="2"/>
      <c r="S413" s="2"/>
    </row>
    <row r="414" spans="1:19" ht="15.75" customHeight="1" x14ac:dyDescent="0.2">
      <c r="A414"/>
      <c r="B414" s="2"/>
      <c r="C414" s="26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"/>
      <c r="O414" s="2"/>
      <c r="P414" s="2"/>
      <c r="Q414" s="2"/>
      <c r="R414" s="2"/>
      <c r="S414" s="2"/>
    </row>
    <row r="415" spans="1:19" ht="15.75" customHeight="1" x14ac:dyDescent="0.2">
      <c r="A415"/>
      <c r="B415" s="2"/>
      <c r="C415" s="26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"/>
      <c r="O415" s="2"/>
      <c r="P415" s="2"/>
      <c r="Q415" s="2"/>
      <c r="R415" s="2"/>
      <c r="S415" s="2"/>
    </row>
    <row r="416" spans="1:19" ht="15.75" customHeight="1" x14ac:dyDescent="0.2">
      <c r="A416"/>
      <c r="B416" s="2"/>
      <c r="C416" s="26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"/>
      <c r="O416" s="2"/>
      <c r="P416" s="2"/>
      <c r="Q416" s="2"/>
      <c r="R416" s="2"/>
      <c r="S416" s="2"/>
    </row>
    <row r="417" spans="1:19" ht="15.75" customHeight="1" x14ac:dyDescent="0.2">
      <c r="A417"/>
      <c r="B417" s="2"/>
      <c r="C417" s="26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"/>
      <c r="O417" s="2"/>
      <c r="P417" s="2"/>
      <c r="Q417" s="2"/>
      <c r="R417" s="2"/>
      <c r="S417" s="2"/>
    </row>
    <row r="418" spans="1:19" ht="15.75" customHeight="1" x14ac:dyDescent="0.2">
      <c r="A418"/>
      <c r="B418" s="2"/>
      <c r="C418" s="26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"/>
      <c r="O418" s="2"/>
      <c r="P418" s="2"/>
      <c r="Q418" s="2"/>
      <c r="R418" s="2"/>
      <c r="S418" s="2"/>
    </row>
    <row r="419" spans="1:19" ht="15.75" customHeight="1" x14ac:dyDescent="0.2">
      <c r="A419"/>
      <c r="B419" s="2"/>
      <c r="C419" s="26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"/>
      <c r="O419" s="2"/>
      <c r="P419" s="2"/>
      <c r="Q419" s="2"/>
      <c r="R419" s="2"/>
      <c r="S419" s="2"/>
    </row>
    <row r="420" spans="1:19" ht="15.75" customHeight="1" x14ac:dyDescent="0.2">
      <c r="A420"/>
      <c r="B420" s="2"/>
      <c r="C420" s="26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"/>
      <c r="O420" s="2"/>
      <c r="P420" s="2"/>
      <c r="Q420" s="2"/>
      <c r="R420" s="2"/>
      <c r="S420" s="2"/>
    </row>
    <row r="421" spans="1:19" ht="15.75" customHeight="1" x14ac:dyDescent="0.2">
      <c r="A421"/>
      <c r="B421" s="2"/>
      <c r="C421" s="26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"/>
      <c r="O421" s="2"/>
      <c r="P421" s="2"/>
      <c r="Q421" s="2"/>
      <c r="R421" s="2"/>
      <c r="S421" s="2"/>
    </row>
    <row r="422" spans="1:19" ht="15.75" customHeight="1" x14ac:dyDescent="0.2">
      <c r="A422"/>
      <c r="B422" s="2"/>
      <c r="C422" s="26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"/>
      <c r="O422" s="2"/>
      <c r="P422" s="2"/>
      <c r="Q422" s="2"/>
      <c r="R422" s="2"/>
      <c r="S422" s="2"/>
    </row>
    <row r="423" spans="1:19" ht="15.75" customHeight="1" x14ac:dyDescent="0.2">
      <c r="A423"/>
      <c r="B423" s="2"/>
      <c r="C423" s="26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"/>
      <c r="O423" s="2"/>
      <c r="P423" s="2"/>
      <c r="Q423" s="2"/>
      <c r="R423" s="2"/>
      <c r="S423" s="2"/>
    </row>
    <row r="424" spans="1:19" ht="15.75" customHeight="1" x14ac:dyDescent="0.2">
      <c r="A424"/>
      <c r="B424" s="2"/>
      <c r="C424" s="26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"/>
      <c r="O424" s="2"/>
      <c r="P424" s="2"/>
      <c r="Q424" s="2"/>
      <c r="R424" s="2"/>
      <c r="S424" s="2"/>
    </row>
    <row r="425" spans="1:19" ht="15.75" customHeight="1" x14ac:dyDescent="0.2">
      <c r="A425"/>
      <c r="B425" s="2"/>
      <c r="C425" s="26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"/>
      <c r="O425" s="2"/>
      <c r="P425" s="2"/>
      <c r="Q425" s="2"/>
      <c r="R425" s="2"/>
      <c r="S425" s="2"/>
    </row>
    <row r="426" spans="1:19" ht="15.75" customHeight="1" x14ac:dyDescent="0.2">
      <c r="A426"/>
      <c r="B426" s="2"/>
      <c r="C426" s="26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"/>
      <c r="O426" s="2"/>
      <c r="P426" s="2"/>
      <c r="Q426" s="2"/>
      <c r="R426" s="2"/>
      <c r="S426" s="2"/>
    </row>
    <row r="427" spans="1:19" ht="15.75" customHeight="1" x14ac:dyDescent="0.2">
      <c r="A427"/>
      <c r="B427" s="2"/>
      <c r="C427" s="26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"/>
      <c r="O427" s="2"/>
      <c r="P427" s="2"/>
      <c r="Q427" s="2"/>
      <c r="R427" s="2"/>
      <c r="S427" s="2"/>
    </row>
    <row r="428" spans="1:19" ht="15.75" customHeight="1" x14ac:dyDescent="0.2">
      <c r="A428"/>
      <c r="B428" s="2"/>
      <c r="C428" s="26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"/>
      <c r="O428" s="2"/>
      <c r="P428" s="2"/>
      <c r="Q428" s="2"/>
      <c r="R428" s="2"/>
      <c r="S428" s="2"/>
    </row>
    <row r="429" spans="1:19" ht="15.75" customHeight="1" x14ac:dyDescent="0.2">
      <c r="A429"/>
      <c r="B429" s="2"/>
      <c r="C429" s="26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"/>
      <c r="O429" s="2"/>
      <c r="P429" s="2"/>
      <c r="Q429" s="2"/>
      <c r="R429" s="2"/>
      <c r="S429" s="2"/>
    </row>
    <row r="430" spans="1:19" ht="15.75" customHeight="1" x14ac:dyDescent="0.2">
      <c r="A430"/>
      <c r="B430" s="2"/>
      <c r="C430" s="26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"/>
      <c r="O430" s="2"/>
      <c r="P430" s="2"/>
      <c r="Q430" s="2"/>
      <c r="R430" s="2"/>
      <c r="S430" s="2"/>
    </row>
    <row r="431" spans="1:19" ht="15.75" customHeight="1" x14ac:dyDescent="0.2">
      <c r="A431"/>
      <c r="B431" s="2"/>
      <c r="C431" s="26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"/>
      <c r="O431" s="2"/>
      <c r="P431" s="2"/>
      <c r="Q431" s="2"/>
      <c r="R431" s="2"/>
      <c r="S431" s="2"/>
    </row>
    <row r="432" spans="1:19" ht="15.75" customHeight="1" x14ac:dyDescent="0.2">
      <c r="A432"/>
      <c r="B432" s="2"/>
      <c r="C432" s="26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"/>
      <c r="O432" s="2"/>
      <c r="P432" s="2"/>
      <c r="Q432" s="2"/>
      <c r="R432" s="2"/>
      <c r="S432" s="2"/>
    </row>
    <row r="433" spans="1:19" ht="15.75" customHeight="1" x14ac:dyDescent="0.2">
      <c r="A433"/>
      <c r="B433" s="2"/>
      <c r="C433" s="26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"/>
      <c r="O433" s="2"/>
      <c r="P433" s="2"/>
      <c r="Q433" s="2"/>
      <c r="R433" s="2"/>
      <c r="S433" s="2"/>
    </row>
    <row r="434" spans="1:19" ht="15.75" customHeight="1" x14ac:dyDescent="0.2">
      <c r="A434"/>
      <c r="B434" s="2"/>
      <c r="C434" s="26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"/>
      <c r="O434" s="2"/>
      <c r="P434" s="2"/>
      <c r="Q434" s="2"/>
      <c r="R434" s="2"/>
      <c r="S434" s="2"/>
    </row>
    <row r="435" spans="1:19" ht="15.75" customHeight="1" x14ac:dyDescent="0.2">
      <c r="A435"/>
      <c r="B435" s="2"/>
      <c r="C435" s="26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"/>
      <c r="O435" s="2"/>
      <c r="P435" s="2"/>
      <c r="Q435" s="2"/>
      <c r="R435" s="2"/>
      <c r="S435" s="2"/>
    </row>
    <row r="436" spans="1:19" ht="15.75" customHeight="1" x14ac:dyDescent="0.2">
      <c r="A436"/>
      <c r="B436" s="2"/>
      <c r="C436" s="26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"/>
      <c r="O436" s="2"/>
      <c r="P436" s="2"/>
      <c r="Q436" s="2"/>
      <c r="R436" s="2"/>
      <c r="S436" s="2"/>
    </row>
    <row r="437" spans="1:19" ht="15.75" customHeight="1" x14ac:dyDescent="0.2">
      <c r="A437"/>
      <c r="B437" s="2"/>
      <c r="C437" s="26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"/>
      <c r="O437" s="2"/>
      <c r="P437" s="2"/>
      <c r="Q437" s="2"/>
      <c r="R437" s="2"/>
      <c r="S437" s="2"/>
    </row>
    <row r="438" spans="1:19" ht="15.75" customHeight="1" x14ac:dyDescent="0.2">
      <c r="A438"/>
      <c r="B438" s="2"/>
      <c r="C438" s="26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"/>
      <c r="O438" s="2"/>
      <c r="P438" s="2"/>
      <c r="Q438" s="2"/>
      <c r="R438" s="2"/>
      <c r="S438" s="2"/>
    </row>
    <row r="439" spans="1:19" ht="15.75" customHeight="1" x14ac:dyDescent="0.2">
      <c r="A439"/>
      <c r="B439" s="2"/>
      <c r="C439" s="26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"/>
      <c r="O439" s="2"/>
      <c r="P439" s="2"/>
      <c r="Q439" s="2"/>
      <c r="R439" s="2"/>
      <c r="S439" s="2"/>
    </row>
    <row r="440" spans="1:19" ht="15.75" customHeight="1" x14ac:dyDescent="0.2">
      <c r="A440"/>
      <c r="B440" s="2"/>
      <c r="C440" s="26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"/>
      <c r="O440" s="2"/>
      <c r="P440" s="2"/>
      <c r="Q440" s="2"/>
      <c r="R440" s="2"/>
      <c r="S440" s="2"/>
    </row>
    <row r="441" spans="1:19" ht="15.75" customHeight="1" x14ac:dyDescent="0.2">
      <c r="A441"/>
      <c r="B441" s="2"/>
      <c r="C441" s="26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"/>
      <c r="O441" s="2"/>
      <c r="P441" s="2"/>
      <c r="Q441" s="2"/>
      <c r="R441" s="2"/>
      <c r="S441" s="2"/>
    </row>
    <row r="442" spans="1:19" ht="15.75" customHeight="1" x14ac:dyDescent="0.2">
      <c r="A442"/>
      <c r="B442" s="2"/>
      <c r="C442" s="26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"/>
      <c r="O442" s="2"/>
      <c r="P442" s="2"/>
      <c r="Q442" s="2"/>
      <c r="R442" s="2"/>
      <c r="S442" s="2"/>
    </row>
    <row r="443" spans="1:19" ht="15.75" customHeight="1" x14ac:dyDescent="0.2">
      <c r="A443"/>
      <c r="B443" s="2"/>
      <c r="C443" s="26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"/>
      <c r="O443" s="2"/>
      <c r="P443" s="2"/>
      <c r="Q443" s="2"/>
      <c r="R443" s="2"/>
      <c r="S443" s="2"/>
    </row>
    <row r="444" spans="1:19" ht="15.75" customHeight="1" x14ac:dyDescent="0.2">
      <c r="A444"/>
      <c r="B444" s="2"/>
      <c r="C444" s="26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"/>
      <c r="O444" s="2"/>
      <c r="P444" s="2"/>
      <c r="Q444" s="2"/>
      <c r="R444" s="2"/>
      <c r="S444" s="2"/>
    </row>
    <row r="445" spans="1:19" ht="15.75" customHeight="1" x14ac:dyDescent="0.2">
      <c r="A445"/>
      <c r="B445" s="2"/>
      <c r="C445" s="26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"/>
      <c r="O445" s="2"/>
      <c r="P445" s="2"/>
      <c r="Q445" s="2"/>
      <c r="R445" s="2"/>
      <c r="S445" s="2"/>
    </row>
    <row r="446" spans="1:19" ht="15.75" customHeight="1" x14ac:dyDescent="0.2">
      <c r="A446"/>
      <c r="B446" s="2"/>
      <c r="C446" s="26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"/>
      <c r="O446" s="2"/>
      <c r="P446" s="2"/>
      <c r="Q446" s="2"/>
      <c r="R446" s="2"/>
      <c r="S446" s="2"/>
    </row>
    <row r="447" spans="1:19" ht="15.75" customHeight="1" x14ac:dyDescent="0.2">
      <c r="A447"/>
      <c r="B447" s="2"/>
      <c r="C447" s="26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"/>
      <c r="O447" s="2"/>
      <c r="P447" s="2"/>
      <c r="Q447" s="2"/>
      <c r="R447" s="2"/>
      <c r="S447" s="2"/>
    </row>
    <row r="448" spans="1:19" ht="15.75" customHeight="1" x14ac:dyDescent="0.2">
      <c r="A448"/>
      <c r="B448" s="2"/>
      <c r="C448" s="26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"/>
      <c r="O448" s="2"/>
      <c r="P448" s="2"/>
      <c r="Q448" s="2"/>
      <c r="R448" s="2"/>
      <c r="S448" s="2"/>
    </row>
    <row r="449" spans="1:19" ht="15.75" customHeight="1" x14ac:dyDescent="0.2">
      <c r="A449"/>
      <c r="B449" s="2"/>
      <c r="C449" s="26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"/>
      <c r="O449" s="2"/>
      <c r="P449" s="2"/>
      <c r="Q449" s="2"/>
      <c r="R449" s="2"/>
      <c r="S449" s="2"/>
    </row>
    <row r="450" spans="1:19" ht="15.75" customHeight="1" x14ac:dyDescent="0.2">
      <c r="A450"/>
      <c r="B450" s="2"/>
      <c r="C450" s="26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"/>
      <c r="O450" s="2"/>
      <c r="P450" s="2"/>
      <c r="Q450" s="2"/>
      <c r="R450" s="2"/>
      <c r="S450" s="2"/>
    </row>
    <row r="451" spans="1:19" ht="15.75" customHeight="1" x14ac:dyDescent="0.2">
      <c r="A451"/>
      <c r="B451" s="2"/>
      <c r="C451" s="26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"/>
      <c r="O451" s="2"/>
      <c r="P451" s="2"/>
      <c r="Q451" s="2"/>
      <c r="R451" s="2"/>
      <c r="S451" s="2"/>
    </row>
    <row r="452" spans="1:19" ht="15.75" customHeight="1" x14ac:dyDescent="0.2">
      <c r="A452"/>
      <c r="B452" s="2"/>
      <c r="C452" s="26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"/>
      <c r="O452" s="2"/>
      <c r="P452" s="2"/>
      <c r="Q452" s="2"/>
      <c r="R452" s="2"/>
      <c r="S452" s="2"/>
    </row>
    <row r="453" spans="1:19" ht="15.75" customHeight="1" x14ac:dyDescent="0.2">
      <c r="A453"/>
      <c r="B453" s="2"/>
      <c r="C453" s="26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"/>
      <c r="O453" s="2"/>
      <c r="P453" s="2"/>
      <c r="Q453" s="2"/>
      <c r="R453" s="2"/>
      <c r="S453" s="2"/>
    </row>
    <row r="454" spans="1:19" ht="15.75" customHeight="1" x14ac:dyDescent="0.2">
      <c r="A454"/>
      <c r="B454" s="2"/>
      <c r="C454" s="26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"/>
      <c r="O454" s="2"/>
      <c r="P454" s="2"/>
      <c r="Q454" s="2"/>
      <c r="R454" s="2"/>
      <c r="S454" s="2"/>
    </row>
    <row r="455" spans="1:19" ht="15.75" customHeight="1" x14ac:dyDescent="0.2">
      <c r="A455"/>
      <c r="B455" s="2"/>
      <c r="C455" s="26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"/>
      <c r="O455" s="2"/>
      <c r="P455" s="2"/>
      <c r="Q455" s="2"/>
      <c r="R455" s="2"/>
      <c r="S455" s="2"/>
    </row>
    <row r="456" spans="1:19" ht="15.75" customHeight="1" x14ac:dyDescent="0.2">
      <c r="A456"/>
      <c r="B456" s="2"/>
      <c r="C456" s="26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"/>
      <c r="O456" s="2"/>
      <c r="P456" s="2"/>
      <c r="Q456" s="2"/>
      <c r="R456" s="2"/>
      <c r="S456" s="2"/>
    </row>
    <row r="457" spans="1:19" ht="15.75" customHeight="1" x14ac:dyDescent="0.2">
      <c r="A457"/>
      <c r="B457" s="2"/>
      <c r="C457" s="26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"/>
      <c r="O457" s="2"/>
      <c r="P457" s="2"/>
      <c r="Q457" s="2"/>
      <c r="R457" s="2"/>
      <c r="S457" s="2"/>
    </row>
    <row r="458" spans="1:19" ht="15.75" customHeight="1" x14ac:dyDescent="0.2">
      <c r="A458"/>
      <c r="B458" s="2"/>
      <c r="C458" s="26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"/>
      <c r="O458" s="2"/>
      <c r="P458" s="2"/>
      <c r="Q458" s="2"/>
      <c r="R458" s="2"/>
      <c r="S458" s="2"/>
    </row>
    <row r="459" spans="1:19" ht="15.75" customHeight="1" x14ac:dyDescent="0.2">
      <c r="A459"/>
      <c r="B459" s="2"/>
      <c r="C459" s="26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"/>
      <c r="O459" s="2"/>
      <c r="P459" s="2"/>
      <c r="Q459" s="2"/>
      <c r="R459" s="2"/>
      <c r="S459" s="2"/>
    </row>
    <row r="460" spans="1:19" ht="15.75" customHeight="1" x14ac:dyDescent="0.2">
      <c r="A460"/>
      <c r="B460" s="2"/>
      <c r="C460" s="26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"/>
      <c r="O460" s="2"/>
      <c r="P460" s="2"/>
      <c r="Q460" s="2"/>
      <c r="R460" s="2"/>
      <c r="S460" s="2"/>
    </row>
    <row r="461" spans="1:19" ht="15.75" customHeight="1" x14ac:dyDescent="0.2">
      <c r="A461"/>
      <c r="B461" s="2"/>
      <c r="C461" s="26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"/>
      <c r="O461" s="2"/>
      <c r="P461" s="2"/>
      <c r="Q461" s="2"/>
      <c r="R461" s="2"/>
      <c r="S461" s="2"/>
    </row>
    <row r="462" spans="1:19" ht="15.75" customHeight="1" x14ac:dyDescent="0.2">
      <c r="A462"/>
      <c r="B462" s="2"/>
      <c r="C462" s="26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"/>
      <c r="O462" s="2"/>
      <c r="P462" s="2"/>
      <c r="Q462" s="2"/>
      <c r="R462" s="2"/>
      <c r="S462" s="2"/>
    </row>
    <row r="463" spans="1:19" ht="15.75" customHeight="1" x14ac:dyDescent="0.2">
      <c r="A463"/>
      <c r="B463" s="2"/>
      <c r="C463" s="26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"/>
      <c r="O463" s="2"/>
      <c r="P463" s="2"/>
      <c r="Q463" s="2"/>
      <c r="R463" s="2"/>
      <c r="S463" s="2"/>
    </row>
    <row r="464" spans="1:19" ht="15.75" customHeight="1" x14ac:dyDescent="0.2">
      <c r="A464"/>
      <c r="B464" s="2"/>
      <c r="C464" s="26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"/>
      <c r="O464" s="2"/>
      <c r="P464" s="2"/>
      <c r="Q464" s="2"/>
      <c r="R464" s="2"/>
      <c r="S464" s="2"/>
    </row>
    <row r="465" spans="1:19" ht="15.75" customHeight="1" x14ac:dyDescent="0.2">
      <c r="A465"/>
      <c r="B465" s="2"/>
      <c r="C465" s="26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"/>
      <c r="O465" s="2"/>
      <c r="P465" s="2"/>
      <c r="Q465" s="2"/>
      <c r="R465" s="2"/>
      <c r="S465" s="2"/>
    </row>
    <row r="466" spans="1:19" ht="15.75" customHeight="1" x14ac:dyDescent="0.2">
      <c r="A466"/>
      <c r="B466" s="2"/>
      <c r="C466" s="26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"/>
      <c r="O466" s="2"/>
      <c r="P466" s="2"/>
      <c r="Q466" s="2"/>
      <c r="R466" s="2"/>
      <c r="S466" s="2"/>
    </row>
    <row r="467" spans="1:19" ht="15.75" customHeight="1" x14ac:dyDescent="0.2">
      <c r="A467"/>
      <c r="B467" s="2"/>
      <c r="C467" s="26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"/>
      <c r="O467" s="2"/>
      <c r="P467" s="2"/>
      <c r="Q467" s="2"/>
      <c r="R467" s="2"/>
      <c r="S467" s="2"/>
    </row>
    <row r="468" spans="1:19" ht="15.75" customHeight="1" x14ac:dyDescent="0.2">
      <c r="A468"/>
      <c r="B468" s="2"/>
      <c r="C468" s="26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"/>
      <c r="O468" s="2"/>
      <c r="P468" s="2"/>
      <c r="Q468" s="2"/>
      <c r="R468" s="2"/>
      <c r="S468" s="2"/>
    </row>
    <row r="469" spans="1:19" ht="15.75" customHeight="1" x14ac:dyDescent="0.2">
      <c r="A469"/>
      <c r="B469" s="2"/>
      <c r="C469" s="26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"/>
      <c r="O469" s="2"/>
      <c r="P469" s="2"/>
      <c r="Q469" s="2"/>
      <c r="R469" s="2"/>
      <c r="S469" s="2"/>
    </row>
    <row r="470" spans="1:19" ht="15.75" customHeight="1" x14ac:dyDescent="0.2">
      <c r="A470"/>
      <c r="B470" s="2"/>
      <c r="C470" s="26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"/>
      <c r="O470" s="2"/>
      <c r="P470" s="2"/>
      <c r="Q470" s="2"/>
      <c r="R470" s="2"/>
      <c r="S470" s="2"/>
    </row>
    <row r="471" spans="1:19" ht="15.75" customHeight="1" x14ac:dyDescent="0.2">
      <c r="A471"/>
      <c r="B471" s="2"/>
      <c r="C471" s="26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"/>
      <c r="O471" s="2"/>
      <c r="P471" s="2"/>
      <c r="Q471" s="2"/>
      <c r="R471" s="2"/>
      <c r="S471" s="2"/>
    </row>
    <row r="472" spans="1:19" ht="15.75" customHeight="1" x14ac:dyDescent="0.2">
      <c r="A472"/>
      <c r="B472" s="2"/>
      <c r="C472" s="26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"/>
      <c r="O472" s="2"/>
      <c r="P472" s="2"/>
      <c r="Q472" s="2"/>
      <c r="R472" s="2"/>
      <c r="S472" s="2"/>
    </row>
    <row r="473" spans="1:19" ht="15.75" customHeight="1" x14ac:dyDescent="0.2">
      <c r="A473"/>
      <c r="B473" s="2"/>
      <c r="C473" s="26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"/>
      <c r="O473" s="2"/>
      <c r="P473" s="2"/>
      <c r="Q473" s="2"/>
      <c r="R473" s="2"/>
      <c r="S473" s="2"/>
    </row>
    <row r="474" spans="1:19" ht="15.75" customHeight="1" x14ac:dyDescent="0.2">
      <c r="A474"/>
      <c r="B474" s="2"/>
      <c r="C474" s="26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"/>
      <c r="O474" s="2"/>
      <c r="P474" s="2"/>
      <c r="Q474" s="2"/>
      <c r="R474" s="2"/>
      <c r="S474" s="2"/>
    </row>
    <row r="475" spans="1:19" ht="15.75" customHeight="1" x14ac:dyDescent="0.2">
      <c r="A475"/>
      <c r="B475" s="2"/>
      <c r="C475" s="26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"/>
      <c r="O475" s="2"/>
      <c r="P475" s="2"/>
      <c r="Q475" s="2"/>
      <c r="R475" s="2"/>
      <c r="S475" s="2"/>
    </row>
    <row r="476" spans="1:19" ht="15.75" customHeight="1" x14ac:dyDescent="0.2">
      <c r="A476"/>
      <c r="B476" s="2"/>
      <c r="C476" s="26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"/>
      <c r="O476" s="2"/>
      <c r="P476" s="2"/>
      <c r="Q476" s="2"/>
      <c r="R476" s="2"/>
      <c r="S476" s="2"/>
    </row>
    <row r="477" spans="1:19" ht="15.75" customHeight="1" x14ac:dyDescent="0.2">
      <c r="A477"/>
      <c r="B477" s="2"/>
      <c r="C477" s="26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"/>
      <c r="O477" s="2"/>
      <c r="P477" s="2"/>
      <c r="Q477" s="2"/>
      <c r="R477" s="2"/>
      <c r="S477" s="2"/>
    </row>
    <row r="478" spans="1:19" ht="15.75" customHeight="1" x14ac:dyDescent="0.2">
      <c r="A478"/>
      <c r="B478" s="2"/>
      <c r="C478" s="26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"/>
      <c r="O478" s="2"/>
      <c r="P478" s="2"/>
      <c r="Q478" s="2"/>
      <c r="R478" s="2"/>
      <c r="S478" s="2"/>
    </row>
    <row r="479" spans="1:19" ht="15.75" customHeight="1" x14ac:dyDescent="0.2">
      <c r="A479"/>
      <c r="B479" s="2"/>
      <c r="C479" s="26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"/>
      <c r="O479" s="2"/>
      <c r="P479" s="2"/>
      <c r="Q479" s="2"/>
      <c r="R479" s="2"/>
      <c r="S479" s="2"/>
    </row>
    <row r="480" spans="1:19" ht="15.75" customHeight="1" x14ac:dyDescent="0.2">
      <c r="A480"/>
      <c r="B480" s="2"/>
      <c r="C480" s="26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"/>
      <c r="O480" s="2"/>
      <c r="P480" s="2"/>
      <c r="Q480" s="2"/>
      <c r="R480" s="2"/>
      <c r="S480" s="2"/>
    </row>
    <row r="481" spans="1:19" ht="15.75" customHeight="1" x14ac:dyDescent="0.2">
      <c r="A481"/>
      <c r="B481" s="2"/>
      <c r="C481" s="26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"/>
      <c r="O481" s="2"/>
      <c r="P481" s="2"/>
      <c r="Q481" s="2"/>
      <c r="R481" s="2"/>
      <c r="S481" s="2"/>
    </row>
    <row r="482" spans="1:19" ht="15.75" customHeight="1" x14ac:dyDescent="0.2">
      <c r="A482"/>
      <c r="B482" s="2"/>
      <c r="C482" s="26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"/>
      <c r="O482" s="2"/>
      <c r="P482" s="2"/>
      <c r="Q482" s="2"/>
      <c r="R482" s="2"/>
      <c r="S482" s="2"/>
    </row>
    <row r="483" spans="1:19" ht="15.75" customHeight="1" x14ac:dyDescent="0.2">
      <c r="A483"/>
      <c r="B483" s="2"/>
      <c r="C483" s="26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"/>
      <c r="O483" s="2"/>
      <c r="P483" s="2"/>
      <c r="Q483" s="2"/>
      <c r="R483" s="2"/>
      <c r="S483" s="2"/>
    </row>
    <row r="484" spans="1:19" ht="15.75" customHeight="1" x14ac:dyDescent="0.2">
      <c r="A484"/>
      <c r="B484" s="2"/>
      <c r="C484" s="26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"/>
      <c r="O484" s="2"/>
      <c r="P484" s="2"/>
      <c r="Q484" s="2"/>
      <c r="R484" s="2"/>
      <c r="S484" s="2"/>
    </row>
    <row r="485" spans="1:19" ht="15.75" customHeight="1" x14ac:dyDescent="0.2">
      <c r="A485"/>
      <c r="B485" s="2"/>
      <c r="C485" s="26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"/>
      <c r="O485" s="2"/>
      <c r="P485" s="2"/>
      <c r="Q485" s="2"/>
      <c r="R485" s="2"/>
      <c r="S485" s="2"/>
    </row>
    <row r="486" spans="1:19" ht="15.75" customHeight="1" x14ac:dyDescent="0.2">
      <c r="A486"/>
      <c r="B486" s="2"/>
      <c r="C486" s="26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"/>
      <c r="O486" s="2"/>
      <c r="P486" s="2"/>
      <c r="Q486" s="2"/>
      <c r="R486" s="2"/>
      <c r="S486" s="2"/>
    </row>
    <row r="487" spans="1:19" ht="15.75" customHeight="1" x14ac:dyDescent="0.2">
      <c r="A487"/>
      <c r="B487" s="2"/>
      <c r="C487" s="26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"/>
      <c r="O487" s="2"/>
      <c r="P487" s="2"/>
      <c r="Q487" s="2"/>
      <c r="R487" s="2"/>
      <c r="S487" s="2"/>
    </row>
    <row r="488" spans="1:19" ht="15.75" customHeight="1" x14ac:dyDescent="0.2">
      <c r="A488"/>
      <c r="B488" s="2"/>
      <c r="C488" s="26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"/>
      <c r="O488" s="2"/>
      <c r="P488" s="2"/>
      <c r="Q488" s="2"/>
      <c r="R488" s="2"/>
      <c r="S488" s="2"/>
    </row>
    <row r="489" spans="1:19" ht="15.75" customHeight="1" x14ac:dyDescent="0.2">
      <c r="A489"/>
      <c r="B489" s="2"/>
      <c r="C489" s="26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"/>
      <c r="O489" s="2"/>
      <c r="P489" s="2"/>
      <c r="Q489" s="2"/>
      <c r="R489" s="2"/>
      <c r="S489" s="2"/>
    </row>
    <row r="490" spans="1:19" ht="15.75" customHeight="1" x14ac:dyDescent="0.2">
      <c r="A490"/>
      <c r="B490" s="2"/>
      <c r="C490" s="26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"/>
      <c r="O490" s="2"/>
      <c r="P490" s="2"/>
      <c r="Q490" s="2"/>
      <c r="R490" s="2"/>
      <c r="S490" s="2"/>
    </row>
    <row r="491" spans="1:19" ht="15.75" customHeight="1" x14ac:dyDescent="0.2">
      <c r="A491"/>
      <c r="B491" s="2"/>
      <c r="C491" s="26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"/>
      <c r="O491" s="2"/>
      <c r="P491" s="2"/>
      <c r="Q491" s="2"/>
      <c r="R491" s="2"/>
      <c r="S491" s="2"/>
    </row>
    <row r="492" spans="1:19" ht="15.75" customHeight="1" x14ac:dyDescent="0.2">
      <c r="A492"/>
      <c r="B492" s="2"/>
      <c r="C492" s="26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"/>
      <c r="O492" s="2"/>
      <c r="P492" s="2"/>
      <c r="Q492" s="2"/>
      <c r="R492" s="2"/>
      <c r="S492" s="2"/>
    </row>
    <row r="493" spans="1:19" ht="15.75" customHeight="1" x14ac:dyDescent="0.2">
      <c r="A493"/>
      <c r="B493" s="2"/>
      <c r="C493" s="26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"/>
      <c r="O493" s="2"/>
      <c r="P493" s="2"/>
      <c r="Q493" s="2"/>
      <c r="R493" s="2"/>
      <c r="S493" s="2"/>
    </row>
    <row r="494" spans="1:19" ht="15.75" customHeight="1" x14ac:dyDescent="0.2">
      <c r="A494"/>
      <c r="B494" s="2"/>
      <c r="C494" s="26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"/>
      <c r="O494" s="2"/>
      <c r="P494" s="2"/>
      <c r="Q494" s="2"/>
      <c r="R494" s="2"/>
      <c r="S494" s="2"/>
    </row>
    <row r="495" spans="1:19" ht="15.75" customHeight="1" x14ac:dyDescent="0.2">
      <c r="A495"/>
      <c r="B495" s="2"/>
      <c r="C495" s="26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"/>
      <c r="O495" s="2"/>
      <c r="P495" s="2"/>
      <c r="Q495" s="2"/>
      <c r="R495" s="2"/>
      <c r="S495" s="2"/>
    </row>
    <row r="496" spans="1:19" ht="15.75" customHeight="1" x14ac:dyDescent="0.2">
      <c r="A496"/>
      <c r="B496" s="2"/>
      <c r="C496" s="26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"/>
      <c r="O496" s="2"/>
      <c r="P496" s="2"/>
      <c r="Q496" s="2"/>
      <c r="R496" s="2"/>
      <c r="S496" s="2"/>
    </row>
    <row r="497" spans="1:19" ht="15.75" customHeight="1" x14ac:dyDescent="0.2">
      <c r="A497"/>
      <c r="B497" s="2"/>
      <c r="C497" s="26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"/>
      <c r="O497" s="2"/>
      <c r="P497" s="2"/>
      <c r="Q497" s="2"/>
      <c r="R497" s="2"/>
      <c r="S497" s="2"/>
    </row>
    <row r="498" spans="1:19" ht="15.75" customHeight="1" x14ac:dyDescent="0.2">
      <c r="A498"/>
      <c r="B498" s="2"/>
      <c r="C498" s="26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"/>
      <c r="O498" s="2"/>
      <c r="P498" s="2"/>
      <c r="Q498" s="2"/>
      <c r="R498" s="2"/>
      <c r="S498" s="2"/>
    </row>
    <row r="499" spans="1:19" ht="15.75" customHeight="1" x14ac:dyDescent="0.2">
      <c r="A499"/>
      <c r="B499" s="2"/>
      <c r="C499" s="26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"/>
      <c r="O499" s="2"/>
      <c r="P499" s="2"/>
      <c r="Q499" s="2"/>
      <c r="R499" s="2"/>
      <c r="S499" s="2"/>
    </row>
    <row r="500" spans="1:19" ht="15.75" customHeight="1" x14ac:dyDescent="0.2">
      <c r="A500"/>
      <c r="B500" s="2"/>
      <c r="C500" s="26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"/>
      <c r="O500" s="2"/>
      <c r="P500" s="2"/>
      <c r="Q500" s="2"/>
      <c r="R500" s="2"/>
      <c r="S500" s="2"/>
    </row>
    <row r="501" spans="1:19" ht="15.75" customHeight="1" x14ac:dyDescent="0.2">
      <c r="A501"/>
      <c r="B501" s="2"/>
      <c r="C501" s="26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"/>
      <c r="O501" s="2"/>
      <c r="P501" s="2"/>
      <c r="Q501" s="2"/>
      <c r="R501" s="2"/>
      <c r="S501" s="2"/>
    </row>
    <row r="502" spans="1:19" ht="15.75" customHeight="1" x14ac:dyDescent="0.2">
      <c r="A502"/>
      <c r="B502" s="2"/>
      <c r="C502" s="26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"/>
      <c r="O502" s="2"/>
      <c r="P502" s="2"/>
      <c r="Q502" s="2"/>
      <c r="R502" s="2"/>
      <c r="S502" s="2"/>
    </row>
    <row r="503" spans="1:19" ht="15.75" customHeight="1" x14ac:dyDescent="0.2">
      <c r="A503"/>
      <c r="B503" s="2"/>
      <c r="C503" s="26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"/>
      <c r="O503" s="2"/>
      <c r="P503" s="2"/>
      <c r="Q503" s="2"/>
      <c r="R503" s="2"/>
      <c r="S503" s="2"/>
    </row>
    <row r="504" spans="1:19" ht="15.75" customHeight="1" x14ac:dyDescent="0.2">
      <c r="A504"/>
      <c r="B504" s="2"/>
      <c r="C504" s="26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"/>
      <c r="O504" s="2"/>
      <c r="P504" s="2"/>
      <c r="Q504" s="2"/>
      <c r="R504" s="2"/>
      <c r="S504" s="2"/>
    </row>
    <row r="505" spans="1:19" ht="15.75" customHeight="1" x14ac:dyDescent="0.2">
      <c r="A505"/>
      <c r="B505" s="2"/>
      <c r="C505" s="26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"/>
      <c r="O505" s="2"/>
      <c r="P505" s="2"/>
      <c r="Q505" s="2"/>
      <c r="R505" s="2"/>
      <c r="S505" s="2"/>
    </row>
    <row r="506" spans="1:19" ht="15.75" customHeight="1" x14ac:dyDescent="0.2">
      <c r="A506"/>
      <c r="B506" s="2"/>
      <c r="C506" s="26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"/>
      <c r="O506" s="2"/>
      <c r="P506" s="2"/>
      <c r="Q506" s="2"/>
      <c r="R506" s="2"/>
      <c r="S506" s="2"/>
    </row>
    <row r="507" spans="1:19" ht="15.75" customHeight="1" x14ac:dyDescent="0.2">
      <c r="A507"/>
      <c r="B507" s="2"/>
      <c r="C507" s="26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"/>
      <c r="O507" s="2"/>
      <c r="P507" s="2"/>
      <c r="Q507" s="2"/>
      <c r="R507" s="2"/>
      <c r="S507" s="2"/>
    </row>
    <row r="508" spans="1:19" ht="15.75" customHeight="1" x14ac:dyDescent="0.2">
      <c r="A508"/>
      <c r="B508" s="2"/>
      <c r="C508" s="26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"/>
      <c r="O508" s="2"/>
      <c r="P508" s="2"/>
      <c r="Q508" s="2"/>
      <c r="R508" s="2"/>
      <c r="S508" s="2"/>
    </row>
    <row r="509" spans="1:19" ht="15.75" customHeight="1" x14ac:dyDescent="0.2">
      <c r="A509"/>
      <c r="B509" s="2"/>
      <c r="C509" s="26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"/>
      <c r="O509" s="2"/>
      <c r="P509" s="2"/>
      <c r="Q509" s="2"/>
      <c r="R509" s="2"/>
      <c r="S509" s="2"/>
    </row>
    <row r="510" spans="1:19" ht="15.75" customHeight="1" x14ac:dyDescent="0.2">
      <c r="A510"/>
      <c r="B510" s="2"/>
      <c r="C510" s="26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"/>
      <c r="O510" s="2"/>
      <c r="P510" s="2"/>
      <c r="Q510" s="2"/>
      <c r="R510" s="2"/>
      <c r="S510" s="2"/>
    </row>
    <row r="511" spans="1:19" ht="15.75" customHeight="1" x14ac:dyDescent="0.2">
      <c r="A511"/>
      <c r="B511" s="2"/>
      <c r="C511" s="26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"/>
      <c r="O511" s="2"/>
      <c r="P511" s="2"/>
      <c r="Q511" s="2"/>
      <c r="R511" s="2"/>
      <c r="S511" s="2"/>
    </row>
    <row r="512" spans="1:19" ht="15.75" customHeight="1" x14ac:dyDescent="0.2">
      <c r="A512"/>
      <c r="B512" s="2"/>
      <c r="C512" s="26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"/>
      <c r="O512" s="2"/>
      <c r="P512" s="2"/>
      <c r="Q512" s="2"/>
      <c r="R512" s="2"/>
      <c r="S512" s="2"/>
    </row>
    <row r="513" spans="1:19" ht="15.75" customHeight="1" x14ac:dyDescent="0.2">
      <c r="A513"/>
      <c r="B513" s="2"/>
      <c r="C513" s="26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"/>
      <c r="O513" s="2"/>
      <c r="P513" s="2"/>
      <c r="Q513" s="2"/>
      <c r="R513" s="2"/>
      <c r="S513" s="2"/>
    </row>
    <row r="514" spans="1:19" ht="15.75" customHeight="1" x14ac:dyDescent="0.2">
      <c r="A514"/>
      <c r="B514" s="2"/>
      <c r="C514" s="26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"/>
      <c r="O514" s="2"/>
      <c r="P514" s="2"/>
      <c r="Q514" s="2"/>
      <c r="R514" s="2"/>
      <c r="S514" s="2"/>
    </row>
    <row r="515" spans="1:19" ht="15.75" customHeight="1" x14ac:dyDescent="0.2">
      <c r="A515"/>
      <c r="B515" s="2"/>
      <c r="C515" s="26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"/>
      <c r="O515" s="2"/>
      <c r="P515" s="2"/>
      <c r="Q515" s="2"/>
      <c r="R515" s="2"/>
      <c r="S515" s="2"/>
    </row>
    <row r="516" spans="1:19" ht="15.75" customHeight="1" x14ac:dyDescent="0.2">
      <c r="A516"/>
      <c r="B516" s="2"/>
      <c r="C516" s="26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"/>
      <c r="O516" s="2"/>
      <c r="P516" s="2"/>
      <c r="Q516" s="2"/>
      <c r="R516" s="2"/>
      <c r="S516" s="2"/>
    </row>
    <row r="517" spans="1:19" ht="15.75" customHeight="1" x14ac:dyDescent="0.2">
      <c r="A517"/>
      <c r="B517" s="2"/>
      <c r="C517" s="26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"/>
      <c r="O517" s="2"/>
      <c r="P517" s="2"/>
      <c r="Q517" s="2"/>
      <c r="R517" s="2"/>
      <c r="S517" s="2"/>
    </row>
    <row r="518" spans="1:19" ht="15.75" customHeight="1" x14ac:dyDescent="0.2">
      <c r="A518"/>
      <c r="B518" s="2"/>
      <c r="C518" s="26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"/>
      <c r="O518" s="2"/>
      <c r="P518" s="2"/>
      <c r="Q518" s="2"/>
      <c r="R518" s="2"/>
      <c r="S518" s="2"/>
    </row>
    <row r="519" spans="1:19" ht="15.75" customHeight="1" x14ac:dyDescent="0.2">
      <c r="A519"/>
      <c r="B519" s="2"/>
      <c r="C519" s="26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"/>
      <c r="O519" s="2"/>
      <c r="P519" s="2"/>
      <c r="Q519" s="2"/>
      <c r="R519" s="2"/>
      <c r="S519" s="2"/>
    </row>
    <row r="520" spans="1:19" ht="15.75" customHeight="1" x14ac:dyDescent="0.2">
      <c r="A520"/>
      <c r="B520" s="2"/>
      <c r="C520" s="26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"/>
      <c r="O520" s="2"/>
      <c r="P520" s="2"/>
      <c r="Q520" s="2"/>
      <c r="R520" s="2"/>
      <c r="S520" s="2"/>
    </row>
    <row r="521" spans="1:19" ht="15.75" customHeight="1" x14ac:dyDescent="0.2">
      <c r="A521"/>
      <c r="B521" s="2"/>
      <c r="C521" s="26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"/>
      <c r="O521" s="2"/>
      <c r="P521" s="2"/>
      <c r="Q521" s="2"/>
      <c r="R521" s="2"/>
      <c r="S521" s="2"/>
    </row>
    <row r="522" spans="1:19" ht="15.75" customHeight="1" x14ac:dyDescent="0.2">
      <c r="A522"/>
      <c r="B522" s="2"/>
      <c r="C522" s="26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"/>
      <c r="O522" s="2"/>
      <c r="P522" s="2"/>
      <c r="Q522" s="2"/>
      <c r="R522" s="2"/>
      <c r="S522" s="2"/>
    </row>
    <row r="523" spans="1:19" ht="15.75" customHeight="1" x14ac:dyDescent="0.2">
      <c r="A523"/>
      <c r="B523" s="2"/>
      <c r="C523" s="26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"/>
      <c r="O523" s="2"/>
      <c r="P523" s="2"/>
      <c r="Q523" s="2"/>
      <c r="R523" s="2"/>
      <c r="S523" s="2"/>
    </row>
    <row r="524" spans="1:19" ht="15.75" customHeight="1" x14ac:dyDescent="0.2">
      <c r="A524"/>
      <c r="B524" s="2"/>
      <c r="C524" s="26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"/>
      <c r="O524" s="2"/>
      <c r="P524" s="2"/>
      <c r="Q524" s="2"/>
      <c r="R524" s="2"/>
      <c r="S524" s="2"/>
    </row>
    <row r="525" spans="1:19" ht="15.75" customHeight="1" x14ac:dyDescent="0.2">
      <c r="A525"/>
      <c r="B525" s="2"/>
      <c r="C525" s="26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"/>
      <c r="O525" s="2"/>
      <c r="P525" s="2"/>
      <c r="Q525" s="2"/>
      <c r="R525" s="2"/>
      <c r="S525" s="2"/>
    </row>
    <row r="526" spans="1:19" ht="15.75" customHeight="1" x14ac:dyDescent="0.2">
      <c r="A526"/>
      <c r="B526" s="2"/>
      <c r="C526" s="26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"/>
      <c r="O526" s="2"/>
      <c r="P526" s="2"/>
      <c r="Q526" s="2"/>
      <c r="R526" s="2"/>
      <c r="S526" s="2"/>
    </row>
    <row r="527" spans="1:19" ht="15.75" customHeight="1" x14ac:dyDescent="0.2">
      <c r="A527"/>
      <c r="B527" s="2"/>
      <c r="C527" s="26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"/>
      <c r="O527" s="2"/>
      <c r="P527" s="2"/>
      <c r="Q527" s="2"/>
      <c r="R527" s="2"/>
      <c r="S527" s="2"/>
    </row>
    <row r="528" spans="1:19" ht="15.75" customHeight="1" x14ac:dyDescent="0.2">
      <c r="A528"/>
      <c r="B528" s="2"/>
      <c r="C528" s="26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"/>
      <c r="O528" s="2"/>
      <c r="P528" s="2"/>
      <c r="Q528" s="2"/>
      <c r="R528" s="2"/>
      <c r="S528" s="2"/>
    </row>
    <row r="529" spans="1:19" ht="15.75" customHeight="1" x14ac:dyDescent="0.2">
      <c r="A529"/>
      <c r="B529" s="2"/>
      <c r="C529" s="26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"/>
      <c r="O529" s="2"/>
      <c r="P529" s="2"/>
      <c r="Q529" s="2"/>
      <c r="R529" s="2"/>
      <c r="S529" s="2"/>
    </row>
    <row r="530" spans="1:19" ht="15.75" customHeight="1" x14ac:dyDescent="0.2">
      <c r="A530"/>
      <c r="B530" s="2"/>
      <c r="C530" s="26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"/>
      <c r="O530" s="2"/>
      <c r="P530" s="2"/>
      <c r="Q530" s="2"/>
      <c r="R530" s="2"/>
      <c r="S530" s="2"/>
    </row>
    <row r="531" spans="1:19" ht="15.75" customHeight="1" x14ac:dyDescent="0.2">
      <c r="A531"/>
      <c r="B531" s="2"/>
      <c r="C531" s="26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"/>
      <c r="O531" s="2"/>
      <c r="P531" s="2"/>
      <c r="Q531" s="2"/>
      <c r="R531" s="2"/>
      <c r="S531" s="2"/>
    </row>
    <row r="532" spans="1:19" ht="15.75" customHeight="1" x14ac:dyDescent="0.2">
      <c r="A532"/>
      <c r="B532" s="2"/>
      <c r="C532" s="26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"/>
      <c r="O532" s="2"/>
      <c r="P532" s="2"/>
      <c r="Q532" s="2"/>
      <c r="R532" s="2"/>
      <c r="S532" s="2"/>
    </row>
    <row r="533" spans="1:19" ht="15.75" customHeight="1" x14ac:dyDescent="0.2">
      <c r="A533"/>
      <c r="B533" s="2"/>
      <c r="C533" s="26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"/>
      <c r="O533" s="2"/>
      <c r="P533" s="2"/>
      <c r="Q533" s="2"/>
      <c r="R533" s="2"/>
      <c r="S533" s="2"/>
    </row>
    <row r="534" spans="1:19" ht="15.75" customHeight="1" x14ac:dyDescent="0.2">
      <c r="A534"/>
      <c r="B534" s="2"/>
      <c r="C534" s="26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"/>
      <c r="O534" s="2"/>
      <c r="P534" s="2"/>
      <c r="Q534" s="2"/>
      <c r="R534" s="2"/>
      <c r="S534" s="2"/>
    </row>
    <row r="535" spans="1:19" ht="15.75" customHeight="1" x14ac:dyDescent="0.2">
      <c r="A535"/>
      <c r="B535" s="2"/>
      <c r="C535" s="26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"/>
      <c r="O535" s="2"/>
      <c r="P535" s="2"/>
      <c r="Q535" s="2"/>
      <c r="R535" s="2"/>
      <c r="S535" s="2"/>
    </row>
    <row r="536" spans="1:19" ht="15.75" customHeight="1" x14ac:dyDescent="0.2">
      <c r="A536"/>
      <c r="B536" s="2"/>
      <c r="C536" s="26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"/>
      <c r="O536" s="2"/>
      <c r="P536" s="2"/>
      <c r="Q536" s="2"/>
      <c r="R536" s="2"/>
      <c r="S536" s="2"/>
    </row>
    <row r="537" spans="1:19" ht="15.75" customHeight="1" x14ac:dyDescent="0.2">
      <c r="A537"/>
      <c r="B537" s="2"/>
      <c r="C537" s="26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"/>
      <c r="O537" s="2"/>
      <c r="P537" s="2"/>
      <c r="Q537" s="2"/>
      <c r="R537" s="2"/>
      <c r="S537" s="2"/>
    </row>
    <row r="538" spans="1:19" ht="15.75" customHeight="1" x14ac:dyDescent="0.2">
      <c r="A538"/>
      <c r="B538" s="2"/>
      <c r="C538" s="26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"/>
      <c r="O538" s="2"/>
      <c r="P538" s="2"/>
      <c r="Q538" s="2"/>
      <c r="R538" s="2"/>
      <c r="S538" s="2"/>
    </row>
    <row r="539" spans="1:19" ht="15.75" customHeight="1" x14ac:dyDescent="0.2">
      <c r="A539"/>
      <c r="B539" s="2"/>
      <c r="C539" s="26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"/>
      <c r="O539" s="2"/>
      <c r="P539" s="2"/>
      <c r="Q539" s="2"/>
      <c r="R539" s="2"/>
      <c r="S539" s="2"/>
    </row>
    <row r="540" spans="1:19" ht="15.75" customHeight="1" x14ac:dyDescent="0.2">
      <c r="A540"/>
      <c r="B540" s="2"/>
      <c r="C540" s="26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"/>
      <c r="O540" s="2"/>
      <c r="P540" s="2"/>
      <c r="Q540" s="2"/>
      <c r="R540" s="2"/>
      <c r="S540" s="2"/>
    </row>
    <row r="541" spans="1:19" ht="15.75" customHeight="1" x14ac:dyDescent="0.2">
      <c r="A541"/>
      <c r="B541" s="2"/>
      <c r="C541" s="26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"/>
      <c r="O541" s="2"/>
      <c r="P541" s="2"/>
      <c r="Q541" s="2"/>
      <c r="R541" s="2"/>
      <c r="S541" s="2"/>
    </row>
    <row r="542" spans="1:19" ht="15.75" customHeight="1" x14ac:dyDescent="0.2">
      <c r="A542"/>
      <c r="B542" s="2"/>
      <c r="C542" s="26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"/>
      <c r="O542" s="2"/>
      <c r="P542" s="2"/>
      <c r="Q542" s="2"/>
      <c r="R542" s="2"/>
      <c r="S542" s="2"/>
    </row>
    <row r="543" spans="1:19" ht="15.75" customHeight="1" x14ac:dyDescent="0.2">
      <c r="A543"/>
      <c r="B543" s="2"/>
      <c r="C543" s="26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"/>
      <c r="O543" s="2"/>
      <c r="P543" s="2"/>
      <c r="Q543" s="2"/>
      <c r="R543" s="2"/>
      <c r="S543" s="2"/>
    </row>
    <row r="544" spans="1:19" ht="15.75" customHeight="1" x14ac:dyDescent="0.2">
      <c r="A544"/>
      <c r="B544" s="2"/>
      <c r="C544" s="26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"/>
      <c r="O544" s="2"/>
      <c r="P544" s="2"/>
      <c r="Q544" s="2"/>
      <c r="R544" s="2"/>
      <c r="S544" s="2"/>
    </row>
    <row r="545" spans="1:19" ht="15.75" customHeight="1" x14ac:dyDescent="0.2">
      <c r="A545"/>
      <c r="B545" s="2"/>
      <c r="C545" s="26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"/>
      <c r="O545" s="2"/>
      <c r="P545" s="2"/>
      <c r="Q545" s="2"/>
      <c r="R545" s="2"/>
      <c r="S545" s="2"/>
    </row>
    <row r="546" spans="1:19" ht="15.75" customHeight="1" x14ac:dyDescent="0.2">
      <c r="A546"/>
      <c r="B546" s="2"/>
      <c r="C546" s="26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"/>
      <c r="O546" s="2"/>
      <c r="P546" s="2"/>
      <c r="Q546" s="2"/>
      <c r="R546" s="2"/>
      <c r="S546" s="2"/>
    </row>
    <row r="547" spans="1:19" ht="15.75" customHeight="1" x14ac:dyDescent="0.2">
      <c r="A547"/>
      <c r="B547" s="2"/>
      <c r="C547" s="26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"/>
      <c r="O547" s="2"/>
      <c r="P547" s="2"/>
      <c r="Q547" s="2"/>
      <c r="R547" s="2"/>
      <c r="S547" s="2"/>
    </row>
    <row r="548" spans="1:19" ht="15.75" customHeight="1" x14ac:dyDescent="0.2">
      <c r="A548"/>
      <c r="B548" s="2"/>
      <c r="C548" s="26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"/>
      <c r="O548" s="2"/>
      <c r="P548" s="2"/>
      <c r="Q548" s="2"/>
      <c r="R548" s="2"/>
      <c r="S548" s="2"/>
    </row>
    <row r="549" spans="1:19" ht="15.75" customHeight="1" x14ac:dyDescent="0.2">
      <c r="A549"/>
      <c r="B549" s="2"/>
      <c r="C549" s="26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"/>
      <c r="O549" s="2"/>
      <c r="P549" s="2"/>
      <c r="Q549" s="2"/>
      <c r="R549" s="2"/>
      <c r="S549" s="2"/>
    </row>
    <row r="550" spans="1:19" ht="15.75" customHeight="1" x14ac:dyDescent="0.2">
      <c r="A550"/>
      <c r="B550" s="2"/>
      <c r="C550" s="26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"/>
      <c r="O550" s="2"/>
      <c r="P550" s="2"/>
      <c r="Q550" s="2"/>
      <c r="R550" s="2"/>
      <c r="S550" s="2"/>
    </row>
    <row r="551" spans="1:19" ht="15.75" customHeight="1" x14ac:dyDescent="0.2">
      <c r="A551"/>
      <c r="B551" s="2"/>
      <c r="C551" s="26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"/>
      <c r="O551" s="2"/>
      <c r="P551" s="2"/>
      <c r="Q551" s="2"/>
      <c r="R551" s="2"/>
      <c r="S551" s="2"/>
    </row>
    <row r="552" spans="1:19" ht="15.75" customHeight="1" x14ac:dyDescent="0.2">
      <c r="A552"/>
      <c r="B552" s="2"/>
      <c r="C552" s="26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"/>
      <c r="O552" s="2"/>
      <c r="P552" s="2"/>
      <c r="Q552" s="2"/>
      <c r="R552" s="2"/>
      <c r="S552" s="2"/>
    </row>
    <row r="553" spans="1:19" ht="15.75" customHeight="1" x14ac:dyDescent="0.2">
      <c r="A553"/>
      <c r="B553" s="2"/>
      <c r="C553" s="26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"/>
      <c r="O553" s="2"/>
      <c r="P553" s="2"/>
      <c r="Q553" s="2"/>
      <c r="R553" s="2"/>
      <c r="S553" s="2"/>
    </row>
    <row r="554" spans="1:19" ht="15.75" customHeight="1" x14ac:dyDescent="0.2">
      <c r="A554"/>
      <c r="B554" s="2"/>
      <c r="C554" s="26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"/>
      <c r="O554" s="2"/>
      <c r="P554" s="2"/>
      <c r="Q554" s="2"/>
      <c r="R554" s="2"/>
      <c r="S554" s="2"/>
    </row>
    <row r="555" spans="1:19" ht="15.75" customHeight="1" x14ac:dyDescent="0.2">
      <c r="A555"/>
      <c r="B555" s="2"/>
      <c r="C555" s="26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"/>
      <c r="O555" s="2"/>
      <c r="P555" s="2"/>
      <c r="Q555" s="2"/>
      <c r="R555" s="2"/>
      <c r="S555" s="2"/>
    </row>
    <row r="556" spans="1:19" ht="15.75" customHeight="1" x14ac:dyDescent="0.2">
      <c r="A556"/>
      <c r="B556" s="2"/>
      <c r="C556" s="26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"/>
      <c r="O556" s="2"/>
      <c r="P556" s="2"/>
      <c r="Q556" s="2"/>
      <c r="R556" s="2"/>
      <c r="S556" s="2"/>
    </row>
    <row r="557" spans="1:19" ht="15.75" customHeight="1" x14ac:dyDescent="0.2">
      <c r="A557"/>
      <c r="B557" s="2"/>
      <c r="C557" s="26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"/>
      <c r="O557" s="2"/>
      <c r="P557" s="2"/>
      <c r="Q557" s="2"/>
      <c r="R557" s="2"/>
      <c r="S557" s="2"/>
    </row>
    <row r="558" spans="1:19" ht="15.75" customHeight="1" x14ac:dyDescent="0.2">
      <c r="A558"/>
      <c r="B558" s="2"/>
      <c r="C558" s="26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"/>
      <c r="O558" s="2"/>
      <c r="P558" s="2"/>
      <c r="Q558" s="2"/>
      <c r="R558" s="2"/>
      <c r="S558" s="2"/>
    </row>
    <row r="559" spans="1:19" ht="15.75" customHeight="1" x14ac:dyDescent="0.2">
      <c r="A559"/>
      <c r="B559" s="2"/>
      <c r="C559" s="26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"/>
      <c r="O559" s="2"/>
      <c r="P559" s="2"/>
      <c r="Q559" s="2"/>
      <c r="R559" s="2"/>
      <c r="S559" s="2"/>
    </row>
    <row r="560" spans="1:19" ht="15.75" customHeight="1" x14ac:dyDescent="0.2">
      <c r="A560"/>
      <c r="B560" s="2"/>
      <c r="C560" s="26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"/>
      <c r="O560" s="2"/>
      <c r="P560" s="2"/>
      <c r="Q560" s="2"/>
      <c r="R560" s="2"/>
      <c r="S560" s="2"/>
    </row>
    <row r="561" spans="1:19" ht="15.75" customHeight="1" x14ac:dyDescent="0.2">
      <c r="A561"/>
      <c r="B561" s="2"/>
      <c r="C561" s="26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"/>
      <c r="O561" s="2"/>
      <c r="P561" s="2"/>
      <c r="Q561" s="2"/>
      <c r="R561" s="2"/>
      <c r="S561" s="2"/>
    </row>
    <row r="562" spans="1:19" ht="15.75" customHeight="1" x14ac:dyDescent="0.2">
      <c r="A562"/>
      <c r="B562" s="2"/>
      <c r="C562" s="26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"/>
      <c r="O562" s="2"/>
      <c r="P562" s="2"/>
      <c r="Q562" s="2"/>
      <c r="R562" s="2"/>
      <c r="S562" s="2"/>
    </row>
    <row r="563" spans="1:19" ht="15.75" customHeight="1" x14ac:dyDescent="0.2">
      <c r="A563"/>
      <c r="B563" s="2"/>
      <c r="C563" s="26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"/>
      <c r="O563" s="2"/>
      <c r="P563" s="2"/>
      <c r="Q563" s="2"/>
      <c r="R563" s="2"/>
      <c r="S563" s="2"/>
    </row>
    <row r="564" spans="1:19" ht="15.75" customHeight="1" x14ac:dyDescent="0.2">
      <c r="A564"/>
      <c r="B564" s="2"/>
      <c r="C564" s="26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"/>
      <c r="O564" s="2"/>
      <c r="P564" s="2"/>
      <c r="Q564" s="2"/>
      <c r="R564" s="2"/>
      <c r="S564" s="2"/>
    </row>
    <row r="565" spans="1:19" ht="15.75" customHeight="1" x14ac:dyDescent="0.2">
      <c r="A565"/>
      <c r="B565" s="2"/>
      <c r="C565" s="26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"/>
      <c r="O565" s="2"/>
      <c r="P565" s="2"/>
      <c r="Q565" s="2"/>
      <c r="R565" s="2"/>
      <c r="S565" s="2"/>
    </row>
    <row r="566" spans="1:19" ht="15.75" customHeight="1" x14ac:dyDescent="0.2">
      <c r="A566"/>
      <c r="B566" s="2"/>
      <c r="C566" s="26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"/>
      <c r="O566" s="2"/>
      <c r="P566" s="2"/>
      <c r="Q566" s="2"/>
      <c r="R566" s="2"/>
      <c r="S566" s="2"/>
    </row>
    <row r="567" spans="1:19" ht="15.75" customHeight="1" x14ac:dyDescent="0.2">
      <c r="A567"/>
      <c r="B567" s="2"/>
      <c r="C567" s="26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"/>
      <c r="O567" s="2"/>
      <c r="P567" s="2"/>
      <c r="Q567" s="2"/>
      <c r="R567" s="2"/>
      <c r="S567" s="2"/>
    </row>
    <row r="568" spans="1:19" ht="15.75" customHeight="1" x14ac:dyDescent="0.2">
      <c r="A568"/>
      <c r="B568" s="2"/>
      <c r="C568" s="26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"/>
      <c r="O568" s="2"/>
      <c r="P568" s="2"/>
      <c r="Q568" s="2"/>
      <c r="R568" s="2"/>
      <c r="S568" s="2"/>
    </row>
    <row r="569" spans="1:19" ht="15.75" customHeight="1" x14ac:dyDescent="0.2">
      <c r="A569"/>
      <c r="B569" s="2"/>
      <c r="C569" s="26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"/>
      <c r="O569" s="2"/>
      <c r="P569" s="2"/>
      <c r="Q569" s="2"/>
      <c r="R569" s="2"/>
      <c r="S569" s="2"/>
    </row>
    <row r="570" spans="1:19" ht="15.75" customHeight="1" x14ac:dyDescent="0.2">
      <c r="A570"/>
      <c r="B570" s="2"/>
      <c r="C570" s="26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"/>
      <c r="O570" s="2"/>
      <c r="P570" s="2"/>
      <c r="Q570" s="2"/>
      <c r="R570" s="2"/>
      <c r="S570" s="2"/>
    </row>
    <row r="571" spans="1:19" ht="15.75" customHeight="1" x14ac:dyDescent="0.2">
      <c r="A571"/>
      <c r="B571" s="2"/>
      <c r="C571" s="26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"/>
      <c r="O571" s="2"/>
      <c r="P571" s="2"/>
      <c r="Q571" s="2"/>
      <c r="R571" s="2"/>
      <c r="S571" s="2"/>
    </row>
    <row r="572" spans="1:19" ht="15.75" customHeight="1" x14ac:dyDescent="0.2">
      <c r="A572"/>
      <c r="B572" s="2"/>
      <c r="C572" s="26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"/>
      <c r="O572" s="2"/>
      <c r="P572" s="2"/>
      <c r="Q572" s="2"/>
      <c r="R572" s="2"/>
      <c r="S572" s="2"/>
    </row>
    <row r="573" spans="1:19" ht="15.75" customHeight="1" x14ac:dyDescent="0.2">
      <c r="A573"/>
      <c r="B573" s="2"/>
      <c r="C573" s="26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"/>
      <c r="O573" s="2"/>
      <c r="P573" s="2"/>
      <c r="Q573" s="2"/>
      <c r="R573" s="2"/>
      <c r="S573" s="2"/>
    </row>
    <row r="574" spans="1:19" ht="15.75" customHeight="1" x14ac:dyDescent="0.2">
      <c r="A574"/>
      <c r="B574" s="2"/>
      <c r="C574" s="26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"/>
      <c r="O574" s="2"/>
      <c r="P574" s="2"/>
      <c r="Q574" s="2"/>
      <c r="R574" s="2"/>
      <c r="S574" s="2"/>
    </row>
    <row r="575" spans="1:19" ht="15.75" customHeight="1" x14ac:dyDescent="0.2">
      <c r="A575"/>
      <c r="B575" s="2"/>
      <c r="C575" s="26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"/>
      <c r="O575" s="2"/>
      <c r="P575" s="2"/>
      <c r="Q575" s="2"/>
      <c r="R575" s="2"/>
      <c r="S575" s="2"/>
    </row>
    <row r="576" spans="1:19" ht="15.75" customHeight="1" x14ac:dyDescent="0.2">
      <c r="A576"/>
      <c r="B576" s="2"/>
      <c r="C576" s="26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"/>
      <c r="O576" s="2"/>
      <c r="P576" s="2"/>
      <c r="Q576" s="2"/>
      <c r="R576" s="2"/>
      <c r="S576" s="2"/>
    </row>
    <row r="577" spans="1:19" ht="15.75" customHeight="1" x14ac:dyDescent="0.2">
      <c r="A577"/>
      <c r="B577" s="2"/>
      <c r="C577" s="26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"/>
      <c r="O577" s="2"/>
      <c r="P577" s="2"/>
      <c r="Q577" s="2"/>
      <c r="R577" s="2"/>
      <c r="S577" s="2"/>
    </row>
    <row r="578" spans="1:19" ht="15.75" customHeight="1" x14ac:dyDescent="0.2">
      <c r="A578"/>
      <c r="B578" s="2"/>
      <c r="C578" s="26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"/>
      <c r="O578" s="2"/>
      <c r="P578" s="2"/>
      <c r="Q578" s="2"/>
      <c r="R578" s="2"/>
      <c r="S578" s="2"/>
    </row>
    <row r="579" spans="1:19" ht="15.75" customHeight="1" x14ac:dyDescent="0.2">
      <c r="A579"/>
      <c r="B579" s="2"/>
      <c r="C579" s="26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"/>
      <c r="O579" s="2"/>
      <c r="P579" s="2"/>
      <c r="Q579" s="2"/>
      <c r="R579" s="2"/>
      <c r="S579" s="2"/>
    </row>
    <row r="580" spans="1:19" ht="15.75" customHeight="1" x14ac:dyDescent="0.2">
      <c r="A580"/>
      <c r="B580" s="2"/>
      <c r="C580" s="26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"/>
      <c r="O580" s="2"/>
      <c r="P580" s="2"/>
      <c r="Q580" s="2"/>
      <c r="R580" s="2"/>
      <c r="S580" s="2"/>
    </row>
    <row r="581" spans="1:19" ht="15.75" customHeight="1" x14ac:dyDescent="0.2">
      <c r="A581"/>
      <c r="B581" s="2"/>
      <c r="C581" s="26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"/>
      <c r="O581" s="2"/>
      <c r="P581" s="2"/>
      <c r="Q581" s="2"/>
      <c r="R581" s="2"/>
      <c r="S581" s="2"/>
    </row>
    <row r="582" spans="1:19" ht="15.75" customHeight="1" x14ac:dyDescent="0.2">
      <c r="A582"/>
      <c r="B582" s="2"/>
      <c r="C582" s="26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"/>
      <c r="O582" s="2"/>
      <c r="P582" s="2"/>
      <c r="Q582" s="2"/>
      <c r="R582" s="2"/>
      <c r="S582" s="2"/>
    </row>
    <row r="583" spans="1:19" ht="15.75" customHeight="1" x14ac:dyDescent="0.2">
      <c r="A583"/>
      <c r="B583" s="2"/>
      <c r="C583" s="26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"/>
      <c r="O583" s="2"/>
      <c r="P583" s="2"/>
      <c r="Q583" s="2"/>
      <c r="R583" s="2"/>
      <c r="S583" s="2"/>
    </row>
    <row r="584" spans="1:19" ht="15.75" customHeight="1" x14ac:dyDescent="0.2">
      <c r="A584"/>
      <c r="B584" s="2"/>
      <c r="C584" s="26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"/>
      <c r="O584" s="2"/>
      <c r="P584" s="2"/>
      <c r="Q584" s="2"/>
      <c r="R584" s="2"/>
      <c r="S584" s="2"/>
    </row>
    <row r="585" spans="1:19" ht="15.75" customHeight="1" x14ac:dyDescent="0.2">
      <c r="A585"/>
      <c r="B585" s="2"/>
      <c r="C585" s="26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"/>
      <c r="O585" s="2"/>
      <c r="P585" s="2"/>
      <c r="Q585" s="2"/>
      <c r="R585" s="2"/>
      <c r="S585" s="2"/>
    </row>
    <row r="586" spans="1:19" ht="15.75" customHeight="1" x14ac:dyDescent="0.2">
      <c r="A586"/>
      <c r="B586" s="2"/>
      <c r="C586" s="26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"/>
      <c r="O586" s="2"/>
      <c r="P586" s="2"/>
      <c r="Q586" s="2"/>
      <c r="R586" s="2"/>
      <c r="S586" s="2"/>
    </row>
    <row r="587" spans="1:19" ht="15.75" customHeight="1" x14ac:dyDescent="0.2">
      <c r="A587"/>
      <c r="B587" s="2"/>
      <c r="C587" s="26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"/>
      <c r="O587" s="2"/>
      <c r="P587" s="2"/>
      <c r="Q587" s="2"/>
      <c r="R587" s="2"/>
      <c r="S587" s="2"/>
    </row>
    <row r="588" spans="1:19" ht="15.75" customHeight="1" x14ac:dyDescent="0.2">
      <c r="A588"/>
      <c r="B588" s="2"/>
      <c r="C588" s="26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"/>
      <c r="O588" s="2"/>
      <c r="P588" s="2"/>
      <c r="Q588" s="2"/>
      <c r="R588" s="2"/>
      <c r="S588" s="2"/>
    </row>
    <row r="589" spans="1:19" ht="15.75" customHeight="1" x14ac:dyDescent="0.2">
      <c r="A589"/>
      <c r="B589" s="2"/>
      <c r="C589" s="26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"/>
      <c r="O589" s="2"/>
      <c r="P589" s="2"/>
      <c r="Q589" s="2"/>
      <c r="R589" s="2"/>
      <c r="S589" s="2"/>
    </row>
    <row r="590" spans="1:19" ht="15.75" customHeight="1" x14ac:dyDescent="0.2">
      <c r="A590"/>
      <c r="B590" s="2"/>
      <c r="C590" s="26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"/>
      <c r="O590" s="2"/>
      <c r="P590" s="2"/>
      <c r="Q590" s="2"/>
      <c r="R590" s="2"/>
      <c r="S590" s="2"/>
    </row>
    <row r="591" spans="1:19" ht="15.75" customHeight="1" x14ac:dyDescent="0.2">
      <c r="A591"/>
      <c r="B591" s="2"/>
      <c r="C591" s="26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"/>
      <c r="O591" s="2"/>
      <c r="P591" s="2"/>
      <c r="Q591" s="2"/>
      <c r="R591" s="2"/>
      <c r="S591" s="2"/>
    </row>
    <row r="592" spans="1:19" ht="15.75" customHeight="1" x14ac:dyDescent="0.2">
      <c r="A592"/>
      <c r="B592" s="2"/>
      <c r="C592" s="26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"/>
      <c r="O592" s="2"/>
      <c r="P592" s="2"/>
      <c r="Q592" s="2"/>
      <c r="R592" s="2"/>
      <c r="S592" s="2"/>
    </row>
    <row r="593" spans="1:19" ht="15.75" customHeight="1" x14ac:dyDescent="0.2">
      <c r="A593"/>
      <c r="B593" s="2"/>
      <c r="C593" s="26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"/>
      <c r="O593" s="2"/>
      <c r="P593" s="2"/>
      <c r="Q593" s="2"/>
      <c r="R593" s="2"/>
      <c r="S593" s="2"/>
    </row>
    <row r="594" spans="1:19" ht="15.75" customHeight="1" x14ac:dyDescent="0.2">
      <c r="A594"/>
      <c r="B594" s="2"/>
      <c r="C594" s="26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"/>
      <c r="O594" s="2"/>
      <c r="P594" s="2"/>
      <c r="Q594" s="2"/>
      <c r="R594" s="2"/>
      <c r="S594" s="2"/>
    </row>
    <row r="595" spans="1:19" ht="15.75" customHeight="1" x14ac:dyDescent="0.2">
      <c r="A595"/>
      <c r="B595" s="2"/>
      <c r="C595" s="26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"/>
      <c r="O595" s="2"/>
      <c r="P595" s="2"/>
      <c r="Q595" s="2"/>
      <c r="R595" s="2"/>
      <c r="S595" s="2"/>
    </row>
    <row r="596" spans="1:19" ht="15.75" customHeight="1" x14ac:dyDescent="0.2">
      <c r="A596"/>
      <c r="B596" s="2"/>
      <c r="C596" s="26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"/>
      <c r="O596" s="2"/>
      <c r="P596" s="2"/>
      <c r="Q596" s="2"/>
      <c r="R596" s="2"/>
      <c r="S596" s="2"/>
    </row>
    <row r="597" spans="1:19" ht="15.75" customHeight="1" x14ac:dyDescent="0.2">
      <c r="A597"/>
      <c r="B597" s="2"/>
      <c r="C597" s="26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"/>
      <c r="O597" s="2"/>
      <c r="P597" s="2"/>
      <c r="Q597" s="2"/>
      <c r="R597" s="2"/>
      <c r="S597" s="2"/>
    </row>
    <row r="598" spans="1:19" ht="15.75" customHeight="1" x14ac:dyDescent="0.2">
      <c r="A598"/>
      <c r="B598" s="2"/>
      <c r="C598" s="26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"/>
      <c r="O598" s="2"/>
      <c r="P598" s="2"/>
      <c r="Q598" s="2"/>
      <c r="R598" s="2"/>
      <c r="S598" s="2"/>
    </row>
    <row r="599" spans="1:19" ht="15.75" customHeight="1" x14ac:dyDescent="0.2">
      <c r="A599"/>
      <c r="B599" s="2"/>
      <c r="C599" s="26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"/>
      <c r="O599" s="2"/>
      <c r="P599" s="2"/>
      <c r="Q599" s="2"/>
      <c r="R599" s="2"/>
      <c r="S599" s="2"/>
    </row>
    <row r="600" spans="1:19" ht="15.75" customHeight="1" x14ac:dyDescent="0.2">
      <c r="A600"/>
      <c r="B600" s="2"/>
      <c r="C600" s="26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"/>
      <c r="O600" s="2"/>
      <c r="P600" s="2"/>
      <c r="Q600" s="2"/>
      <c r="R600" s="2"/>
      <c r="S600" s="2"/>
    </row>
    <row r="601" spans="1:19" ht="15.75" customHeight="1" x14ac:dyDescent="0.2">
      <c r="A601"/>
      <c r="B601" s="2"/>
      <c r="C601" s="26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"/>
      <c r="O601" s="2"/>
      <c r="P601" s="2"/>
      <c r="Q601" s="2"/>
      <c r="R601" s="2"/>
      <c r="S601" s="2"/>
    </row>
    <row r="602" spans="1:19" ht="15.75" customHeight="1" x14ac:dyDescent="0.2">
      <c r="A602"/>
      <c r="B602" s="2"/>
      <c r="C602" s="26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"/>
      <c r="O602" s="2"/>
      <c r="P602" s="2"/>
      <c r="Q602" s="2"/>
      <c r="R602" s="2"/>
      <c r="S602" s="2"/>
    </row>
    <row r="603" spans="1:19" ht="15.75" customHeight="1" x14ac:dyDescent="0.2">
      <c r="A603"/>
      <c r="B603" s="2"/>
      <c r="C603" s="26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"/>
      <c r="O603" s="2"/>
      <c r="P603" s="2"/>
      <c r="Q603" s="2"/>
      <c r="R603" s="2"/>
      <c r="S603" s="2"/>
    </row>
    <row r="604" spans="1:19" ht="15.75" customHeight="1" x14ac:dyDescent="0.2">
      <c r="A604"/>
      <c r="B604" s="2"/>
      <c r="C604" s="26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"/>
      <c r="O604" s="2"/>
      <c r="P604" s="2"/>
      <c r="Q604" s="2"/>
      <c r="R604" s="2"/>
      <c r="S604" s="2"/>
    </row>
    <row r="605" spans="1:19" ht="15.75" customHeight="1" x14ac:dyDescent="0.2">
      <c r="A605"/>
      <c r="B605" s="2"/>
      <c r="C605" s="26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"/>
      <c r="O605" s="2"/>
      <c r="P605" s="2"/>
      <c r="Q605" s="2"/>
      <c r="R605" s="2"/>
      <c r="S605" s="2"/>
    </row>
    <row r="606" spans="1:19" ht="15.75" customHeight="1" x14ac:dyDescent="0.2">
      <c r="A606"/>
      <c r="B606" s="2"/>
      <c r="C606" s="26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"/>
      <c r="O606" s="2"/>
      <c r="P606" s="2"/>
      <c r="Q606" s="2"/>
      <c r="R606" s="2"/>
      <c r="S606" s="2"/>
    </row>
    <row r="607" spans="1:19" ht="15.75" customHeight="1" x14ac:dyDescent="0.2">
      <c r="A607"/>
      <c r="B607" s="2"/>
      <c r="C607" s="26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"/>
      <c r="O607" s="2"/>
      <c r="P607" s="2"/>
      <c r="Q607" s="2"/>
      <c r="R607" s="2"/>
      <c r="S607" s="2"/>
    </row>
    <row r="608" spans="1:19" ht="15.75" customHeight="1" x14ac:dyDescent="0.2">
      <c r="A608"/>
      <c r="B608" s="2"/>
      <c r="C608" s="26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"/>
      <c r="O608" s="2"/>
      <c r="P608" s="2"/>
      <c r="Q608" s="2"/>
      <c r="R608" s="2"/>
      <c r="S608" s="2"/>
    </row>
    <row r="609" spans="1:19" ht="15.75" customHeight="1" x14ac:dyDescent="0.2">
      <c r="A609"/>
      <c r="B609" s="2"/>
      <c r="C609" s="26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"/>
      <c r="O609" s="2"/>
      <c r="P609" s="2"/>
      <c r="Q609" s="2"/>
      <c r="R609" s="2"/>
      <c r="S609" s="2"/>
    </row>
    <row r="610" spans="1:19" ht="15.75" customHeight="1" x14ac:dyDescent="0.2">
      <c r="A610"/>
      <c r="B610" s="2"/>
      <c r="C610" s="26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"/>
      <c r="O610" s="2"/>
      <c r="P610" s="2"/>
      <c r="Q610" s="2"/>
      <c r="R610" s="2"/>
      <c r="S610" s="2"/>
    </row>
    <row r="611" spans="1:19" ht="15.75" customHeight="1" x14ac:dyDescent="0.2">
      <c r="A611"/>
      <c r="B611" s="2"/>
      <c r="C611" s="26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"/>
      <c r="O611" s="2"/>
      <c r="P611" s="2"/>
      <c r="Q611" s="2"/>
      <c r="R611" s="2"/>
      <c r="S611" s="2"/>
    </row>
    <row r="612" spans="1:19" ht="15.75" customHeight="1" x14ac:dyDescent="0.2">
      <c r="A612"/>
      <c r="B612" s="2"/>
      <c r="C612" s="26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"/>
      <c r="O612" s="2"/>
      <c r="P612" s="2"/>
      <c r="Q612" s="2"/>
      <c r="R612" s="2"/>
      <c r="S612" s="2"/>
    </row>
    <row r="613" spans="1:19" ht="15.75" customHeight="1" x14ac:dyDescent="0.2">
      <c r="A613"/>
      <c r="B613" s="2"/>
      <c r="C613" s="26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"/>
      <c r="O613" s="2"/>
      <c r="P613" s="2"/>
      <c r="Q613" s="2"/>
      <c r="R613" s="2"/>
      <c r="S613" s="2"/>
    </row>
    <row r="614" spans="1:19" ht="15.75" customHeight="1" x14ac:dyDescent="0.2">
      <c r="A614"/>
      <c r="B614" s="2"/>
      <c r="C614" s="26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"/>
      <c r="O614" s="2"/>
      <c r="P614" s="2"/>
      <c r="Q614" s="2"/>
      <c r="R614" s="2"/>
      <c r="S614" s="2"/>
    </row>
    <row r="615" spans="1:19" ht="15.75" customHeight="1" x14ac:dyDescent="0.2">
      <c r="A615"/>
      <c r="B615" s="2"/>
      <c r="C615" s="26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"/>
      <c r="O615" s="2"/>
      <c r="P615" s="2"/>
      <c r="Q615" s="2"/>
      <c r="R615" s="2"/>
      <c r="S615" s="2"/>
    </row>
    <row r="616" spans="1:19" ht="15.75" customHeight="1" x14ac:dyDescent="0.2">
      <c r="A616"/>
      <c r="B616" s="2"/>
      <c r="C616" s="26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"/>
      <c r="O616" s="2"/>
      <c r="P616" s="2"/>
      <c r="Q616" s="2"/>
      <c r="R616" s="2"/>
      <c r="S616" s="2"/>
    </row>
    <row r="617" spans="1:19" ht="15.75" customHeight="1" x14ac:dyDescent="0.2">
      <c r="A617"/>
      <c r="B617" s="2"/>
      <c r="C617" s="26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"/>
      <c r="O617" s="2"/>
      <c r="P617" s="2"/>
      <c r="Q617" s="2"/>
      <c r="R617" s="2"/>
      <c r="S617" s="2"/>
    </row>
    <row r="618" spans="1:19" ht="15.75" customHeight="1" x14ac:dyDescent="0.2">
      <c r="A618"/>
      <c r="B618" s="2"/>
      <c r="C618" s="26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"/>
      <c r="O618" s="2"/>
      <c r="P618" s="2"/>
      <c r="Q618" s="2"/>
      <c r="R618" s="2"/>
      <c r="S618" s="2"/>
    </row>
    <row r="619" spans="1:19" ht="15.75" customHeight="1" x14ac:dyDescent="0.2">
      <c r="A619"/>
      <c r="B619" s="2"/>
      <c r="C619" s="26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"/>
      <c r="O619" s="2"/>
      <c r="P619" s="2"/>
      <c r="Q619" s="2"/>
      <c r="R619" s="2"/>
      <c r="S619" s="2"/>
    </row>
    <row r="620" spans="1:19" ht="15.75" customHeight="1" x14ac:dyDescent="0.2">
      <c r="A620"/>
      <c r="B620" s="2"/>
      <c r="C620" s="26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"/>
      <c r="O620" s="2"/>
      <c r="P620" s="2"/>
      <c r="Q620" s="2"/>
      <c r="R620" s="2"/>
      <c r="S620" s="2"/>
    </row>
    <row r="621" spans="1:19" ht="15.75" customHeight="1" x14ac:dyDescent="0.2">
      <c r="A621"/>
      <c r="B621" s="2"/>
      <c r="C621" s="26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"/>
      <c r="O621" s="2"/>
      <c r="P621" s="2"/>
      <c r="Q621" s="2"/>
      <c r="R621" s="2"/>
      <c r="S621" s="2"/>
    </row>
    <row r="622" spans="1:19" ht="15.75" customHeight="1" x14ac:dyDescent="0.2">
      <c r="A622"/>
      <c r="B622" s="2"/>
      <c r="C622" s="26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"/>
      <c r="O622" s="2"/>
      <c r="P622" s="2"/>
      <c r="Q622" s="2"/>
      <c r="R622" s="2"/>
      <c r="S622" s="2"/>
    </row>
    <row r="623" spans="1:19" ht="15.75" customHeight="1" x14ac:dyDescent="0.2">
      <c r="A623"/>
      <c r="B623" s="2"/>
      <c r="C623" s="26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"/>
      <c r="O623" s="2"/>
      <c r="P623" s="2"/>
      <c r="Q623" s="2"/>
      <c r="R623" s="2"/>
      <c r="S623" s="2"/>
    </row>
    <row r="624" spans="1:19" ht="15.75" customHeight="1" x14ac:dyDescent="0.2">
      <c r="A624"/>
      <c r="B624" s="2"/>
      <c r="C624" s="26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"/>
      <c r="O624" s="2"/>
      <c r="P624" s="2"/>
      <c r="Q624" s="2"/>
      <c r="R624" s="2"/>
      <c r="S624" s="2"/>
    </row>
    <row r="625" spans="1:19" ht="15.75" customHeight="1" x14ac:dyDescent="0.2">
      <c r="A625"/>
      <c r="B625" s="2"/>
      <c r="C625" s="26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"/>
      <c r="O625" s="2"/>
      <c r="P625" s="2"/>
      <c r="Q625" s="2"/>
      <c r="R625" s="2"/>
      <c r="S625" s="2"/>
    </row>
    <row r="626" spans="1:19" ht="15.75" customHeight="1" x14ac:dyDescent="0.2">
      <c r="A626"/>
      <c r="B626" s="2"/>
      <c r="C626" s="26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"/>
      <c r="O626" s="2"/>
      <c r="P626" s="2"/>
      <c r="Q626" s="2"/>
      <c r="R626" s="2"/>
      <c r="S626" s="2"/>
    </row>
    <row r="627" spans="1:19" ht="15.75" customHeight="1" x14ac:dyDescent="0.2">
      <c r="A627"/>
      <c r="B627" s="2"/>
      <c r="C627" s="26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"/>
      <c r="O627" s="2"/>
      <c r="P627" s="2"/>
      <c r="Q627" s="2"/>
      <c r="R627" s="2"/>
      <c r="S627" s="2"/>
    </row>
    <row r="628" spans="1:19" ht="15.75" customHeight="1" x14ac:dyDescent="0.2">
      <c r="A628"/>
      <c r="B628" s="2"/>
      <c r="C628" s="26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"/>
      <c r="O628" s="2"/>
      <c r="P628" s="2"/>
      <c r="Q628" s="2"/>
      <c r="R628" s="2"/>
      <c r="S628" s="2"/>
    </row>
    <row r="629" spans="1:19" ht="15.75" customHeight="1" x14ac:dyDescent="0.2">
      <c r="A629"/>
      <c r="B629" s="2"/>
      <c r="C629" s="26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"/>
      <c r="O629" s="2"/>
      <c r="P629" s="2"/>
      <c r="Q629" s="2"/>
      <c r="R629" s="2"/>
      <c r="S629" s="2"/>
    </row>
    <row r="630" spans="1:19" ht="15.75" customHeight="1" x14ac:dyDescent="0.2">
      <c r="A630"/>
      <c r="B630" s="2"/>
      <c r="C630" s="26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"/>
      <c r="O630" s="2"/>
      <c r="P630" s="2"/>
      <c r="Q630" s="2"/>
      <c r="R630" s="2"/>
      <c r="S630" s="2"/>
    </row>
    <row r="631" spans="1:19" ht="15.75" customHeight="1" x14ac:dyDescent="0.2">
      <c r="A631"/>
      <c r="B631" s="2"/>
      <c r="C631" s="26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"/>
      <c r="O631" s="2"/>
      <c r="P631" s="2"/>
      <c r="Q631" s="2"/>
      <c r="R631" s="2"/>
      <c r="S631" s="2"/>
    </row>
    <row r="632" spans="1:19" ht="15.75" customHeight="1" x14ac:dyDescent="0.2">
      <c r="A632"/>
      <c r="B632" s="2"/>
      <c r="C632" s="26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"/>
      <c r="O632" s="2"/>
      <c r="P632" s="2"/>
      <c r="Q632" s="2"/>
      <c r="R632" s="2"/>
      <c r="S632" s="2"/>
    </row>
    <row r="633" spans="1:19" ht="15.75" customHeight="1" x14ac:dyDescent="0.2">
      <c r="A633"/>
      <c r="B633" s="2"/>
      <c r="C633" s="26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"/>
      <c r="O633" s="2"/>
      <c r="P633" s="2"/>
      <c r="Q633" s="2"/>
      <c r="R633" s="2"/>
      <c r="S633" s="2"/>
    </row>
    <row r="634" spans="1:19" ht="15.75" customHeight="1" x14ac:dyDescent="0.2">
      <c r="A634"/>
      <c r="B634" s="2"/>
      <c r="C634" s="26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"/>
      <c r="O634" s="2"/>
      <c r="P634" s="2"/>
      <c r="Q634" s="2"/>
      <c r="R634" s="2"/>
      <c r="S634" s="2"/>
    </row>
    <row r="635" spans="1:19" ht="15.75" customHeight="1" x14ac:dyDescent="0.2">
      <c r="A635"/>
      <c r="B635" s="2"/>
      <c r="C635" s="26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"/>
      <c r="O635" s="2"/>
      <c r="P635" s="2"/>
      <c r="Q635" s="2"/>
      <c r="R635" s="2"/>
      <c r="S635" s="2"/>
    </row>
    <row r="636" spans="1:19" ht="15.75" customHeight="1" x14ac:dyDescent="0.2">
      <c r="A636"/>
      <c r="B636" s="2"/>
      <c r="C636" s="26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"/>
      <c r="O636" s="2"/>
      <c r="P636" s="2"/>
      <c r="Q636" s="2"/>
      <c r="R636" s="2"/>
      <c r="S636" s="2"/>
    </row>
    <row r="637" spans="1:19" ht="15.75" customHeight="1" x14ac:dyDescent="0.2">
      <c r="A637"/>
      <c r="B637" s="2"/>
      <c r="C637" s="26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"/>
      <c r="O637" s="2"/>
      <c r="P637" s="2"/>
      <c r="Q637" s="2"/>
      <c r="R637" s="2"/>
      <c r="S637" s="2"/>
    </row>
    <row r="638" spans="1:19" ht="15.75" customHeight="1" x14ac:dyDescent="0.2">
      <c r="A638"/>
      <c r="B638" s="2"/>
      <c r="C638" s="26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"/>
      <c r="O638" s="2"/>
      <c r="P638" s="2"/>
      <c r="Q638" s="2"/>
      <c r="R638" s="2"/>
      <c r="S638" s="2"/>
    </row>
    <row r="639" spans="1:19" ht="15.75" customHeight="1" x14ac:dyDescent="0.2">
      <c r="A639"/>
      <c r="B639" s="2"/>
      <c r="C639" s="26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"/>
      <c r="O639" s="2"/>
      <c r="P639" s="2"/>
      <c r="Q639" s="2"/>
      <c r="R639" s="2"/>
      <c r="S639" s="2"/>
    </row>
    <row r="640" spans="1:19" ht="15.75" customHeight="1" x14ac:dyDescent="0.2">
      <c r="A640"/>
      <c r="B640" s="2"/>
      <c r="C640" s="26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"/>
      <c r="O640" s="2"/>
      <c r="P640" s="2"/>
      <c r="Q640" s="2"/>
      <c r="R640" s="2"/>
      <c r="S640" s="2"/>
    </row>
    <row r="641" spans="1:13" ht="15.75" customHeight="1" x14ac:dyDescent="0.2">
      <c r="A641"/>
    </row>
    <row r="642" spans="1:13" ht="15.75" customHeight="1" x14ac:dyDescent="0.2">
      <c r="A642"/>
    </row>
    <row r="643" spans="1:13" ht="15.75" customHeight="1" x14ac:dyDescent="0.2">
      <c r="A643"/>
    </row>
    <row r="644" spans="1:13" ht="15.75" customHeight="1" x14ac:dyDescent="0.2">
      <c r="A644"/>
    </row>
    <row r="645" spans="1:13" ht="15.75" customHeight="1" x14ac:dyDescent="0.2">
      <c r="A645"/>
      <c r="D645"/>
      <c r="E645"/>
      <c r="F645"/>
      <c r="G645"/>
      <c r="H645"/>
      <c r="I645"/>
      <c r="J645"/>
      <c r="K645"/>
      <c r="L645"/>
      <c r="M645"/>
    </row>
    <row r="646" spans="1:13" ht="15.75" customHeight="1" x14ac:dyDescent="0.2">
      <c r="A646"/>
      <c r="D646"/>
      <c r="E646"/>
      <c r="F646"/>
      <c r="G646"/>
      <c r="H646"/>
      <c r="I646"/>
      <c r="J646"/>
      <c r="K646"/>
      <c r="L646"/>
      <c r="M646"/>
    </row>
    <row r="647" spans="1:13" ht="15.75" customHeight="1" x14ac:dyDescent="0.2">
      <c r="A647"/>
      <c r="D647"/>
      <c r="E647"/>
      <c r="F647"/>
      <c r="G647"/>
      <c r="H647"/>
      <c r="I647"/>
      <c r="J647"/>
      <c r="K647"/>
      <c r="L647"/>
      <c r="M647"/>
    </row>
    <row r="648" spans="1:13" ht="15.75" customHeight="1" x14ac:dyDescent="0.2">
      <c r="A648"/>
      <c r="D648"/>
      <c r="E648"/>
      <c r="F648"/>
      <c r="G648"/>
      <c r="H648"/>
      <c r="I648"/>
      <c r="J648"/>
      <c r="K648"/>
      <c r="L648"/>
      <c r="M648"/>
    </row>
    <row r="649" spans="1:13" ht="15.75" customHeight="1" x14ac:dyDescent="0.2">
      <c r="A649"/>
      <c r="D649"/>
      <c r="E649"/>
      <c r="F649"/>
      <c r="G649"/>
      <c r="H649"/>
      <c r="I649"/>
      <c r="J649"/>
      <c r="K649"/>
      <c r="L649"/>
      <c r="M649"/>
    </row>
    <row r="650" spans="1:13" ht="15.75" customHeight="1" x14ac:dyDescent="0.2">
      <c r="A650"/>
      <c r="D650"/>
      <c r="E650"/>
      <c r="F650"/>
      <c r="G650"/>
      <c r="H650"/>
      <c r="I650"/>
      <c r="J650"/>
      <c r="K650"/>
      <c r="L650"/>
      <c r="M650"/>
    </row>
    <row r="651" spans="1:13" ht="15.75" customHeight="1" x14ac:dyDescent="0.2">
      <c r="A651"/>
      <c r="D651"/>
      <c r="E651"/>
      <c r="F651"/>
      <c r="G651"/>
      <c r="H651"/>
      <c r="I651"/>
      <c r="J651"/>
      <c r="K651"/>
      <c r="L651"/>
      <c r="M651"/>
    </row>
    <row r="652" spans="1:13" ht="15.75" customHeight="1" x14ac:dyDescent="0.2">
      <c r="A652"/>
      <c r="D652"/>
      <c r="E652"/>
      <c r="F652"/>
      <c r="G652"/>
      <c r="H652"/>
      <c r="I652"/>
      <c r="J652"/>
      <c r="K652"/>
      <c r="L652"/>
      <c r="M652"/>
    </row>
    <row r="653" spans="1:13" ht="15.75" customHeight="1" x14ac:dyDescent="0.2">
      <c r="A653"/>
      <c r="D653"/>
      <c r="E653"/>
      <c r="F653"/>
      <c r="G653"/>
      <c r="H653"/>
      <c r="I653"/>
      <c r="J653"/>
      <c r="K653"/>
      <c r="L653"/>
      <c r="M653"/>
    </row>
    <row r="654" spans="1:13" ht="15.75" customHeight="1" x14ac:dyDescent="0.2">
      <c r="A654"/>
      <c r="D654"/>
      <c r="E654"/>
      <c r="F654"/>
      <c r="G654"/>
      <c r="H654"/>
      <c r="I654"/>
      <c r="J654"/>
      <c r="K654"/>
      <c r="L654"/>
      <c r="M654"/>
    </row>
    <row r="655" spans="1:13" ht="15.75" customHeight="1" x14ac:dyDescent="0.2">
      <c r="A655"/>
      <c r="D655"/>
      <c r="E655"/>
      <c r="F655"/>
      <c r="G655"/>
      <c r="H655"/>
      <c r="I655"/>
      <c r="J655"/>
      <c r="K655"/>
      <c r="L655"/>
      <c r="M655"/>
    </row>
    <row r="656" spans="1:13" ht="15.75" customHeight="1" x14ac:dyDescent="0.2">
      <c r="A656"/>
      <c r="D656"/>
      <c r="E656"/>
      <c r="F656"/>
      <c r="G656"/>
      <c r="H656"/>
      <c r="I656"/>
      <c r="J656"/>
      <c r="K656"/>
      <c r="L656"/>
      <c r="M656"/>
    </row>
    <row r="657" spans="3:3" customFormat="1" ht="15.75" customHeight="1" x14ac:dyDescent="0.2">
      <c r="C657" s="9"/>
    </row>
    <row r="658" spans="3:3" customFormat="1" ht="15.75" customHeight="1" x14ac:dyDescent="0.2">
      <c r="C658" s="9"/>
    </row>
    <row r="659" spans="3:3" customFormat="1" ht="15.75" customHeight="1" x14ac:dyDescent="0.2">
      <c r="C659" s="9"/>
    </row>
    <row r="660" spans="3:3" customFormat="1" ht="15.75" customHeight="1" x14ac:dyDescent="0.2">
      <c r="C660" s="9"/>
    </row>
    <row r="661" spans="3:3" customFormat="1" ht="15.75" customHeight="1" x14ac:dyDescent="0.2">
      <c r="C661" s="9"/>
    </row>
    <row r="662" spans="3:3" customFormat="1" ht="15.75" customHeight="1" x14ac:dyDescent="0.2">
      <c r="C662" s="9"/>
    </row>
    <row r="663" spans="3:3" customFormat="1" ht="15.75" customHeight="1" x14ac:dyDescent="0.2">
      <c r="C663" s="9"/>
    </row>
    <row r="664" spans="3:3" customFormat="1" ht="15.75" customHeight="1" x14ac:dyDescent="0.2">
      <c r="C664" s="9"/>
    </row>
    <row r="665" spans="3:3" customFormat="1" ht="15.75" customHeight="1" x14ac:dyDescent="0.2">
      <c r="C665" s="9"/>
    </row>
    <row r="666" spans="3:3" customFormat="1" ht="15.75" customHeight="1" x14ac:dyDescent="0.2">
      <c r="C666" s="9"/>
    </row>
    <row r="667" spans="3:3" customFormat="1" ht="15.75" customHeight="1" x14ac:dyDescent="0.2">
      <c r="C667" s="9"/>
    </row>
    <row r="668" spans="3:3" customFormat="1" ht="15.75" customHeight="1" x14ac:dyDescent="0.2">
      <c r="C668" s="9"/>
    </row>
    <row r="669" spans="3:3" customFormat="1" ht="15.75" customHeight="1" x14ac:dyDescent="0.2">
      <c r="C669" s="9"/>
    </row>
    <row r="670" spans="3:3" customFormat="1" ht="15.75" customHeight="1" x14ac:dyDescent="0.2">
      <c r="C670" s="9"/>
    </row>
    <row r="671" spans="3:3" customFormat="1" ht="15.75" customHeight="1" x14ac:dyDescent="0.2">
      <c r="C671" s="9"/>
    </row>
    <row r="672" spans="3:3" customFormat="1" ht="15.75" customHeight="1" x14ac:dyDescent="0.2">
      <c r="C672" s="9"/>
    </row>
    <row r="673" spans="3:3" customFormat="1" ht="15.75" customHeight="1" x14ac:dyDescent="0.2">
      <c r="C673" s="9"/>
    </row>
    <row r="674" spans="3:3" customFormat="1" ht="15.75" customHeight="1" x14ac:dyDescent="0.2">
      <c r="C674" s="9"/>
    </row>
    <row r="675" spans="3:3" customFormat="1" ht="15.75" customHeight="1" x14ac:dyDescent="0.2">
      <c r="C675" s="9"/>
    </row>
    <row r="676" spans="3:3" customFormat="1" ht="15.75" customHeight="1" x14ac:dyDescent="0.2">
      <c r="C676" s="9"/>
    </row>
    <row r="677" spans="3:3" customFormat="1" ht="15.75" customHeight="1" x14ac:dyDescent="0.2">
      <c r="C677" s="9"/>
    </row>
    <row r="678" spans="3:3" customFormat="1" ht="15.75" customHeight="1" x14ac:dyDescent="0.2">
      <c r="C678" s="9"/>
    </row>
    <row r="679" spans="3:3" customFormat="1" ht="15.75" customHeight="1" x14ac:dyDescent="0.2">
      <c r="C679" s="9"/>
    </row>
    <row r="680" spans="3:3" customFormat="1" ht="15.75" customHeight="1" x14ac:dyDescent="0.2">
      <c r="C680" s="9"/>
    </row>
    <row r="681" spans="3:3" customFormat="1" ht="15.75" customHeight="1" x14ac:dyDescent="0.2">
      <c r="C681" s="9"/>
    </row>
    <row r="682" spans="3:3" customFormat="1" ht="15.75" customHeight="1" x14ac:dyDescent="0.2">
      <c r="C682" s="9"/>
    </row>
    <row r="683" spans="3:3" customFormat="1" ht="15.75" customHeight="1" x14ac:dyDescent="0.2">
      <c r="C683" s="9"/>
    </row>
    <row r="684" spans="3:3" customFormat="1" ht="15.75" customHeight="1" x14ac:dyDescent="0.2">
      <c r="C684" s="9"/>
    </row>
    <row r="685" spans="3:3" customFormat="1" ht="15.75" customHeight="1" x14ac:dyDescent="0.2">
      <c r="C685" s="9"/>
    </row>
    <row r="686" spans="3:3" customFormat="1" ht="15.75" customHeight="1" x14ac:dyDescent="0.2">
      <c r="C686" s="9"/>
    </row>
    <row r="687" spans="3:3" customFormat="1" ht="15.75" customHeight="1" x14ac:dyDescent="0.2">
      <c r="C687" s="9"/>
    </row>
    <row r="688" spans="3:3" customFormat="1" ht="15.75" customHeight="1" x14ac:dyDescent="0.2">
      <c r="C688" s="9"/>
    </row>
    <row r="689" spans="3:3" customFormat="1" ht="15.75" customHeight="1" x14ac:dyDescent="0.2">
      <c r="C689" s="9"/>
    </row>
    <row r="690" spans="3:3" customFormat="1" ht="15.75" customHeight="1" x14ac:dyDescent="0.2">
      <c r="C690" s="9"/>
    </row>
    <row r="691" spans="3:3" customFormat="1" ht="15.75" customHeight="1" x14ac:dyDescent="0.2">
      <c r="C691" s="9"/>
    </row>
    <row r="692" spans="3:3" customFormat="1" ht="15.75" customHeight="1" x14ac:dyDescent="0.2">
      <c r="C692" s="9"/>
    </row>
    <row r="693" spans="3:3" customFormat="1" ht="15.75" customHeight="1" x14ac:dyDescent="0.2">
      <c r="C693" s="9"/>
    </row>
    <row r="694" spans="3:3" customFormat="1" ht="15.75" customHeight="1" x14ac:dyDescent="0.2">
      <c r="C694" s="9"/>
    </row>
    <row r="695" spans="3:3" customFormat="1" ht="15.75" customHeight="1" x14ac:dyDescent="0.2">
      <c r="C695" s="9"/>
    </row>
    <row r="696" spans="3:3" customFormat="1" ht="15.75" customHeight="1" x14ac:dyDescent="0.2">
      <c r="C696" s="9"/>
    </row>
    <row r="697" spans="3:3" customFormat="1" ht="15.75" customHeight="1" x14ac:dyDescent="0.2">
      <c r="C697" s="9"/>
    </row>
    <row r="698" spans="3:3" customFormat="1" ht="15.75" customHeight="1" x14ac:dyDescent="0.2">
      <c r="C698" s="9"/>
    </row>
    <row r="699" spans="3:3" customFormat="1" ht="15.75" customHeight="1" x14ac:dyDescent="0.2">
      <c r="C699" s="9"/>
    </row>
    <row r="700" spans="3:3" customFormat="1" ht="15.75" customHeight="1" x14ac:dyDescent="0.2">
      <c r="C700" s="9"/>
    </row>
    <row r="701" spans="3:3" customFormat="1" ht="15.75" customHeight="1" x14ac:dyDescent="0.2">
      <c r="C701" s="9"/>
    </row>
    <row r="702" spans="3:3" customFormat="1" ht="15.75" customHeight="1" x14ac:dyDescent="0.2">
      <c r="C702" s="9"/>
    </row>
    <row r="703" spans="3:3" customFormat="1" ht="15.75" customHeight="1" x14ac:dyDescent="0.2">
      <c r="C703" s="9"/>
    </row>
    <row r="704" spans="3:3" customFormat="1" ht="15.75" customHeight="1" x14ac:dyDescent="0.2">
      <c r="C704" s="9"/>
    </row>
    <row r="705" spans="3:3" customFormat="1" ht="15.75" customHeight="1" x14ac:dyDescent="0.2">
      <c r="C705" s="9"/>
    </row>
    <row r="706" spans="3:3" customFormat="1" ht="15.75" customHeight="1" x14ac:dyDescent="0.2">
      <c r="C706" s="9"/>
    </row>
    <row r="707" spans="3:3" customFormat="1" ht="15.75" customHeight="1" x14ac:dyDescent="0.2">
      <c r="C707" s="9"/>
    </row>
    <row r="708" spans="3:3" customFormat="1" ht="15.75" customHeight="1" x14ac:dyDescent="0.2">
      <c r="C708" s="9"/>
    </row>
    <row r="709" spans="3:3" customFormat="1" ht="15.75" customHeight="1" x14ac:dyDescent="0.2">
      <c r="C709" s="9"/>
    </row>
    <row r="710" spans="3:3" customFormat="1" ht="15.75" customHeight="1" x14ac:dyDescent="0.2">
      <c r="C710" s="9"/>
    </row>
    <row r="711" spans="3:3" customFormat="1" ht="15.75" customHeight="1" x14ac:dyDescent="0.2">
      <c r="C711" s="9"/>
    </row>
    <row r="712" spans="3:3" customFormat="1" ht="15.75" customHeight="1" x14ac:dyDescent="0.2">
      <c r="C712" s="9"/>
    </row>
    <row r="713" spans="3:3" customFormat="1" ht="15.75" customHeight="1" x14ac:dyDescent="0.2">
      <c r="C713" s="9"/>
    </row>
    <row r="714" spans="3:3" customFormat="1" ht="15.75" customHeight="1" x14ac:dyDescent="0.2">
      <c r="C714" s="9"/>
    </row>
    <row r="715" spans="3:3" customFormat="1" ht="15.75" customHeight="1" x14ac:dyDescent="0.2">
      <c r="C715" s="9"/>
    </row>
    <row r="716" spans="3:3" customFormat="1" ht="15.75" customHeight="1" x14ac:dyDescent="0.2">
      <c r="C716" s="9"/>
    </row>
    <row r="717" spans="3:3" customFormat="1" ht="15.75" customHeight="1" x14ac:dyDescent="0.2">
      <c r="C717" s="9"/>
    </row>
    <row r="718" spans="3:3" customFormat="1" ht="15.75" customHeight="1" x14ac:dyDescent="0.2">
      <c r="C718" s="9"/>
    </row>
    <row r="719" spans="3:3" customFormat="1" ht="15.75" customHeight="1" x14ac:dyDescent="0.2">
      <c r="C719" s="9"/>
    </row>
    <row r="720" spans="3:3" customFormat="1" ht="15.75" customHeight="1" x14ac:dyDescent="0.2">
      <c r="C720" s="9"/>
    </row>
    <row r="721" spans="3:3" customFormat="1" ht="15.75" customHeight="1" x14ac:dyDescent="0.2">
      <c r="C721" s="9"/>
    </row>
    <row r="722" spans="3:3" customFormat="1" ht="15.75" customHeight="1" x14ac:dyDescent="0.2">
      <c r="C722" s="9"/>
    </row>
    <row r="723" spans="3:3" customFormat="1" ht="15.75" customHeight="1" x14ac:dyDescent="0.2">
      <c r="C723" s="9"/>
    </row>
    <row r="724" spans="3:3" customFormat="1" ht="15.75" customHeight="1" x14ac:dyDescent="0.2">
      <c r="C724" s="9"/>
    </row>
    <row r="725" spans="3:3" customFormat="1" ht="15.75" customHeight="1" x14ac:dyDescent="0.2">
      <c r="C725" s="9"/>
    </row>
    <row r="726" spans="3:3" customFormat="1" ht="15.75" customHeight="1" x14ac:dyDescent="0.2">
      <c r="C726" s="9"/>
    </row>
    <row r="727" spans="3:3" customFormat="1" ht="15.75" customHeight="1" x14ac:dyDescent="0.2">
      <c r="C727" s="9"/>
    </row>
    <row r="728" spans="3:3" customFormat="1" ht="15.75" customHeight="1" x14ac:dyDescent="0.2">
      <c r="C728" s="9"/>
    </row>
    <row r="729" spans="3:3" customFormat="1" ht="15.75" customHeight="1" x14ac:dyDescent="0.2">
      <c r="C729" s="9"/>
    </row>
    <row r="730" spans="3:3" customFormat="1" ht="15.75" customHeight="1" x14ac:dyDescent="0.2">
      <c r="C730" s="9"/>
    </row>
    <row r="731" spans="3:3" customFormat="1" ht="15.75" customHeight="1" x14ac:dyDescent="0.2">
      <c r="C731" s="9"/>
    </row>
    <row r="732" spans="3:3" customFormat="1" ht="15.75" customHeight="1" x14ac:dyDescent="0.2">
      <c r="C732" s="9"/>
    </row>
    <row r="733" spans="3:3" customFormat="1" ht="15.75" customHeight="1" x14ac:dyDescent="0.2">
      <c r="C733" s="9"/>
    </row>
    <row r="734" spans="3:3" customFormat="1" ht="15.75" customHeight="1" x14ac:dyDescent="0.2">
      <c r="C734" s="9"/>
    </row>
    <row r="735" spans="3:3" customFormat="1" ht="15.75" customHeight="1" x14ac:dyDescent="0.2">
      <c r="C735" s="9"/>
    </row>
    <row r="736" spans="3:3" customFormat="1" ht="15.75" customHeight="1" x14ac:dyDescent="0.2">
      <c r="C736" s="9"/>
    </row>
    <row r="737" spans="3:3" customFormat="1" ht="15.75" customHeight="1" x14ac:dyDescent="0.2">
      <c r="C737" s="9"/>
    </row>
    <row r="738" spans="3:3" customFormat="1" ht="15.75" customHeight="1" x14ac:dyDescent="0.2">
      <c r="C738" s="9"/>
    </row>
    <row r="739" spans="3:3" customFormat="1" ht="15.75" customHeight="1" x14ac:dyDescent="0.2">
      <c r="C739" s="9"/>
    </row>
    <row r="740" spans="3:3" customFormat="1" ht="15.75" customHeight="1" x14ac:dyDescent="0.2">
      <c r="C740" s="9"/>
    </row>
    <row r="741" spans="3:3" customFormat="1" ht="15.75" customHeight="1" x14ac:dyDescent="0.2">
      <c r="C741" s="9"/>
    </row>
    <row r="742" spans="3:3" customFormat="1" ht="15.75" customHeight="1" x14ac:dyDescent="0.2">
      <c r="C742" s="9"/>
    </row>
    <row r="743" spans="3:3" customFormat="1" ht="15.75" customHeight="1" x14ac:dyDescent="0.2">
      <c r="C743" s="9"/>
    </row>
    <row r="744" spans="3:3" customFormat="1" ht="15.75" customHeight="1" x14ac:dyDescent="0.2">
      <c r="C744" s="9"/>
    </row>
  </sheetData>
  <mergeCells count="3">
    <mergeCell ref="A4:L4"/>
    <mergeCell ref="A5:L5"/>
    <mergeCell ref="P39:R39"/>
  </mergeCells>
  <phoneticPr fontId="14" type="noConversion"/>
  <pageMargins left="0.31496062992125984" right="0.19685039370078741" top="0.35433070866141736" bottom="0.39370078740157483" header="0.31496062992125984" footer="0.51181102362204722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0"/>
  <sheetViews>
    <sheetView zoomScaleNormal="100" zoomScaleSheetLayoutView="90" workbookViewId="0">
      <selection activeCell="A8" sqref="A8"/>
    </sheetView>
  </sheetViews>
  <sheetFormatPr defaultColWidth="0" defaultRowHeight="12.75" x14ac:dyDescent="0.2"/>
  <cols>
    <col min="1" max="1" width="95.140625" customWidth="1"/>
    <col min="2" max="2" width="9.28515625" style="9" customWidth="1"/>
    <col min="3" max="3" width="15" customWidth="1"/>
    <col min="4" max="4" width="9.28515625" customWidth="1"/>
    <col min="5" max="5" width="15.140625" customWidth="1"/>
    <col min="6" max="6" width="9.140625" hidden="1" customWidth="1"/>
    <col min="7" max="7" width="15.5703125" style="9" hidden="1" customWidth="1"/>
    <col min="8" max="8" width="9.140625" hidden="1" customWidth="1"/>
    <col min="9" max="9" width="14" hidden="1" customWidth="1"/>
    <col min="10" max="10" width="9.140625" hidden="1" customWidth="1"/>
    <col min="11" max="12" width="14" hidden="1" customWidth="1"/>
    <col min="13" max="13" width="13.42578125" style="9" customWidth="1"/>
    <col min="14" max="20" width="7.85546875" customWidth="1"/>
    <col min="21" max="226" width="9.140625" customWidth="1"/>
  </cols>
  <sheetData>
    <row r="1" spans="1:22" ht="15.75" customHeight="1" x14ac:dyDescent="0.2">
      <c r="A1" s="328"/>
      <c r="B1" s="579"/>
      <c r="D1" s="167"/>
      <c r="E1" s="167" t="s">
        <v>502</v>
      </c>
    </row>
    <row r="2" spans="1:22" x14ac:dyDescent="0.2">
      <c r="A2" s="328"/>
      <c r="B2" s="579"/>
      <c r="D2" s="171"/>
      <c r="E2" s="171" t="str">
        <f>'1.Bev-kiad.'!F2</f>
        <v>a 12/2026.(X.2.) önkormányzati rendelethez</v>
      </c>
    </row>
    <row r="3" spans="1:22" ht="15.75" customHeight="1" x14ac:dyDescent="0.2">
      <c r="A3" s="328"/>
      <c r="B3" s="579"/>
      <c r="D3" s="171"/>
      <c r="E3" s="171" t="s">
        <v>1138</v>
      </c>
      <c r="K3" s="171"/>
    </row>
    <row r="4" spans="1:22" ht="19.5" x14ac:dyDescent="0.2">
      <c r="A4" s="768" t="s">
        <v>354</v>
      </c>
      <c r="B4" s="768"/>
      <c r="C4" s="768"/>
      <c r="D4" s="768"/>
      <c r="E4" s="768"/>
      <c r="F4" s="768"/>
      <c r="G4" s="768"/>
      <c r="H4" s="768"/>
      <c r="I4" s="768"/>
      <c r="J4" s="768"/>
      <c r="K4" s="768"/>
      <c r="L4" s="286"/>
    </row>
    <row r="5" spans="1:22" ht="19.5" customHeight="1" x14ac:dyDescent="0.35">
      <c r="A5" s="769" t="s">
        <v>1024</v>
      </c>
      <c r="B5" s="769"/>
      <c r="C5" s="769"/>
      <c r="D5" s="769"/>
      <c r="E5" s="769"/>
      <c r="F5" s="769"/>
      <c r="G5" s="769"/>
      <c r="H5" s="769"/>
      <c r="I5" s="769"/>
      <c r="J5" s="769"/>
      <c r="K5" s="769"/>
      <c r="L5" s="218"/>
    </row>
    <row r="6" spans="1:22" ht="5.25" customHeight="1" x14ac:dyDescent="0.2">
      <c r="A6" s="51"/>
      <c r="B6" s="580"/>
      <c r="C6" s="52"/>
      <c r="D6" s="52"/>
      <c r="E6" s="52"/>
      <c r="F6" s="52"/>
      <c r="G6" s="326"/>
      <c r="H6" s="52"/>
      <c r="I6" s="52"/>
      <c r="J6" s="52"/>
      <c r="K6" s="52"/>
      <c r="L6" s="52"/>
    </row>
    <row r="7" spans="1:22" ht="13.5" thickBot="1" x14ac:dyDescent="0.25">
      <c r="A7" s="51"/>
      <c r="B7" s="580"/>
      <c r="D7" s="167"/>
      <c r="E7" s="167" t="s">
        <v>0</v>
      </c>
    </row>
    <row r="8" spans="1:22" s="4" customFormat="1" ht="64.5" customHeight="1" thickBot="1" x14ac:dyDescent="0.3">
      <c r="A8" s="42" t="s">
        <v>13</v>
      </c>
      <c r="B8" s="538" t="str">
        <f>'1.Bev-kiad.'!C8</f>
        <v>2025. évi teljesítés</v>
      </c>
      <c r="C8" s="43" t="str">
        <f>'1.Bev-kiad.'!D8</f>
        <v xml:space="preserve">2026. évi eredeti előirányzat </v>
      </c>
      <c r="D8" s="532" t="s">
        <v>910</v>
      </c>
      <c r="E8" s="43" t="str">
        <f>'1.Bev-kiad.'!F8</f>
        <v>Módosított előirányzat 2026.10.havi</v>
      </c>
      <c r="F8" s="532" t="s">
        <v>910</v>
      </c>
      <c r="G8" s="43">
        <f>'1.Bev-kiad.'!H8</f>
        <v>0</v>
      </c>
      <c r="H8" s="532" t="s">
        <v>910</v>
      </c>
      <c r="I8" s="43">
        <f>'1.Bev-kiad.'!J8</f>
        <v>0</v>
      </c>
      <c r="J8" s="532" t="s">
        <v>910</v>
      </c>
      <c r="K8" s="43">
        <f>'1.Bev-kiad.'!L8</f>
        <v>0</v>
      </c>
      <c r="L8" s="44">
        <f>'1.Bev-kiad.'!M8</f>
        <v>0</v>
      </c>
      <c r="M8" s="284"/>
      <c r="R8"/>
      <c r="S8"/>
      <c r="T8"/>
      <c r="U8"/>
      <c r="V8"/>
    </row>
    <row r="9" spans="1:22" s="4" customFormat="1" ht="18" customHeight="1" x14ac:dyDescent="0.25">
      <c r="A9" s="236" t="s">
        <v>771</v>
      </c>
      <c r="B9" s="557">
        <f>SUM(B10+B33)</f>
        <v>433383</v>
      </c>
      <c r="C9" s="237">
        <f>SUM(C10+C33)</f>
        <v>493839</v>
      </c>
      <c r="D9" s="533">
        <f>E9-C9</f>
        <v>7859</v>
      </c>
      <c r="E9" s="237">
        <f>SUM(E10+E33)</f>
        <v>501698</v>
      </c>
      <c r="F9" s="533">
        <f>G9-E9</f>
        <v>-501698</v>
      </c>
      <c r="G9" s="237">
        <f>SUM(G10+G33)</f>
        <v>0</v>
      </c>
      <c r="H9" s="533">
        <f>I9-G9</f>
        <v>0</v>
      </c>
      <c r="I9" s="237">
        <f>SUM(I10+I33)</f>
        <v>0</v>
      </c>
      <c r="J9" s="533">
        <f>K9-I9</f>
        <v>0</v>
      </c>
      <c r="K9" s="237">
        <f>SUM(K10+K33)</f>
        <v>0</v>
      </c>
      <c r="L9" s="237">
        <f>SUM(L10+L33)</f>
        <v>0</v>
      </c>
      <c r="M9" s="285"/>
      <c r="N9" s="35"/>
      <c r="O9" s="35"/>
      <c r="P9" s="35"/>
      <c r="Q9" s="35"/>
      <c r="R9"/>
      <c r="S9"/>
      <c r="T9"/>
      <c r="U9"/>
      <c r="V9"/>
    </row>
    <row r="10" spans="1:22" s="4" customFormat="1" ht="14.25" customHeight="1" x14ac:dyDescent="0.25">
      <c r="A10" s="17" t="s">
        <v>3</v>
      </c>
      <c r="B10" s="541">
        <f>SUM(B11+B18)</f>
        <v>433383</v>
      </c>
      <c r="C10" s="5">
        <f>SUM(C11+C18)</f>
        <v>493639</v>
      </c>
      <c r="D10" s="533">
        <f t="shared" ref="D10:D18" si="0">E10-C10</f>
        <v>7859</v>
      </c>
      <c r="E10" s="5">
        <f>SUM(E11+E18)</f>
        <v>501498</v>
      </c>
      <c r="F10" s="533">
        <f t="shared" ref="F10:J68" si="1">G10-E10</f>
        <v>-501498</v>
      </c>
      <c r="G10" s="5">
        <f>SUM(G11+G18)</f>
        <v>0</v>
      </c>
      <c r="H10" s="533">
        <f t="shared" si="1"/>
        <v>0</v>
      </c>
      <c r="I10" s="5">
        <f>SUM(I11+I18)</f>
        <v>0</v>
      </c>
      <c r="J10" s="533">
        <f t="shared" si="1"/>
        <v>0</v>
      </c>
      <c r="K10" s="5">
        <f>SUM(K11+K18)</f>
        <v>0</v>
      </c>
      <c r="L10" s="5">
        <f>SUM(L11+L18)</f>
        <v>0</v>
      </c>
      <c r="M10" s="285"/>
      <c r="N10" s="35"/>
      <c r="O10" s="35"/>
      <c r="P10" s="35"/>
      <c r="Q10" s="35"/>
      <c r="R10"/>
      <c r="S10"/>
      <c r="T10"/>
      <c r="U10"/>
      <c r="V10"/>
    </row>
    <row r="11" spans="1:22" s="4" customFormat="1" ht="14.25" customHeight="1" x14ac:dyDescent="0.25">
      <c r="A11" s="17" t="s">
        <v>360</v>
      </c>
      <c r="B11" s="541">
        <f>SUM(B12:B17)</f>
        <v>415477</v>
      </c>
      <c r="C11" s="5">
        <f>SUM(C12:C17)</f>
        <v>473974</v>
      </c>
      <c r="D11" s="533">
        <f t="shared" si="0"/>
        <v>7859</v>
      </c>
      <c r="E11" s="5">
        <f>SUM(E12:E17)</f>
        <v>481833</v>
      </c>
      <c r="F11" s="533">
        <f t="shared" si="1"/>
        <v>-481833</v>
      </c>
      <c r="G11" s="5">
        <f>SUM(G12:G17)</f>
        <v>0</v>
      </c>
      <c r="H11" s="533">
        <f t="shared" si="1"/>
        <v>0</v>
      </c>
      <c r="I11" s="5">
        <f>SUM(I12:I17)</f>
        <v>0</v>
      </c>
      <c r="J11" s="533">
        <f t="shared" si="1"/>
        <v>0</v>
      </c>
      <c r="K11" s="5">
        <f>SUM(K12:K17)</f>
        <v>0</v>
      </c>
      <c r="L11" s="5">
        <f>SUM(L12:L17)</f>
        <v>0</v>
      </c>
      <c r="M11" s="285"/>
      <c r="N11" s="35"/>
      <c r="O11" s="35"/>
      <c r="P11" s="35"/>
      <c r="Q11" s="35"/>
      <c r="R11"/>
      <c r="S11"/>
      <c r="T11"/>
      <c r="U11"/>
      <c r="V11"/>
    </row>
    <row r="12" spans="1:22" s="4" customFormat="1" ht="14.25" customHeight="1" x14ac:dyDescent="0.25">
      <c r="A12" s="15" t="s">
        <v>292</v>
      </c>
      <c r="B12" s="166">
        <v>160596</v>
      </c>
      <c r="C12" s="13">
        <f>SUM('2.működés'!D25)+'2.működés'!D54</f>
        <v>174219</v>
      </c>
      <c r="D12" s="533">
        <f t="shared" si="0"/>
        <v>1245</v>
      </c>
      <c r="E12" s="13">
        <f>SUM('2.működés'!F25)</f>
        <v>175464</v>
      </c>
      <c r="F12" s="533">
        <f t="shared" si="1"/>
        <v>-175464</v>
      </c>
      <c r="G12" s="13">
        <f>SUM('2.működés'!H25)</f>
        <v>0</v>
      </c>
      <c r="H12" s="533">
        <f t="shared" si="1"/>
        <v>0</v>
      </c>
      <c r="I12" s="13">
        <f>SUM('2.működés'!J25)</f>
        <v>0</v>
      </c>
      <c r="J12" s="533">
        <f t="shared" si="1"/>
        <v>0</v>
      </c>
      <c r="K12" s="13">
        <f>SUM('2.működés'!L25)</f>
        <v>0</v>
      </c>
      <c r="L12" s="13">
        <f>SUM('2.működés'!M25)</f>
        <v>0</v>
      </c>
      <c r="M12" s="285"/>
      <c r="N12" s="35"/>
      <c r="O12" s="35"/>
      <c r="P12" s="35"/>
      <c r="Q12" s="35"/>
      <c r="R12"/>
      <c r="S12"/>
      <c r="T12"/>
      <c r="U12"/>
      <c r="V12"/>
    </row>
    <row r="13" spans="1:22" s="4" customFormat="1" ht="14.25" customHeight="1" x14ac:dyDescent="0.25">
      <c r="A13" s="15" t="s">
        <v>829</v>
      </c>
      <c r="B13" s="166">
        <v>34834</v>
      </c>
      <c r="C13" s="13">
        <f>'2.működés'!D35</f>
        <v>39912</v>
      </c>
      <c r="D13" s="533">
        <f t="shared" si="0"/>
        <v>111</v>
      </c>
      <c r="E13" s="13">
        <f>'2.működés'!F35</f>
        <v>40023</v>
      </c>
      <c r="F13" s="533">
        <f t="shared" si="1"/>
        <v>-40023</v>
      </c>
      <c r="G13" s="13">
        <f>'2.működés'!H35</f>
        <v>0</v>
      </c>
      <c r="H13" s="533">
        <f t="shared" si="1"/>
        <v>0</v>
      </c>
      <c r="I13" s="13">
        <f>'2.működés'!J35</f>
        <v>0</v>
      </c>
      <c r="J13" s="533">
        <f t="shared" si="1"/>
        <v>0</v>
      </c>
      <c r="K13" s="13">
        <f>'2.működés'!L35</f>
        <v>0</v>
      </c>
      <c r="L13" s="13">
        <f>'2.működés'!M35</f>
        <v>0</v>
      </c>
      <c r="M13" s="285"/>
      <c r="N13" s="35"/>
      <c r="O13" s="35"/>
      <c r="P13" s="35"/>
      <c r="Q13" s="35"/>
      <c r="R13"/>
      <c r="S13"/>
      <c r="T13"/>
      <c r="U13"/>
      <c r="V13"/>
    </row>
    <row r="14" spans="1:22" s="4" customFormat="1" ht="14.25" customHeight="1" x14ac:dyDescent="0.25">
      <c r="A14" s="15" t="s">
        <v>401</v>
      </c>
      <c r="B14" s="166">
        <v>72913</v>
      </c>
      <c r="C14" s="13">
        <f>SUM('2.működés'!D38)</f>
        <v>85244</v>
      </c>
      <c r="D14" s="533">
        <f t="shared" si="0"/>
        <v>0</v>
      </c>
      <c r="E14" s="13">
        <f>SUM('2.működés'!F38)</f>
        <v>85244</v>
      </c>
      <c r="F14" s="533">
        <f t="shared" si="1"/>
        <v>-85244</v>
      </c>
      <c r="G14" s="13">
        <f>SUM('2.működés'!H38)</f>
        <v>0</v>
      </c>
      <c r="H14" s="533">
        <f t="shared" si="1"/>
        <v>0</v>
      </c>
      <c r="I14" s="13">
        <f>SUM('2.működés'!J38)</f>
        <v>0</v>
      </c>
      <c r="J14" s="533">
        <f t="shared" si="1"/>
        <v>0</v>
      </c>
      <c r="K14" s="13">
        <f>SUM('2.működés'!L38)</f>
        <v>0</v>
      </c>
      <c r="L14" s="13">
        <f>SUM('2.működés'!M38)</f>
        <v>0</v>
      </c>
      <c r="M14" s="285"/>
      <c r="N14" s="35"/>
      <c r="O14" s="35"/>
      <c r="P14" s="35"/>
      <c r="Q14" s="35"/>
      <c r="R14"/>
      <c r="S14"/>
      <c r="T14"/>
      <c r="U14"/>
      <c r="V14"/>
    </row>
    <row r="15" spans="1:22" s="4" customFormat="1" ht="15" customHeight="1" x14ac:dyDescent="0.25">
      <c r="A15" s="15" t="s">
        <v>402</v>
      </c>
      <c r="B15" s="166">
        <v>130515</v>
      </c>
      <c r="C15" s="13">
        <f>SUM('2.működés'!D29+'2.működés'!D32+1)</f>
        <v>143821</v>
      </c>
      <c r="D15" s="533">
        <f t="shared" si="0"/>
        <v>6503</v>
      </c>
      <c r="E15" s="13">
        <f>SUM('2.működés'!F29+'2.működés'!F32+1)</f>
        <v>150324</v>
      </c>
      <c r="F15" s="533">
        <f t="shared" si="1"/>
        <v>-150324</v>
      </c>
      <c r="G15" s="13">
        <f>SUM('2.működés'!H29+'2.működés'!H32)</f>
        <v>0</v>
      </c>
      <c r="H15" s="533">
        <f t="shared" si="1"/>
        <v>0</v>
      </c>
      <c r="I15" s="13">
        <f>SUM('2.működés'!J29+'2.működés'!J32)</f>
        <v>0</v>
      </c>
      <c r="J15" s="533">
        <f t="shared" si="1"/>
        <v>0</v>
      </c>
      <c r="K15" s="13">
        <f>SUM('2.működés'!L29+'2.működés'!L32)</f>
        <v>0</v>
      </c>
      <c r="L15" s="13">
        <f>SUM('2.működés'!M29+'2.működés'!M32)</f>
        <v>0</v>
      </c>
      <c r="M15" s="285"/>
      <c r="N15" s="35"/>
      <c r="O15" s="35"/>
      <c r="P15" s="35"/>
      <c r="Q15" s="35"/>
      <c r="R15"/>
      <c r="S15"/>
      <c r="T15"/>
      <c r="U15"/>
      <c r="V15"/>
    </row>
    <row r="16" spans="1:22" s="4" customFormat="1" ht="15" customHeight="1" x14ac:dyDescent="0.25">
      <c r="A16" s="15" t="s">
        <v>689</v>
      </c>
      <c r="B16" s="166">
        <v>16402</v>
      </c>
      <c r="C16" s="13">
        <f>'2.működés'!D57</f>
        <v>28483</v>
      </c>
      <c r="D16" s="533">
        <f t="shared" si="0"/>
        <v>0</v>
      </c>
      <c r="E16" s="13">
        <f>'2.működés'!F36</f>
        <v>28483</v>
      </c>
      <c r="F16" s="533">
        <f t="shared" si="1"/>
        <v>-28483</v>
      </c>
      <c r="G16" s="13">
        <f>'2.működés'!H36</f>
        <v>0</v>
      </c>
      <c r="H16" s="533">
        <f t="shared" si="1"/>
        <v>0</v>
      </c>
      <c r="I16" s="13">
        <f>'2.működés'!J36</f>
        <v>0</v>
      </c>
      <c r="J16" s="533">
        <f t="shared" si="1"/>
        <v>0</v>
      </c>
      <c r="K16" s="13">
        <f>'2.működés'!L36</f>
        <v>0</v>
      </c>
      <c r="L16" s="13">
        <f>'2.működés'!M36</f>
        <v>0</v>
      </c>
      <c r="M16" s="285"/>
      <c r="N16" s="35"/>
      <c r="O16" s="35"/>
      <c r="P16" s="35"/>
      <c r="Q16" s="35"/>
      <c r="R16"/>
      <c r="S16"/>
      <c r="T16"/>
      <c r="U16"/>
      <c r="V16"/>
    </row>
    <row r="17" spans="1:22" s="4" customFormat="1" ht="15" customHeight="1" x14ac:dyDescent="0.25">
      <c r="A17" s="15" t="s">
        <v>1095</v>
      </c>
      <c r="B17" s="166">
        <v>217</v>
      </c>
      <c r="C17" s="13">
        <v>2295</v>
      </c>
      <c r="D17" s="533">
        <f t="shared" si="0"/>
        <v>0</v>
      </c>
      <c r="E17" s="13">
        <v>2295</v>
      </c>
      <c r="F17" s="533">
        <f t="shared" si="1"/>
        <v>-2295</v>
      </c>
      <c r="G17" s="13">
        <v>0</v>
      </c>
      <c r="H17" s="533">
        <f t="shared" si="1"/>
        <v>0</v>
      </c>
      <c r="I17" s="13">
        <v>0</v>
      </c>
      <c r="J17" s="533">
        <f t="shared" si="1"/>
        <v>0</v>
      </c>
      <c r="K17" s="13">
        <v>0</v>
      </c>
      <c r="L17" s="13">
        <v>0</v>
      </c>
      <c r="M17" s="285"/>
      <c r="N17" s="35"/>
      <c r="O17" s="35"/>
      <c r="P17" s="35"/>
      <c r="Q17" s="35"/>
      <c r="R17"/>
      <c r="S17"/>
      <c r="T17"/>
      <c r="U17"/>
      <c r="V17"/>
    </row>
    <row r="18" spans="1:22" s="4" customFormat="1" ht="28.5" customHeight="1" x14ac:dyDescent="0.25">
      <c r="A18" s="212" t="s">
        <v>371</v>
      </c>
      <c r="B18" s="541">
        <f t="shared" ref="B18" si="2">SUM(B19+B30+B31+B32)</f>
        <v>17906</v>
      </c>
      <c r="C18" s="5">
        <f t="shared" ref="C18" si="3">SUM(C19+C30+C31+C32)</f>
        <v>19665</v>
      </c>
      <c r="D18" s="533">
        <f t="shared" si="0"/>
        <v>0</v>
      </c>
      <c r="E18" s="5">
        <f t="shared" ref="E18" si="4">SUM(E19+E30+E31+E32)</f>
        <v>19665</v>
      </c>
      <c r="F18" s="533">
        <f t="shared" si="1"/>
        <v>-19665</v>
      </c>
      <c r="G18" s="5">
        <f t="shared" ref="G18" si="5">SUM(G19+G30+G31+G32)</f>
        <v>0</v>
      </c>
      <c r="H18" s="533">
        <f t="shared" si="1"/>
        <v>0</v>
      </c>
      <c r="I18" s="5">
        <f t="shared" ref="I18" si="6">SUM(I19+I30+I31+I32)</f>
        <v>0</v>
      </c>
      <c r="J18" s="533">
        <f t="shared" si="1"/>
        <v>0</v>
      </c>
      <c r="K18" s="5">
        <f t="shared" ref="K18:L18" si="7">SUM(K19+K30+K31+K32)</f>
        <v>0</v>
      </c>
      <c r="L18" s="5">
        <f t="shared" si="7"/>
        <v>0</v>
      </c>
      <c r="M18" s="285"/>
      <c r="N18" s="35"/>
      <c r="O18" s="35"/>
      <c r="P18" s="35"/>
      <c r="Q18" s="35"/>
      <c r="R18"/>
      <c r="S18"/>
      <c r="T18"/>
      <c r="U18"/>
      <c r="V18"/>
    </row>
    <row r="19" spans="1:22" s="4" customFormat="1" ht="14.25" customHeight="1" x14ac:dyDescent="0.25">
      <c r="A19" s="15" t="s">
        <v>842</v>
      </c>
      <c r="B19" s="770">
        <v>17306</v>
      </c>
      <c r="C19" s="765">
        <v>19098</v>
      </c>
      <c r="D19" s="773">
        <f>E19-C19</f>
        <v>0</v>
      </c>
      <c r="E19" s="765">
        <v>19098</v>
      </c>
      <c r="F19" s="773">
        <f t="shared" si="1"/>
        <v>-19098</v>
      </c>
      <c r="G19" s="765">
        <v>0</v>
      </c>
      <c r="H19" s="773">
        <f t="shared" si="1"/>
        <v>0</v>
      </c>
      <c r="I19" s="765">
        <v>0</v>
      </c>
      <c r="J19" s="773">
        <f t="shared" si="1"/>
        <v>0</v>
      </c>
      <c r="K19" s="765">
        <v>0</v>
      </c>
      <c r="L19" s="765">
        <v>0</v>
      </c>
      <c r="M19" s="285"/>
      <c r="N19" s="35"/>
      <c r="O19" s="35"/>
      <c r="P19" s="35"/>
      <c r="Q19" s="35"/>
      <c r="R19"/>
      <c r="S19"/>
      <c r="T19"/>
      <c r="U19"/>
      <c r="V19"/>
    </row>
    <row r="20" spans="1:22" s="4" customFormat="1" ht="14.25" customHeight="1" x14ac:dyDescent="0.25">
      <c r="A20" s="15" t="s">
        <v>14</v>
      </c>
      <c r="B20" s="771"/>
      <c r="C20" s="766"/>
      <c r="D20" s="774"/>
      <c r="E20" s="766"/>
      <c r="F20" s="774">
        <f t="shared" si="1"/>
        <v>0</v>
      </c>
      <c r="G20" s="766"/>
      <c r="H20" s="774">
        <f t="shared" si="1"/>
        <v>0</v>
      </c>
      <c r="I20" s="766"/>
      <c r="J20" s="774">
        <f t="shared" si="1"/>
        <v>0</v>
      </c>
      <c r="K20" s="766"/>
      <c r="L20" s="766"/>
      <c r="M20" s="285"/>
      <c r="N20" s="35"/>
      <c r="O20" s="35"/>
      <c r="P20" s="35"/>
      <c r="Q20" s="35"/>
      <c r="R20"/>
      <c r="S20"/>
      <c r="T20"/>
      <c r="U20"/>
      <c r="V20"/>
    </row>
    <row r="21" spans="1:22" s="4" customFormat="1" ht="14.25" hidden="1" customHeight="1" x14ac:dyDescent="0.25">
      <c r="A21" s="20" t="s">
        <v>15</v>
      </c>
      <c r="B21" s="771"/>
      <c r="C21" s="766"/>
      <c r="D21" s="774"/>
      <c r="E21" s="766"/>
      <c r="F21" s="774">
        <f t="shared" si="1"/>
        <v>0</v>
      </c>
      <c r="G21" s="766"/>
      <c r="H21" s="774">
        <f t="shared" si="1"/>
        <v>0</v>
      </c>
      <c r="I21" s="766"/>
      <c r="J21" s="774">
        <f t="shared" si="1"/>
        <v>0</v>
      </c>
      <c r="K21" s="766"/>
      <c r="L21" s="766"/>
      <c r="M21" s="285"/>
      <c r="N21" s="35"/>
      <c r="O21" s="35"/>
      <c r="P21" s="35"/>
      <c r="Q21" s="35"/>
      <c r="R21"/>
      <c r="S21"/>
      <c r="T21"/>
      <c r="U21"/>
      <c r="V21"/>
    </row>
    <row r="22" spans="1:22" s="4" customFormat="1" ht="14.25" hidden="1" customHeight="1" x14ac:dyDescent="0.25">
      <c r="A22" s="409" t="s">
        <v>16</v>
      </c>
      <c r="B22" s="771"/>
      <c r="C22" s="766"/>
      <c r="D22" s="774"/>
      <c r="E22" s="766"/>
      <c r="F22" s="774">
        <f t="shared" si="1"/>
        <v>0</v>
      </c>
      <c r="G22" s="766"/>
      <c r="H22" s="774">
        <f t="shared" si="1"/>
        <v>0</v>
      </c>
      <c r="I22" s="766"/>
      <c r="J22" s="774">
        <f t="shared" si="1"/>
        <v>0</v>
      </c>
      <c r="K22" s="766"/>
      <c r="L22" s="766"/>
      <c r="M22" s="285"/>
      <c r="N22" s="35"/>
      <c r="O22" s="35"/>
      <c r="P22" s="35"/>
      <c r="Q22" s="35"/>
      <c r="R22"/>
      <c r="S22"/>
      <c r="T22"/>
      <c r="U22"/>
      <c r="V22"/>
    </row>
    <row r="23" spans="1:22" s="4" customFormat="1" ht="14.25" customHeight="1" x14ac:dyDescent="0.25">
      <c r="A23" s="15" t="s">
        <v>407</v>
      </c>
      <c r="B23" s="771"/>
      <c r="C23" s="766"/>
      <c r="D23" s="774"/>
      <c r="E23" s="766"/>
      <c r="F23" s="774">
        <f t="shared" si="1"/>
        <v>0</v>
      </c>
      <c r="G23" s="766"/>
      <c r="H23" s="774">
        <f t="shared" si="1"/>
        <v>0</v>
      </c>
      <c r="I23" s="766"/>
      <c r="J23" s="774">
        <f t="shared" si="1"/>
        <v>0</v>
      </c>
      <c r="K23" s="766"/>
      <c r="L23" s="766"/>
      <c r="M23" s="285"/>
      <c r="N23" s="35"/>
      <c r="O23" s="35"/>
      <c r="P23" s="35"/>
      <c r="Q23" s="35"/>
      <c r="R23"/>
      <c r="S23"/>
      <c r="T23"/>
      <c r="U23"/>
      <c r="V23"/>
    </row>
    <row r="24" spans="1:22" s="4" customFormat="1" ht="14.25" customHeight="1" x14ac:dyDescent="0.25">
      <c r="A24" s="15" t="s">
        <v>17</v>
      </c>
      <c r="B24" s="771"/>
      <c r="C24" s="766"/>
      <c r="D24" s="774"/>
      <c r="E24" s="766"/>
      <c r="F24" s="774">
        <f t="shared" si="1"/>
        <v>0</v>
      </c>
      <c r="G24" s="766"/>
      <c r="H24" s="774">
        <f t="shared" si="1"/>
        <v>0</v>
      </c>
      <c r="I24" s="766"/>
      <c r="J24" s="774">
        <f t="shared" si="1"/>
        <v>0</v>
      </c>
      <c r="K24" s="766"/>
      <c r="L24" s="766"/>
      <c r="M24" s="285"/>
      <c r="N24" s="35"/>
      <c r="O24" s="35"/>
      <c r="P24" s="35"/>
      <c r="Q24" s="35"/>
      <c r="R24"/>
      <c r="S24"/>
      <c r="T24"/>
      <c r="U24"/>
      <c r="V24"/>
    </row>
    <row r="25" spans="1:22" s="4" customFormat="1" ht="18" hidden="1" customHeight="1" x14ac:dyDescent="0.25">
      <c r="A25" s="15" t="s">
        <v>18</v>
      </c>
      <c r="B25" s="771"/>
      <c r="C25" s="766"/>
      <c r="D25" s="774"/>
      <c r="E25" s="766"/>
      <c r="F25" s="774">
        <f t="shared" si="1"/>
        <v>0</v>
      </c>
      <c r="G25" s="766"/>
      <c r="H25" s="774">
        <f t="shared" si="1"/>
        <v>0</v>
      </c>
      <c r="I25" s="766"/>
      <c r="J25" s="774">
        <f t="shared" si="1"/>
        <v>0</v>
      </c>
      <c r="K25" s="766"/>
      <c r="L25" s="766"/>
      <c r="M25" s="285"/>
      <c r="N25" s="35"/>
      <c r="O25" s="35"/>
      <c r="P25" s="35"/>
      <c r="Q25" s="35"/>
      <c r="R25"/>
      <c r="S25"/>
      <c r="T25"/>
      <c r="U25"/>
      <c r="V25"/>
    </row>
    <row r="26" spans="1:22" s="4" customFormat="1" ht="14.25" customHeight="1" x14ac:dyDescent="0.25">
      <c r="A26" s="11" t="s">
        <v>19</v>
      </c>
      <c r="B26" s="771"/>
      <c r="C26" s="766"/>
      <c r="D26" s="774"/>
      <c r="E26" s="766"/>
      <c r="F26" s="774">
        <f t="shared" si="1"/>
        <v>0</v>
      </c>
      <c r="G26" s="766"/>
      <c r="H26" s="774">
        <f t="shared" si="1"/>
        <v>0</v>
      </c>
      <c r="I26" s="766"/>
      <c r="J26" s="774">
        <f t="shared" si="1"/>
        <v>0</v>
      </c>
      <c r="K26" s="766"/>
      <c r="L26" s="766"/>
      <c r="M26" s="285"/>
      <c r="N26" s="35"/>
      <c r="O26" s="35"/>
      <c r="P26" s="35"/>
      <c r="Q26" s="35"/>
      <c r="R26"/>
      <c r="S26"/>
      <c r="T26"/>
      <c r="U26"/>
      <c r="V26"/>
    </row>
    <row r="27" spans="1:22" s="4" customFormat="1" ht="14.25" customHeight="1" x14ac:dyDescent="0.25">
      <c r="A27" s="15" t="s">
        <v>20</v>
      </c>
      <c r="B27" s="771"/>
      <c r="C27" s="766"/>
      <c r="D27" s="774"/>
      <c r="E27" s="766"/>
      <c r="F27" s="774">
        <f t="shared" si="1"/>
        <v>0</v>
      </c>
      <c r="G27" s="766"/>
      <c r="H27" s="774">
        <f t="shared" si="1"/>
        <v>0</v>
      </c>
      <c r="I27" s="766"/>
      <c r="J27" s="774">
        <f t="shared" si="1"/>
        <v>0</v>
      </c>
      <c r="K27" s="766"/>
      <c r="L27" s="766"/>
      <c r="M27" s="285"/>
      <c r="N27" s="35"/>
      <c r="O27" s="35"/>
      <c r="P27" s="35"/>
      <c r="Q27" s="35"/>
      <c r="R27"/>
      <c r="S27"/>
      <c r="T27"/>
      <c r="U27"/>
      <c r="V27"/>
    </row>
    <row r="28" spans="1:22" s="4" customFormat="1" ht="14.25" customHeight="1" x14ac:dyDescent="0.25">
      <c r="A28" s="15" t="s">
        <v>21</v>
      </c>
      <c r="B28" s="772"/>
      <c r="C28" s="767"/>
      <c r="D28" s="775"/>
      <c r="E28" s="767"/>
      <c r="F28" s="775">
        <f t="shared" si="1"/>
        <v>0</v>
      </c>
      <c r="G28" s="767"/>
      <c r="H28" s="775">
        <f t="shared" si="1"/>
        <v>0</v>
      </c>
      <c r="I28" s="767"/>
      <c r="J28" s="775">
        <f t="shared" si="1"/>
        <v>0</v>
      </c>
      <c r="K28" s="767"/>
      <c r="L28" s="767"/>
      <c r="M28" s="285"/>
      <c r="N28" s="35"/>
      <c r="O28" s="35"/>
      <c r="P28" s="35"/>
      <c r="Q28" s="35"/>
      <c r="R28"/>
      <c r="S28"/>
      <c r="T28"/>
      <c r="U28"/>
      <c r="V28"/>
    </row>
    <row r="29" spans="1:22" s="4" customFormat="1" ht="14.25" hidden="1" customHeight="1" x14ac:dyDescent="0.25">
      <c r="A29" s="15" t="s">
        <v>678</v>
      </c>
      <c r="B29" s="582"/>
      <c r="C29" s="480">
        <v>0</v>
      </c>
      <c r="D29" s="533"/>
      <c r="E29" s="480">
        <v>0</v>
      </c>
      <c r="F29" s="533">
        <f t="shared" si="1"/>
        <v>0</v>
      </c>
      <c r="G29" s="480">
        <v>0</v>
      </c>
      <c r="H29" s="533">
        <f t="shared" si="1"/>
        <v>0</v>
      </c>
      <c r="I29" s="480">
        <v>0</v>
      </c>
      <c r="J29" s="533">
        <f t="shared" si="1"/>
        <v>0</v>
      </c>
      <c r="K29" s="480">
        <v>0</v>
      </c>
      <c r="L29" s="480">
        <v>0</v>
      </c>
      <c r="M29" s="285"/>
      <c r="N29" s="35"/>
      <c r="O29" s="35"/>
      <c r="P29" s="35"/>
      <c r="Q29" s="35"/>
      <c r="R29"/>
      <c r="S29"/>
      <c r="T29"/>
      <c r="U29"/>
      <c r="V29"/>
    </row>
    <row r="30" spans="1:22" s="4" customFormat="1" ht="18" hidden="1" customHeight="1" x14ac:dyDescent="0.25">
      <c r="A30" s="15" t="s">
        <v>370</v>
      </c>
      <c r="B30" s="581"/>
      <c r="C30" s="481">
        <v>0</v>
      </c>
      <c r="D30" s="533"/>
      <c r="E30" s="481">
        <v>0</v>
      </c>
      <c r="F30" s="533">
        <f t="shared" si="1"/>
        <v>0</v>
      </c>
      <c r="G30" s="481">
        <v>0</v>
      </c>
      <c r="H30" s="533">
        <f t="shared" si="1"/>
        <v>0</v>
      </c>
      <c r="I30" s="481">
        <v>0</v>
      </c>
      <c r="J30" s="533">
        <f t="shared" si="1"/>
        <v>0</v>
      </c>
      <c r="K30" s="481">
        <v>0</v>
      </c>
      <c r="L30" s="481">
        <v>0</v>
      </c>
      <c r="M30" s="285"/>
      <c r="N30" s="35"/>
      <c r="O30" s="35"/>
      <c r="P30" s="35"/>
      <c r="Q30" s="35"/>
      <c r="R30"/>
      <c r="S30"/>
      <c r="T30"/>
      <c r="U30"/>
      <c r="V30"/>
    </row>
    <row r="31" spans="1:22" s="4" customFormat="1" ht="18" x14ac:dyDescent="0.25">
      <c r="A31" s="489" t="s">
        <v>1112</v>
      </c>
      <c r="B31" s="588">
        <v>600</v>
      </c>
      <c r="C31" s="157">
        <v>567</v>
      </c>
      <c r="D31" s="533">
        <f>E31-C31</f>
        <v>0</v>
      </c>
      <c r="E31" s="157">
        <v>567</v>
      </c>
      <c r="F31" s="533">
        <f t="shared" si="1"/>
        <v>-567</v>
      </c>
      <c r="G31" s="157">
        <v>0</v>
      </c>
      <c r="H31" s="533">
        <f t="shared" si="1"/>
        <v>0</v>
      </c>
      <c r="I31" s="157">
        <v>0</v>
      </c>
      <c r="J31" s="533">
        <f t="shared" si="1"/>
        <v>0</v>
      </c>
      <c r="K31" s="157">
        <v>0</v>
      </c>
      <c r="L31" s="157">
        <v>0</v>
      </c>
      <c r="M31" s="285"/>
      <c r="N31" s="35"/>
      <c r="O31" s="35"/>
      <c r="P31" s="35"/>
      <c r="Q31" s="35"/>
      <c r="R31"/>
      <c r="S31"/>
      <c r="T31"/>
      <c r="U31"/>
      <c r="V31"/>
    </row>
    <row r="32" spans="1:22" s="4" customFormat="1" ht="14.25" hidden="1" customHeight="1" x14ac:dyDescent="0.25">
      <c r="A32" s="8"/>
      <c r="B32" s="217"/>
      <c r="C32" s="13"/>
      <c r="D32" s="533">
        <f t="shared" ref="D32:D34" si="8">E32-C32</f>
        <v>0</v>
      </c>
      <c r="E32" s="13"/>
      <c r="F32" s="533">
        <f t="shared" si="1"/>
        <v>0</v>
      </c>
      <c r="G32" s="13"/>
      <c r="H32" s="533">
        <f t="shared" si="1"/>
        <v>0</v>
      </c>
      <c r="I32" s="13"/>
      <c r="J32" s="533">
        <f t="shared" si="1"/>
        <v>0</v>
      </c>
      <c r="K32" s="13"/>
      <c r="L32" s="13"/>
      <c r="M32" s="285"/>
      <c r="N32" s="35"/>
      <c r="O32" s="35"/>
      <c r="P32" s="35"/>
      <c r="Q32" s="35"/>
      <c r="R32"/>
      <c r="S32"/>
      <c r="T32"/>
      <c r="U32"/>
      <c r="V32"/>
    </row>
    <row r="33" spans="1:22" s="4" customFormat="1" ht="14.25" customHeight="1" x14ac:dyDescent="0.25">
      <c r="A33" s="17" t="s">
        <v>512</v>
      </c>
      <c r="B33" s="583">
        <f t="shared" ref="B33:L33" si="9">B34</f>
        <v>0</v>
      </c>
      <c r="C33" s="158">
        <f t="shared" si="9"/>
        <v>200</v>
      </c>
      <c r="D33" s="533">
        <f t="shared" si="8"/>
        <v>0</v>
      </c>
      <c r="E33" s="158">
        <f t="shared" si="9"/>
        <v>200</v>
      </c>
      <c r="F33" s="533">
        <f t="shared" si="1"/>
        <v>-200</v>
      </c>
      <c r="G33" s="158">
        <f t="shared" si="9"/>
        <v>0</v>
      </c>
      <c r="H33" s="533">
        <f t="shared" si="1"/>
        <v>0</v>
      </c>
      <c r="I33" s="158">
        <f t="shared" si="9"/>
        <v>0</v>
      </c>
      <c r="J33" s="533">
        <f t="shared" si="1"/>
        <v>0</v>
      </c>
      <c r="K33" s="158">
        <f t="shared" si="9"/>
        <v>0</v>
      </c>
      <c r="L33" s="158">
        <f t="shared" si="9"/>
        <v>0</v>
      </c>
      <c r="M33" s="285"/>
      <c r="N33" s="35"/>
      <c r="O33" s="35"/>
      <c r="P33" s="35"/>
      <c r="Q33" s="35"/>
      <c r="R33"/>
      <c r="S33"/>
      <c r="T33"/>
      <c r="U33"/>
      <c r="V33"/>
    </row>
    <row r="34" spans="1:22" s="4" customFormat="1" ht="14.25" customHeight="1" thickBot="1" x14ac:dyDescent="0.3">
      <c r="A34" s="8" t="s">
        <v>661</v>
      </c>
      <c r="B34" s="217">
        <v>0</v>
      </c>
      <c r="C34" s="13">
        <v>200</v>
      </c>
      <c r="D34" s="533">
        <f t="shared" si="8"/>
        <v>0</v>
      </c>
      <c r="E34" s="13">
        <v>200</v>
      </c>
      <c r="F34" s="533">
        <f t="shared" si="1"/>
        <v>-200</v>
      </c>
      <c r="G34" s="13">
        <v>0</v>
      </c>
      <c r="H34" s="533">
        <f t="shared" si="1"/>
        <v>0</v>
      </c>
      <c r="I34" s="13">
        <v>0</v>
      </c>
      <c r="J34" s="533">
        <f t="shared" si="1"/>
        <v>0</v>
      </c>
      <c r="K34" s="13">
        <v>0</v>
      </c>
      <c r="L34" s="13">
        <v>0</v>
      </c>
      <c r="M34" s="285"/>
      <c r="N34" s="35"/>
      <c r="O34" s="35"/>
      <c r="P34" s="35"/>
      <c r="Q34" s="35"/>
      <c r="R34"/>
      <c r="S34"/>
      <c r="T34"/>
      <c r="U34"/>
      <c r="V34"/>
    </row>
    <row r="35" spans="1:22" s="4" customFormat="1" ht="18" customHeight="1" thickBot="1" x14ac:dyDescent="0.3">
      <c r="A35" s="593" t="s">
        <v>770</v>
      </c>
      <c r="B35" s="594">
        <v>0</v>
      </c>
      <c r="C35" s="595">
        <v>0</v>
      </c>
      <c r="D35" s="595">
        <f>E35-C35</f>
        <v>0</v>
      </c>
      <c r="E35" s="595">
        <v>0</v>
      </c>
      <c r="F35" s="595">
        <f t="shared" si="1"/>
        <v>0</v>
      </c>
      <c r="G35" s="595">
        <v>0</v>
      </c>
      <c r="H35" s="595">
        <f t="shared" si="1"/>
        <v>0</v>
      </c>
      <c r="I35" s="595">
        <v>0</v>
      </c>
      <c r="J35" s="595">
        <f t="shared" si="1"/>
        <v>0</v>
      </c>
      <c r="K35" s="595">
        <v>0</v>
      </c>
      <c r="L35" s="595">
        <v>0</v>
      </c>
      <c r="M35" s="285"/>
      <c r="N35" s="35"/>
      <c r="O35" s="35"/>
      <c r="P35" s="35"/>
      <c r="Q35" s="35"/>
      <c r="R35"/>
      <c r="S35"/>
      <c r="T35"/>
      <c r="U35"/>
      <c r="V35"/>
    </row>
    <row r="36" spans="1:22" s="4" customFormat="1" ht="18.75" customHeight="1" thickBot="1" x14ac:dyDescent="0.3">
      <c r="A36" s="507" t="s">
        <v>772</v>
      </c>
      <c r="B36" s="584">
        <f>SUM(B37+B55+B57)</f>
        <v>256050</v>
      </c>
      <c r="C36" s="508">
        <f>SUM(C37+C55+C57)</f>
        <v>240650</v>
      </c>
      <c r="D36" s="508">
        <f>E36-C36</f>
        <v>4871</v>
      </c>
      <c r="E36" s="508">
        <f>SUM(E37+E55+E57)</f>
        <v>245521</v>
      </c>
      <c r="F36" s="508">
        <f t="shared" si="1"/>
        <v>-245521</v>
      </c>
      <c r="G36" s="508">
        <f>SUM(G37+G55+G57)</f>
        <v>0</v>
      </c>
      <c r="H36" s="508">
        <f t="shared" si="1"/>
        <v>0</v>
      </c>
      <c r="I36" s="508">
        <f>SUM(I37+I55+I57)</f>
        <v>0</v>
      </c>
      <c r="J36" s="508">
        <f t="shared" si="1"/>
        <v>0</v>
      </c>
      <c r="K36" s="508">
        <f>SUM(K37+K55+K57)</f>
        <v>0</v>
      </c>
      <c r="L36" s="508">
        <f>SUM(L37+L55+L57)</f>
        <v>0</v>
      </c>
      <c r="M36" s="285"/>
      <c r="N36" s="35"/>
      <c r="O36" s="35"/>
      <c r="P36" s="35"/>
      <c r="Q36" s="35"/>
      <c r="R36"/>
      <c r="S36"/>
      <c r="T36"/>
      <c r="U36"/>
      <c r="V36"/>
    </row>
    <row r="37" spans="1:22" s="4" customFormat="1" ht="14.25" customHeight="1" x14ac:dyDescent="0.25">
      <c r="A37" s="16" t="s">
        <v>4</v>
      </c>
      <c r="B37" s="585">
        <f>SUM(B39+B38+B47+B51+B52)+B54+B50+B46</f>
        <v>209122</v>
      </c>
      <c r="C37" s="39">
        <f>SUM(C39+C38+C47+C51+C53)+C54+C50+C46</f>
        <v>194637</v>
      </c>
      <c r="D37" s="533">
        <f>E37-C37</f>
        <v>3970</v>
      </c>
      <c r="E37" s="39">
        <f>SUM(E39+E38+E47+E51+E53)+E54+E50+E46</f>
        <v>198607</v>
      </c>
      <c r="F37" s="533">
        <f t="shared" si="1"/>
        <v>-198607</v>
      </c>
      <c r="G37" s="39">
        <f>SUM(G39+G38+G47+G51+G53)+G54+G50+G46</f>
        <v>0</v>
      </c>
      <c r="H37" s="533">
        <f t="shared" si="1"/>
        <v>0</v>
      </c>
      <c r="I37" s="39">
        <f>SUM(I39+I38+I47+I51+I53)+I54+I50+I46</f>
        <v>0</v>
      </c>
      <c r="J37" s="533">
        <f t="shared" si="1"/>
        <v>0</v>
      </c>
      <c r="K37" s="39">
        <f>SUM(K39+K38+K47+K51+K53)+K54+K50+K46</f>
        <v>0</v>
      </c>
      <c r="L37" s="39">
        <f>SUM(L39+L38+L47+L51+L53)+L54+L50+L46</f>
        <v>0</v>
      </c>
      <c r="M37" s="285"/>
      <c r="N37" s="35"/>
      <c r="O37" s="35"/>
      <c r="P37" s="35"/>
      <c r="Q37" s="35"/>
      <c r="R37"/>
      <c r="S37"/>
      <c r="T37"/>
      <c r="U37"/>
      <c r="V37"/>
    </row>
    <row r="38" spans="1:22" s="4" customFormat="1" ht="14.25" customHeight="1" x14ac:dyDescent="0.25">
      <c r="A38" s="20" t="s">
        <v>1257</v>
      </c>
      <c r="B38" s="589">
        <v>80000</v>
      </c>
      <c r="C38" s="13">
        <v>95000</v>
      </c>
      <c r="D38" s="533">
        <f t="shared" ref="D38:D64" si="10">E38-C38</f>
        <v>3970</v>
      </c>
      <c r="E38" s="13">
        <f>95000+3970</f>
        <v>98970</v>
      </c>
      <c r="F38" s="533">
        <f t="shared" si="1"/>
        <v>-98970</v>
      </c>
      <c r="G38" s="13">
        <v>0</v>
      </c>
      <c r="H38" s="533">
        <f t="shared" si="1"/>
        <v>0</v>
      </c>
      <c r="I38" s="13">
        <v>0</v>
      </c>
      <c r="J38" s="533">
        <f t="shared" si="1"/>
        <v>0</v>
      </c>
      <c r="K38" s="13">
        <v>0</v>
      </c>
      <c r="L38" s="13">
        <v>0</v>
      </c>
      <c r="M38" s="285"/>
      <c r="N38" s="35"/>
      <c r="O38" s="35"/>
      <c r="P38" s="35"/>
      <c r="Q38" s="35"/>
      <c r="R38"/>
      <c r="S38"/>
      <c r="T38"/>
      <c r="U38"/>
      <c r="V38"/>
    </row>
    <row r="39" spans="1:22" s="4" customFormat="1" ht="14.25" customHeight="1" x14ac:dyDescent="0.25">
      <c r="A39" s="20" t="s">
        <v>1086</v>
      </c>
      <c r="B39" s="166">
        <f>SUM(+B43)</f>
        <v>17146</v>
      </c>
      <c r="C39" s="13">
        <f>SUM(+C43)+C44</f>
        <v>20637</v>
      </c>
      <c r="D39" s="533">
        <f t="shared" si="10"/>
        <v>0</v>
      </c>
      <c r="E39" s="13">
        <f t="shared" ref="E39:L39" si="11">SUM(+E43)+E44</f>
        <v>20637</v>
      </c>
      <c r="F39" s="13">
        <f t="shared" si="11"/>
        <v>-20637</v>
      </c>
      <c r="G39" s="13">
        <f t="shared" si="11"/>
        <v>0</v>
      </c>
      <c r="H39" s="13">
        <f t="shared" si="11"/>
        <v>0</v>
      </c>
      <c r="I39" s="13">
        <f t="shared" si="11"/>
        <v>0</v>
      </c>
      <c r="J39" s="13">
        <f t="shared" si="11"/>
        <v>0</v>
      </c>
      <c r="K39" s="13">
        <f t="shared" si="11"/>
        <v>0</v>
      </c>
      <c r="L39" s="13">
        <f t="shared" si="11"/>
        <v>0</v>
      </c>
      <c r="M39" s="285"/>
      <c r="N39" s="35"/>
      <c r="O39" s="35"/>
      <c r="P39" s="35"/>
      <c r="Q39" s="35"/>
      <c r="R39"/>
      <c r="S39"/>
      <c r="T39"/>
      <c r="U39"/>
      <c r="V39"/>
    </row>
    <row r="40" spans="1:22" s="4" customFormat="1" ht="14.25" hidden="1" customHeight="1" x14ac:dyDescent="0.25">
      <c r="A40" s="20" t="s">
        <v>408</v>
      </c>
      <c r="B40" s="589">
        <v>0</v>
      </c>
      <c r="C40" s="13">
        <v>0</v>
      </c>
      <c r="D40" s="533">
        <f t="shared" si="10"/>
        <v>0</v>
      </c>
      <c r="E40" s="13">
        <v>0</v>
      </c>
      <c r="F40" s="533">
        <f t="shared" si="1"/>
        <v>0</v>
      </c>
      <c r="G40" s="13">
        <v>0</v>
      </c>
      <c r="H40" s="533">
        <f t="shared" si="1"/>
        <v>0</v>
      </c>
      <c r="I40" s="13">
        <v>0</v>
      </c>
      <c r="J40" s="533">
        <f t="shared" si="1"/>
        <v>0</v>
      </c>
      <c r="K40" s="13">
        <v>0</v>
      </c>
      <c r="L40" s="13">
        <v>0</v>
      </c>
      <c r="M40" s="285"/>
      <c r="N40" s="35"/>
      <c r="O40" s="35"/>
      <c r="P40" s="35"/>
      <c r="Q40" s="35"/>
      <c r="R40"/>
      <c r="S40"/>
      <c r="T40"/>
      <c r="U40"/>
      <c r="V40"/>
    </row>
    <row r="41" spans="1:22" s="4" customFormat="1" ht="14.25" hidden="1" customHeight="1" x14ac:dyDescent="0.25">
      <c r="A41" s="479" t="s">
        <v>723</v>
      </c>
      <c r="B41" s="590">
        <v>0</v>
      </c>
      <c r="C41" s="249">
        <v>0</v>
      </c>
      <c r="D41" s="533">
        <f t="shared" si="10"/>
        <v>0</v>
      </c>
      <c r="E41" s="249">
        <v>0</v>
      </c>
      <c r="F41" s="533">
        <f t="shared" si="1"/>
        <v>0</v>
      </c>
      <c r="G41" s="249">
        <v>0</v>
      </c>
      <c r="H41" s="533">
        <f t="shared" si="1"/>
        <v>0</v>
      </c>
      <c r="I41" s="249">
        <v>0</v>
      </c>
      <c r="J41" s="533">
        <f t="shared" si="1"/>
        <v>0</v>
      </c>
      <c r="K41" s="249">
        <v>0</v>
      </c>
      <c r="L41" s="249">
        <v>0</v>
      </c>
      <c r="M41" s="285"/>
      <c r="N41" s="35"/>
      <c r="O41" s="35"/>
      <c r="P41" s="35"/>
      <c r="Q41" s="35"/>
      <c r="R41"/>
      <c r="S41"/>
      <c r="T41"/>
      <c r="U41"/>
      <c r="V41"/>
    </row>
    <row r="42" spans="1:22" s="4" customFormat="1" ht="14.25" hidden="1" customHeight="1" x14ac:dyDescent="0.25">
      <c r="A42" s="479" t="s">
        <v>409</v>
      </c>
      <c r="B42" s="590"/>
      <c r="C42" s="249"/>
      <c r="D42" s="533">
        <f t="shared" si="10"/>
        <v>0</v>
      </c>
      <c r="E42" s="249"/>
      <c r="F42" s="533">
        <f t="shared" si="1"/>
        <v>0</v>
      </c>
      <c r="G42" s="249"/>
      <c r="H42" s="533">
        <f t="shared" si="1"/>
        <v>0</v>
      </c>
      <c r="I42" s="249"/>
      <c r="J42" s="533">
        <f t="shared" si="1"/>
        <v>0</v>
      </c>
      <c r="K42" s="249"/>
      <c r="L42" s="249"/>
      <c r="M42" s="285"/>
      <c r="N42" s="35"/>
      <c r="O42" s="35"/>
      <c r="P42" s="35"/>
      <c r="Q42" s="35"/>
      <c r="R42"/>
      <c r="S42"/>
      <c r="T42"/>
      <c r="U42"/>
      <c r="V42"/>
    </row>
    <row r="43" spans="1:22" s="4" customFormat="1" ht="13.5" customHeight="1" x14ac:dyDescent="0.25">
      <c r="A43" s="479" t="s">
        <v>724</v>
      </c>
      <c r="B43" s="590">
        <v>17146</v>
      </c>
      <c r="C43" s="249">
        <f>'[3]2.működés'!D14+'[3]2.működés'!D17+'[3]2.működés'!D18</f>
        <v>17146</v>
      </c>
      <c r="D43" s="533">
        <f t="shared" si="10"/>
        <v>0</v>
      </c>
      <c r="E43" s="249">
        <f>'2.működés'!F14+'2.működés'!F17+'2.működés'!F18</f>
        <v>17146</v>
      </c>
      <c r="F43" s="533">
        <f t="shared" si="1"/>
        <v>-17146</v>
      </c>
      <c r="G43" s="249">
        <f>'2.működés'!H14+'2.működés'!H17+'2.működés'!H18</f>
        <v>0</v>
      </c>
      <c r="H43" s="533">
        <f t="shared" si="1"/>
        <v>0</v>
      </c>
      <c r="I43" s="249">
        <f>'2.működés'!J14+'2.működés'!J17+'2.működés'!J18</f>
        <v>0</v>
      </c>
      <c r="J43" s="533">
        <f t="shared" si="1"/>
        <v>0</v>
      </c>
      <c r="K43" s="249">
        <f>'2.működés'!L14+'2.működés'!L17+'2.működés'!L18</f>
        <v>0</v>
      </c>
      <c r="L43" s="249">
        <f>'2.működés'!M14+'2.működés'!M17+'2.működés'!M18</f>
        <v>0</v>
      </c>
      <c r="M43" s="285"/>
      <c r="N43" s="35"/>
      <c r="O43" s="35"/>
      <c r="P43" s="35"/>
      <c r="Q43" s="35"/>
      <c r="R43"/>
      <c r="S43"/>
      <c r="T43"/>
      <c r="U43"/>
      <c r="V43"/>
    </row>
    <row r="44" spans="1:22" s="4" customFormat="1" ht="13.5" customHeight="1" x14ac:dyDescent="0.25">
      <c r="A44" s="479" t="s">
        <v>1104</v>
      </c>
      <c r="B44" s="590">
        <v>0</v>
      </c>
      <c r="C44" s="249">
        <v>3491</v>
      </c>
      <c r="D44" s="533">
        <f t="shared" si="10"/>
        <v>0</v>
      </c>
      <c r="E44" s="249">
        <v>3491</v>
      </c>
      <c r="F44" s="533">
        <f t="shared" si="1"/>
        <v>-3491</v>
      </c>
      <c r="G44" s="249"/>
      <c r="H44" s="533">
        <f t="shared" si="1"/>
        <v>0</v>
      </c>
      <c r="I44" s="249"/>
      <c r="J44" s="533">
        <f t="shared" si="1"/>
        <v>0</v>
      </c>
      <c r="K44" s="249"/>
      <c r="L44" s="249"/>
      <c r="M44" s="285"/>
      <c r="N44" s="35"/>
      <c r="O44" s="35"/>
      <c r="P44" s="35"/>
      <c r="Q44" s="35"/>
      <c r="R44"/>
      <c r="S44"/>
      <c r="T44"/>
      <c r="U44"/>
      <c r="V44"/>
    </row>
    <row r="45" spans="1:22" s="4" customFormat="1" ht="13.5" hidden="1" customHeight="1" x14ac:dyDescent="0.25">
      <c r="A45" s="15"/>
      <c r="B45" s="591"/>
      <c r="C45" s="13"/>
      <c r="D45" s="533">
        <f t="shared" si="10"/>
        <v>0</v>
      </c>
      <c r="E45" s="13"/>
      <c r="F45" s="533">
        <f t="shared" si="1"/>
        <v>0</v>
      </c>
      <c r="G45" s="13"/>
      <c r="H45" s="533">
        <f t="shared" si="1"/>
        <v>0</v>
      </c>
      <c r="I45" s="13"/>
      <c r="J45" s="533">
        <f t="shared" si="1"/>
        <v>0</v>
      </c>
      <c r="K45" s="13"/>
      <c r="L45" s="13"/>
      <c r="M45" s="285"/>
      <c r="N45" s="35"/>
      <c r="O45" s="35"/>
      <c r="P45" s="35"/>
      <c r="Q45" s="35"/>
      <c r="R45"/>
      <c r="S45"/>
      <c r="T45"/>
      <c r="U45"/>
      <c r="V45"/>
    </row>
    <row r="46" spans="1:22" s="4" customFormat="1" ht="15.75" customHeight="1" x14ac:dyDescent="0.25">
      <c r="A46" s="15" t="s">
        <v>858</v>
      </c>
      <c r="B46" s="589">
        <v>59789</v>
      </c>
      <c r="C46" s="13">
        <v>0</v>
      </c>
      <c r="D46" s="533">
        <f t="shared" si="10"/>
        <v>0</v>
      </c>
      <c r="E46" s="13">
        <v>0</v>
      </c>
      <c r="F46" s="533">
        <f t="shared" si="1"/>
        <v>0</v>
      </c>
      <c r="G46" s="13">
        <v>0</v>
      </c>
      <c r="H46" s="533">
        <f t="shared" si="1"/>
        <v>0</v>
      </c>
      <c r="I46" s="13">
        <v>0</v>
      </c>
      <c r="J46" s="533">
        <f t="shared" si="1"/>
        <v>0</v>
      </c>
      <c r="K46" s="13">
        <v>0</v>
      </c>
      <c r="L46" s="13">
        <v>0</v>
      </c>
      <c r="M46" s="285"/>
      <c r="N46" s="35"/>
      <c r="O46" s="35"/>
      <c r="P46" s="35"/>
      <c r="Q46" s="35"/>
      <c r="R46"/>
      <c r="S46"/>
      <c r="T46"/>
      <c r="U46"/>
      <c r="V46"/>
    </row>
    <row r="47" spans="1:22" s="4" customFormat="1" ht="15" customHeight="1" x14ac:dyDescent="0.25">
      <c r="A47" s="15" t="s">
        <v>1089</v>
      </c>
      <c r="B47" s="592">
        <v>0</v>
      </c>
      <c r="C47" s="13">
        <v>0</v>
      </c>
      <c r="D47" s="533">
        <f t="shared" si="10"/>
        <v>0</v>
      </c>
      <c r="E47" s="13">
        <v>0</v>
      </c>
      <c r="F47" s="533">
        <f t="shared" si="1"/>
        <v>0</v>
      </c>
      <c r="G47" s="13">
        <v>0</v>
      </c>
      <c r="H47" s="533">
        <f t="shared" si="1"/>
        <v>0</v>
      </c>
      <c r="I47" s="13">
        <v>0</v>
      </c>
      <c r="J47" s="533">
        <f t="shared" si="1"/>
        <v>0</v>
      </c>
      <c r="K47" s="13">
        <v>0</v>
      </c>
      <c r="L47" s="13">
        <v>0</v>
      </c>
      <c r="M47" s="285"/>
      <c r="N47" s="35"/>
      <c r="O47" s="35"/>
      <c r="P47" s="35"/>
      <c r="Q47" s="35"/>
      <c r="R47"/>
      <c r="S47"/>
      <c r="T47"/>
      <c r="U47"/>
      <c r="V47"/>
    </row>
    <row r="48" spans="1:22" s="4" customFormat="1" ht="15" hidden="1" customHeight="1" x14ac:dyDescent="0.25">
      <c r="A48" s="15"/>
      <c r="B48" s="592">
        <v>0</v>
      </c>
      <c r="C48" s="712">
        <v>0</v>
      </c>
      <c r="D48" s="533">
        <f t="shared" si="10"/>
        <v>0</v>
      </c>
      <c r="E48" s="712">
        <v>0</v>
      </c>
      <c r="F48" s="533"/>
      <c r="G48" s="13"/>
      <c r="H48" s="533"/>
      <c r="I48" s="13"/>
      <c r="J48" s="533"/>
      <c r="K48" s="13"/>
      <c r="L48" s="13"/>
      <c r="M48" s="285"/>
      <c r="N48" s="35"/>
      <c r="O48" s="35"/>
      <c r="P48" s="35"/>
      <c r="Q48" s="35"/>
      <c r="R48"/>
      <c r="S48"/>
      <c r="T48"/>
      <c r="U48"/>
      <c r="V48"/>
    </row>
    <row r="49" spans="1:22" s="4" customFormat="1" ht="15" hidden="1" customHeight="1" x14ac:dyDescent="0.25">
      <c r="A49" s="15"/>
      <c r="B49" s="592">
        <v>0</v>
      </c>
      <c r="C49" s="712">
        <v>0</v>
      </c>
      <c r="D49" s="533">
        <f t="shared" si="10"/>
        <v>0</v>
      </c>
      <c r="E49" s="712">
        <v>0</v>
      </c>
      <c r="F49" s="533"/>
      <c r="G49" s="13"/>
      <c r="H49" s="533"/>
      <c r="I49" s="13"/>
      <c r="J49" s="533"/>
      <c r="K49" s="13"/>
      <c r="L49" s="13"/>
      <c r="M49" s="285"/>
      <c r="N49" s="35"/>
      <c r="O49" s="35"/>
      <c r="P49" s="35"/>
      <c r="Q49" s="35"/>
      <c r="R49"/>
      <c r="S49"/>
      <c r="T49"/>
      <c r="U49"/>
      <c r="V49"/>
    </row>
    <row r="50" spans="1:22" s="4" customFormat="1" ht="15" customHeight="1" x14ac:dyDescent="0.25">
      <c r="A50" s="15" t="s">
        <v>1083</v>
      </c>
      <c r="B50" s="589">
        <v>52187</v>
      </c>
      <c r="C50" s="13">
        <v>49000</v>
      </c>
      <c r="D50" s="533">
        <f t="shared" si="10"/>
        <v>0</v>
      </c>
      <c r="E50" s="13">
        <v>49000</v>
      </c>
      <c r="F50" s="533">
        <f t="shared" si="1"/>
        <v>-49000</v>
      </c>
      <c r="G50" s="13">
        <v>0</v>
      </c>
      <c r="H50" s="533">
        <f t="shared" si="1"/>
        <v>0</v>
      </c>
      <c r="I50" s="13">
        <v>0</v>
      </c>
      <c r="J50" s="533">
        <f t="shared" si="1"/>
        <v>0</v>
      </c>
      <c r="K50" s="13">
        <v>0</v>
      </c>
      <c r="L50" s="13">
        <v>0</v>
      </c>
      <c r="M50" s="285"/>
      <c r="N50" s="35"/>
      <c r="O50" s="35"/>
      <c r="P50" s="35"/>
      <c r="Q50" s="35"/>
      <c r="R50"/>
      <c r="S50"/>
      <c r="T50"/>
      <c r="U50"/>
      <c r="V50"/>
    </row>
    <row r="51" spans="1:22" s="4" customFormat="1" ht="15" customHeight="1" x14ac:dyDescent="0.25">
      <c r="A51" s="8" t="s">
        <v>1084</v>
      </c>
      <c r="B51" s="592">
        <v>0</v>
      </c>
      <c r="C51" s="157">
        <v>30000</v>
      </c>
      <c r="D51" s="533">
        <f t="shared" si="10"/>
        <v>0</v>
      </c>
      <c r="E51" s="157">
        <v>30000</v>
      </c>
      <c r="F51" s="533">
        <f t="shared" si="1"/>
        <v>-30000</v>
      </c>
      <c r="G51" s="157">
        <v>0</v>
      </c>
      <c r="H51" s="533">
        <f t="shared" si="1"/>
        <v>0</v>
      </c>
      <c r="I51" s="157">
        <v>0</v>
      </c>
      <c r="J51" s="533">
        <f t="shared" si="1"/>
        <v>0</v>
      </c>
      <c r="K51" s="157">
        <v>0</v>
      </c>
      <c r="L51" s="157">
        <v>0</v>
      </c>
      <c r="M51" s="285"/>
      <c r="N51" s="35"/>
      <c r="O51" s="35"/>
      <c r="P51" s="35"/>
      <c r="Q51" s="35"/>
      <c r="R51"/>
      <c r="S51"/>
      <c r="T51"/>
      <c r="U51"/>
      <c r="V51"/>
    </row>
    <row r="52" spans="1:22" s="4" customFormat="1" ht="15" hidden="1" customHeight="1" x14ac:dyDescent="0.25">
      <c r="A52" s="8"/>
      <c r="B52" s="589">
        <v>0</v>
      </c>
      <c r="C52" s="157">
        <v>0</v>
      </c>
      <c r="D52" s="533">
        <f t="shared" si="10"/>
        <v>0</v>
      </c>
      <c r="E52" s="157">
        <v>0</v>
      </c>
      <c r="F52" s="533">
        <f t="shared" si="1"/>
        <v>0</v>
      </c>
      <c r="G52" s="157"/>
      <c r="H52" s="533">
        <f t="shared" si="1"/>
        <v>0</v>
      </c>
      <c r="I52" s="157"/>
      <c r="J52" s="533">
        <f t="shared" si="1"/>
        <v>0</v>
      </c>
      <c r="K52" s="157"/>
      <c r="L52" s="157"/>
      <c r="M52" s="285"/>
      <c r="N52" s="35"/>
      <c r="O52" s="35"/>
      <c r="P52" s="35"/>
      <c r="Q52" s="35"/>
      <c r="R52"/>
      <c r="S52"/>
      <c r="T52"/>
      <c r="U52"/>
      <c r="V52"/>
    </row>
    <row r="53" spans="1:22" s="4" customFormat="1" ht="13.5" hidden="1" customHeight="1" x14ac:dyDescent="0.25">
      <c r="A53" s="8" t="s">
        <v>795</v>
      </c>
      <c r="B53" s="217">
        <v>0</v>
      </c>
      <c r="C53" s="13">
        <v>0</v>
      </c>
      <c r="D53" s="533">
        <f t="shared" si="10"/>
        <v>0</v>
      </c>
      <c r="E53" s="13">
        <v>0</v>
      </c>
      <c r="F53" s="533">
        <f t="shared" si="1"/>
        <v>0</v>
      </c>
      <c r="G53" s="13">
        <v>0</v>
      </c>
      <c r="H53" s="533">
        <f t="shared" si="1"/>
        <v>0</v>
      </c>
      <c r="I53" s="13">
        <v>0</v>
      </c>
      <c r="J53" s="533">
        <f t="shared" si="1"/>
        <v>0</v>
      </c>
      <c r="K53" s="13">
        <v>0</v>
      </c>
      <c r="L53" s="13">
        <v>0</v>
      </c>
      <c r="M53" s="285"/>
      <c r="N53" s="35"/>
      <c r="O53" s="35"/>
      <c r="P53" s="35"/>
      <c r="Q53" s="35"/>
      <c r="R53"/>
      <c r="S53"/>
      <c r="T53"/>
      <c r="U53"/>
      <c r="V53"/>
    </row>
    <row r="54" spans="1:22" s="4" customFormat="1" ht="14.25" hidden="1" customHeight="1" x14ac:dyDescent="0.25">
      <c r="A54" s="8" t="s">
        <v>794</v>
      </c>
      <c r="B54" s="217">
        <v>0</v>
      </c>
      <c r="C54" s="13">
        <v>0</v>
      </c>
      <c r="D54" s="533">
        <f t="shared" si="10"/>
        <v>0</v>
      </c>
      <c r="E54" s="13">
        <v>0</v>
      </c>
      <c r="F54" s="533">
        <f t="shared" si="1"/>
        <v>0</v>
      </c>
      <c r="G54" s="13">
        <v>0</v>
      </c>
      <c r="H54" s="533">
        <f t="shared" si="1"/>
        <v>0</v>
      </c>
      <c r="I54" s="13">
        <v>0</v>
      </c>
      <c r="J54" s="533">
        <f t="shared" si="1"/>
        <v>0</v>
      </c>
      <c r="K54" s="13">
        <v>0</v>
      </c>
      <c r="L54" s="13">
        <v>0</v>
      </c>
      <c r="M54" s="285"/>
      <c r="N54" s="35"/>
      <c r="O54" s="35"/>
      <c r="P54" s="35"/>
      <c r="Q54" s="35"/>
      <c r="R54"/>
      <c r="S54"/>
      <c r="T54"/>
      <c r="U54"/>
      <c r="V54"/>
    </row>
    <row r="55" spans="1:22" s="4" customFormat="1" ht="14.25" customHeight="1" x14ac:dyDescent="0.25">
      <c r="A55" s="17" t="s">
        <v>348</v>
      </c>
      <c r="B55" s="585">
        <f t="shared" ref="B55:C55" si="12">B56</f>
        <v>0</v>
      </c>
      <c r="C55" s="5">
        <f t="shared" si="12"/>
        <v>0</v>
      </c>
      <c r="D55" s="533">
        <f t="shared" si="10"/>
        <v>0</v>
      </c>
      <c r="E55" s="5">
        <f t="shared" ref="E55:L55" si="13">E56</f>
        <v>0</v>
      </c>
      <c r="F55" s="533">
        <f t="shared" si="1"/>
        <v>0</v>
      </c>
      <c r="G55" s="5">
        <f t="shared" si="13"/>
        <v>0</v>
      </c>
      <c r="H55" s="533">
        <f t="shared" si="1"/>
        <v>0</v>
      </c>
      <c r="I55" s="5">
        <f t="shared" si="13"/>
        <v>0</v>
      </c>
      <c r="J55" s="533">
        <f t="shared" si="1"/>
        <v>0</v>
      </c>
      <c r="K55" s="5">
        <f t="shared" si="13"/>
        <v>0</v>
      </c>
      <c r="L55" s="5">
        <f t="shared" si="13"/>
        <v>0</v>
      </c>
      <c r="M55" s="285"/>
      <c r="N55" s="35"/>
      <c r="O55" s="35"/>
      <c r="P55" s="35"/>
      <c r="Q55" s="35"/>
      <c r="R55"/>
      <c r="S55"/>
      <c r="T55"/>
      <c r="U55"/>
      <c r="V55"/>
    </row>
    <row r="56" spans="1:22" s="4" customFormat="1" ht="14.25" hidden="1" customHeight="1" x14ac:dyDescent="0.25">
      <c r="A56" s="713" t="s">
        <v>796</v>
      </c>
      <c r="B56" s="714">
        <v>0</v>
      </c>
      <c r="C56" s="712">
        <v>0</v>
      </c>
      <c r="D56" s="533">
        <f t="shared" si="10"/>
        <v>0</v>
      </c>
      <c r="E56" s="712">
        <v>0</v>
      </c>
      <c r="F56" s="533">
        <f t="shared" si="1"/>
        <v>0</v>
      </c>
      <c r="G56" s="13">
        <v>0</v>
      </c>
      <c r="H56" s="533">
        <f t="shared" si="1"/>
        <v>0</v>
      </c>
      <c r="I56" s="13">
        <v>0</v>
      </c>
      <c r="J56" s="533">
        <f t="shared" si="1"/>
        <v>0</v>
      </c>
      <c r="K56" s="13">
        <v>0</v>
      </c>
      <c r="L56" s="13">
        <v>0</v>
      </c>
      <c r="M56" s="285"/>
      <c r="N56" s="35"/>
      <c r="O56" s="35"/>
      <c r="P56" s="35"/>
      <c r="Q56" s="35"/>
      <c r="R56"/>
      <c r="S56"/>
      <c r="T56"/>
      <c r="U56"/>
      <c r="V56"/>
    </row>
    <row r="57" spans="1:22" s="4" customFormat="1" ht="14.25" customHeight="1" x14ac:dyDescent="0.25">
      <c r="A57" s="17" t="s">
        <v>22</v>
      </c>
      <c r="B57" s="541">
        <f>SUM(B58:B66)</f>
        <v>46928</v>
      </c>
      <c r="C57" s="5">
        <f>SUM(C58:C66)</f>
        <v>46013</v>
      </c>
      <c r="D57" s="533">
        <f t="shared" si="10"/>
        <v>901</v>
      </c>
      <c r="E57" s="5">
        <f>SUM(E58:E66)</f>
        <v>46914</v>
      </c>
      <c r="F57" s="533">
        <f t="shared" si="1"/>
        <v>-46914</v>
      </c>
      <c r="G57" s="5">
        <f>SUM(G58:G66)</f>
        <v>0</v>
      </c>
      <c r="H57" s="533">
        <f t="shared" si="1"/>
        <v>0</v>
      </c>
      <c r="I57" s="5">
        <f>SUM(I58:I66)</f>
        <v>0</v>
      </c>
      <c r="J57" s="533">
        <f t="shared" si="1"/>
        <v>0</v>
      </c>
      <c r="K57" s="5">
        <f>SUM(K58:K66)</f>
        <v>0</v>
      </c>
      <c r="L57" s="5">
        <f>SUM(L58:L66)</f>
        <v>0</v>
      </c>
      <c r="M57" s="285"/>
      <c r="N57" s="35"/>
      <c r="O57" s="35"/>
      <c r="P57" s="35"/>
      <c r="Q57" s="35"/>
      <c r="R57"/>
      <c r="S57"/>
      <c r="T57"/>
      <c r="U57"/>
      <c r="V57"/>
    </row>
    <row r="58" spans="1:22" s="4" customFormat="1" ht="13.5" customHeight="1" x14ac:dyDescent="0.25">
      <c r="A58" s="8" t="s">
        <v>468</v>
      </c>
      <c r="B58" s="589">
        <v>13000</v>
      </c>
      <c r="C58" s="13">
        <v>10000</v>
      </c>
      <c r="D58" s="533">
        <f t="shared" si="10"/>
        <v>0</v>
      </c>
      <c r="E58" s="13">
        <v>10000</v>
      </c>
      <c r="F58" s="533">
        <f t="shared" si="1"/>
        <v>-10000</v>
      </c>
      <c r="G58" s="13">
        <v>0</v>
      </c>
      <c r="H58" s="533">
        <f t="shared" si="1"/>
        <v>0</v>
      </c>
      <c r="I58" s="13">
        <v>0</v>
      </c>
      <c r="J58" s="533">
        <f t="shared" si="1"/>
        <v>0</v>
      </c>
      <c r="K58" s="13">
        <v>0</v>
      </c>
      <c r="L58" s="13">
        <v>0</v>
      </c>
      <c r="M58" s="285"/>
      <c r="N58" s="35"/>
      <c r="O58" s="35"/>
      <c r="P58" s="35"/>
      <c r="Q58" s="35"/>
      <c r="R58"/>
      <c r="S58"/>
      <c r="T58"/>
      <c r="U58"/>
      <c r="V58"/>
    </row>
    <row r="59" spans="1:22" s="4" customFormat="1" ht="13.5" hidden="1" customHeight="1" x14ac:dyDescent="0.25">
      <c r="A59" s="12"/>
      <c r="B59" s="589">
        <v>0</v>
      </c>
      <c r="C59" s="30">
        <v>0</v>
      </c>
      <c r="D59" s="533">
        <f t="shared" si="10"/>
        <v>0</v>
      </c>
      <c r="E59" s="30">
        <v>0</v>
      </c>
      <c r="F59" s="533">
        <f t="shared" si="1"/>
        <v>0</v>
      </c>
      <c r="G59" s="30">
        <v>0</v>
      </c>
      <c r="H59" s="533">
        <f t="shared" si="1"/>
        <v>0</v>
      </c>
      <c r="I59" s="30">
        <v>0</v>
      </c>
      <c r="J59" s="533">
        <f t="shared" si="1"/>
        <v>0</v>
      </c>
      <c r="K59" s="30">
        <v>0</v>
      </c>
      <c r="L59" s="30">
        <v>0</v>
      </c>
      <c r="M59" s="285"/>
      <c r="N59" s="35"/>
      <c r="O59" s="35"/>
      <c r="P59" s="35"/>
      <c r="Q59" s="35"/>
      <c r="R59"/>
      <c r="S59"/>
      <c r="T59"/>
      <c r="U59"/>
      <c r="V59"/>
    </row>
    <row r="60" spans="1:22" s="4" customFormat="1" ht="13.5" hidden="1" customHeight="1" x14ac:dyDescent="0.25">
      <c r="A60" s="12" t="s">
        <v>487</v>
      </c>
      <c r="B60" s="589"/>
      <c r="C60" s="30"/>
      <c r="D60" s="533">
        <f t="shared" si="10"/>
        <v>0</v>
      </c>
      <c r="E60" s="30"/>
      <c r="F60" s="533">
        <f t="shared" si="1"/>
        <v>0</v>
      </c>
      <c r="G60" s="30"/>
      <c r="H60" s="533">
        <f t="shared" si="1"/>
        <v>0</v>
      </c>
      <c r="I60" s="30"/>
      <c r="J60" s="533">
        <f t="shared" si="1"/>
        <v>0</v>
      </c>
      <c r="K60" s="30"/>
      <c r="L60" s="30"/>
      <c r="M60" s="285"/>
      <c r="N60" s="35"/>
      <c r="O60" s="35"/>
      <c r="P60" s="35"/>
      <c r="Q60" s="35"/>
      <c r="R60"/>
      <c r="S60"/>
      <c r="T60"/>
      <c r="U60"/>
      <c r="V60"/>
    </row>
    <row r="61" spans="1:22" ht="13.5" customHeight="1" x14ac:dyDescent="0.2">
      <c r="A61" s="156" t="s">
        <v>425</v>
      </c>
      <c r="B61" s="589">
        <v>26763</v>
      </c>
      <c r="C61" s="351">
        <v>26763</v>
      </c>
      <c r="D61" s="533">
        <f t="shared" si="10"/>
        <v>0</v>
      </c>
      <c r="E61" s="351">
        <v>26763</v>
      </c>
      <c r="F61" s="533">
        <f t="shared" si="1"/>
        <v>-26763</v>
      </c>
      <c r="G61" s="351">
        <v>0</v>
      </c>
      <c r="H61" s="533">
        <f t="shared" si="1"/>
        <v>0</v>
      </c>
      <c r="I61" s="351">
        <v>0</v>
      </c>
      <c r="J61" s="533">
        <f t="shared" si="1"/>
        <v>0</v>
      </c>
      <c r="K61" s="351">
        <v>0</v>
      </c>
      <c r="L61" s="351">
        <v>0</v>
      </c>
      <c r="M61" s="285"/>
      <c r="N61" s="35"/>
      <c r="O61" s="35"/>
      <c r="P61" s="35"/>
      <c r="Q61" s="35"/>
    </row>
    <row r="62" spans="1:22" x14ac:dyDescent="0.2">
      <c r="A62" s="15" t="s">
        <v>704</v>
      </c>
      <c r="B62" s="589">
        <v>7000</v>
      </c>
      <c r="C62" s="351">
        <f>7000+2000</f>
        <v>9000</v>
      </c>
      <c r="D62" s="533">
        <f t="shared" si="10"/>
        <v>0</v>
      </c>
      <c r="E62" s="351">
        <f>7000+2000</f>
        <v>9000</v>
      </c>
      <c r="F62" s="533">
        <f t="shared" si="1"/>
        <v>-9000</v>
      </c>
      <c r="G62" s="351">
        <v>0</v>
      </c>
      <c r="H62" s="533">
        <f t="shared" si="1"/>
        <v>0</v>
      </c>
      <c r="I62" s="351">
        <v>0</v>
      </c>
      <c r="J62" s="533">
        <f t="shared" si="1"/>
        <v>0</v>
      </c>
      <c r="K62" s="351">
        <v>0</v>
      </c>
      <c r="L62" s="351">
        <v>0</v>
      </c>
      <c r="M62" s="285"/>
      <c r="N62" s="35"/>
      <c r="O62" s="35"/>
      <c r="P62" s="35"/>
      <c r="Q62" s="35"/>
    </row>
    <row r="63" spans="1:22" ht="12.75" customHeight="1" x14ac:dyDescent="0.2">
      <c r="A63" s="8" t="s">
        <v>703</v>
      </c>
      <c r="B63" s="550">
        <v>165</v>
      </c>
      <c r="C63" s="351">
        <v>250</v>
      </c>
      <c r="D63" s="533">
        <f t="shared" si="10"/>
        <v>0</v>
      </c>
      <c r="E63" s="351">
        <v>250</v>
      </c>
      <c r="F63" s="533">
        <f t="shared" si="1"/>
        <v>-250</v>
      </c>
      <c r="G63" s="351">
        <v>0</v>
      </c>
      <c r="H63" s="533">
        <f t="shared" si="1"/>
        <v>0</v>
      </c>
      <c r="I63" s="351">
        <v>0</v>
      </c>
      <c r="J63" s="533">
        <f t="shared" si="1"/>
        <v>0</v>
      </c>
      <c r="K63" s="351">
        <v>0</v>
      </c>
      <c r="L63" s="351">
        <v>0</v>
      </c>
      <c r="M63" s="285"/>
      <c r="N63" s="35"/>
      <c r="O63" s="35"/>
      <c r="P63" s="35"/>
      <c r="Q63" s="35"/>
    </row>
    <row r="64" spans="1:22" ht="12.75" customHeight="1" thickBot="1" x14ac:dyDescent="0.25">
      <c r="A64" s="8" t="s">
        <v>1249</v>
      </c>
      <c r="B64" s="217">
        <v>0</v>
      </c>
      <c r="C64" s="13">
        <v>0</v>
      </c>
      <c r="D64" s="533">
        <f t="shared" si="10"/>
        <v>901</v>
      </c>
      <c r="E64" s="13">
        <v>901</v>
      </c>
      <c r="F64" s="533">
        <f t="shared" si="1"/>
        <v>-901</v>
      </c>
      <c r="G64" s="13">
        <v>0</v>
      </c>
      <c r="H64" s="533"/>
      <c r="I64" s="13">
        <v>0</v>
      </c>
      <c r="J64" s="533"/>
      <c r="K64" s="13">
        <v>0</v>
      </c>
      <c r="L64" s="13">
        <v>0</v>
      </c>
      <c r="M64" s="285"/>
      <c r="N64" s="35"/>
      <c r="O64" s="35"/>
      <c r="P64" s="35"/>
      <c r="Q64" s="35"/>
      <c r="R64" s="35"/>
      <c r="S64" s="35"/>
      <c r="T64" s="35"/>
      <c r="U64" s="35"/>
      <c r="V64" s="35"/>
    </row>
    <row r="65" spans="1:22" ht="12.75" hidden="1" customHeight="1" x14ac:dyDescent="0.2">
      <c r="A65" s="8"/>
      <c r="B65" s="217"/>
      <c r="C65" s="13"/>
      <c r="D65" s="533"/>
      <c r="E65" s="13"/>
      <c r="F65" s="533">
        <f t="shared" si="1"/>
        <v>0</v>
      </c>
      <c r="G65" s="13"/>
      <c r="H65" s="533"/>
      <c r="I65" s="13"/>
      <c r="J65" s="533"/>
      <c r="K65" s="13"/>
      <c r="L65" s="13"/>
      <c r="M65" s="285"/>
      <c r="N65" s="35"/>
      <c r="O65" s="35"/>
      <c r="P65" s="35"/>
      <c r="Q65" s="35"/>
    </row>
    <row r="66" spans="1:22" ht="12.75" hidden="1" customHeight="1" x14ac:dyDescent="0.2">
      <c r="A66" s="12"/>
      <c r="B66" s="550"/>
      <c r="C66" s="30"/>
      <c r="D66" s="533"/>
      <c r="E66" s="30"/>
      <c r="F66" s="533">
        <f t="shared" si="1"/>
        <v>0</v>
      </c>
      <c r="G66" s="30"/>
      <c r="H66" s="533"/>
      <c r="I66" s="30"/>
      <c r="J66" s="533"/>
      <c r="K66" s="30"/>
      <c r="L66" s="30"/>
      <c r="M66" s="285"/>
      <c r="N66" s="35"/>
      <c r="O66" s="35"/>
      <c r="P66" s="35"/>
      <c r="Q66" s="35"/>
    </row>
    <row r="67" spans="1:22" ht="13.5" hidden="1" customHeight="1" thickBot="1" x14ac:dyDescent="0.25">
      <c r="A67" s="8"/>
      <c r="B67" s="217"/>
      <c r="C67" s="13">
        <v>0</v>
      </c>
      <c r="D67" s="533"/>
      <c r="E67" s="13">
        <v>0</v>
      </c>
      <c r="F67" s="533">
        <f t="shared" si="1"/>
        <v>0</v>
      </c>
      <c r="G67" s="13">
        <v>0</v>
      </c>
      <c r="H67" s="533"/>
      <c r="I67" s="13">
        <v>0</v>
      </c>
      <c r="J67" s="533"/>
      <c r="K67" s="13">
        <v>0</v>
      </c>
      <c r="L67" s="13">
        <v>0</v>
      </c>
      <c r="M67" s="285"/>
      <c r="N67" s="35"/>
      <c r="O67" s="35"/>
      <c r="P67" s="35"/>
      <c r="Q67" s="35"/>
      <c r="R67" s="35"/>
      <c r="S67" s="35"/>
      <c r="T67" s="35"/>
      <c r="U67" s="35"/>
      <c r="V67" s="35"/>
    </row>
    <row r="68" spans="1:22" ht="20.25" customHeight="1" thickBot="1" x14ac:dyDescent="0.3">
      <c r="A68" s="240" t="s">
        <v>781</v>
      </c>
      <c r="B68" s="556">
        <f>SUM(B9+B35+B36)</f>
        <v>689433</v>
      </c>
      <c r="C68" s="239">
        <f>SUM(C9+C35+C36)</f>
        <v>734489</v>
      </c>
      <c r="D68" s="534">
        <f>E68-C68</f>
        <v>12730</v>
      </c>
      <c r="E68" s="239">
        <f>SUM(E9+E35+E36)</f>
        <v>747219</v>
      </c>
      <c r="F68" s="534">
        <f t="shared" si="1"/>
        <v>-747219</v>
      </c>
      <c r="G68" s="239">
        <f>SUM(G9+G35+G36)</f>
        <v>0</v>
      </c>
      <c r="H68" s="534">
        <f>I68-G68</f>
        <v>0</v>
      </c>
      <c r="I68" s="239">
        <f>SUM(I9+I35+I36)</f>
        <v>0</v>
      </c>
      <c r="J68" s="534">
        <f>K68-I68</f>
        <v>0</v>
      </c>
      <c r="K68" s="239">
        <f>SUM(K9+K35+K36)</f>
        <v>0</v>
      </c>
      <c r="L68" s="239">
        <f>SUM(L9+L35+L36)</f>
        <v>0</v>
      </c>
      <c r="M68" s="285"/>
      <c r="N68" s="35"/>
      <c r="O68" s="35"/>
      <c r="P68" s="35"/>
      <c r="Q68" s="35"/>
      <c r="R68" s="35"/>
      <c r="S68" s="35"/>
      <c r="T68" s="35"/>
      <c r="U68" s="35"/>
      <c r="V68" s="35"/>
    </row>
    <row r="69" spans="1:22" x14ac:dyDescent="0.2">
      <c r="A69" s="1"/>
      <c r="B69" s="537"/>
      <c r="C69" s="35"/>
      <c r="D69" s="35"/>
      <c r="E69" s="35"/>
      <c r="F69" s="35"/>
      <c r="G69" s="35"/>
      <c r="H69" s="35"/>
      <c r="I69" s="35"/>
      <c r="J69" s="35"/>
      <c r="K69" s="35"/>
      <c r="L69" s="35"/>
      <c r="N69" s="35"/>
      <c r="O69" s="35"/>
      <c r="P69" s="35"/>
      <c r="Q69" s="35"/>
      <c r="R69" s="35"/>
      <c r="S69" s="35"/>
      <c r="T69" s="35"/>
      <c r="U69" s="35"/>
      <c r="V69" s="35"/>
    </row>
    <row r="70" spans="1:22" ht="15.75" x14ac:dyDescent="0.25">
      <c r="A70" s="153" t="s">
        <v>769</v>
      </c>
      <c r="B70" s="729">
        <f>B71+B72+B73+B79+B80</f>
        <v>1192</v>
      </c>
      <c r="C70" s="730">
        <f t="shared" ref="C70:E70" si="14">C71+C72+C73+C79+C80</f>
        <v>0</v>
      </c>
      <c r="D70" s="730"/>
      <c r="E70" s="730">
        <f t="shared" si="14"/>
        <v>0</v>
      </c>
      <c r="F70" s="113">
        <v>0</v>
      </c>
      <c r="G70" s="113">
        <v>0</v>
      </c>
      <c r="H70" s="113">
        <v>0</v>
      </c>
      <c r="I70" s="113">
        <v>0</v>
      </c>
      <c r="J70" s="113">
        <v>0</v>
      </c>
      <c r="K70" s="113">
        <v>0</v>
      </c>
      <c r="L70" s="113">
        <v>0</v>
      </c>
      <c r="N70" s="35"/>
      <c r="O70" s="35"/>
      <c r="P70" s="35"/>
      <c r="Q70" s="35"/>
      <c r="R70" s="35"/>
      <c r="S70" s="35"/>
      <c r="T70" s="35"/>
      <c r="U70" s="35"/>
      <c r="V70" s="35"/>
    </row>
    <row r="71" spans="1:22" x14ac:dyDescent="0.2">
      <c r="A71" s="60" t="s">
        <v>89</v>
      </c>
      <c r="B71" s="586"/>
      <c r="C71" s="59"/>
      <c r="D71" s="59"/>
      <c r="E71" s="59"/>
      <c r="F71" s="59"/>
      <c r="G71" s="59"/>
      <c r="H71" s="59"/>
      <c r="I71" s="59"/>
      <c r="J71" s="59"/>
      <c r="K71" s="59"/>
      <c r="L71" s="59"/>
      <c r="N71" s="35"/>
      <c r="O71" s="35"/>
      <c r="P71" s="35"/>
      <c r="Q71" s="35"/>
      <c r="R71" s="35"/>
      <c r="S71" s="35"/>
      <c r="T71" s="35"/>
      <c r="U71" s="35"/>
      <c r="V71" s="35"/>
    </row>
    <row r="72" spans="1:22" x14ac:dyDescent="0.2">
      <c r="A72" s="60" t="s">
        <v>90</v>
      </c>
      <c r="B72" s="586"/>
      <c r="C72" s="59"/>
      <c r="D72" s="59"/>
      <c r="E72" s="59"/>
      <c r="F72" s="59"/>
      <c r="G72" s="59"/>
      <c r="H72" s="59"/>
      <c r="I72" s="59"/>
      <c r="J72" s="59"/>
      <c r="K72" s="59"/>
      <c r="L72" s="59"/>
      <c r="N72" s="35"/>
      <c r="O72" s="35"/>
      <c r="P72" s="35"/>
      <c r="Q72" s="35"/>
      <c r="R72" s="35"/>
      <c r="S72" s="35"/>
      <c r="T72" s="35"/>
      <c r="U72" s="35"/>
      <c r="V72" s="35"/>
    </row>
    <row r="73" spans="1:22" x14ac:dyDescent="0.2">
      <c r="A73" s="60" t="s">
        <v>762</v>
      </c>
      <c r="B73" s="31">
        <f>B74+B75+B76+B77+B78</f>
        <v>1192</v>
      </c>
      <c r="C73" s="57">
        <f>C74+C75+C76+C77+C78</f>
        <v>0</v>
      </c>
      <c r="D73" s="57"/>
      <c r="E73" s="57">
        <f>E74+E75+E76+E77+E78</f>
        <v>0</v>
      </c>
      <c r="F73" s="57">
        <v>0</v>
      </c>
      <c r="G73" s="57">
        <f>G74+G75+G76+G77+G78</f>
        <v>129</v>
      </c>
      <c r="H73" s="57">
        <v>0</v>
      </c>
      <c r="I73" s="57">
        <f>I74+I75+I76+I77+I78</f>
        <v>129</v>
      </c>
      <c r="J73" s="57">
        <v>0</v>
      </c>
      <c r="K73" s="57">
        <f>K74+K75+K76+K77+K78</f>
        <v>129</v>
      </c>
      <c r="L73" s="57">
        <f>L74+L75+L76+L77+L78</f>
        <v>129</v>
      </c>
      <c r="N73" s="35"/>
      <c r="O73" s="35"/>
      <c r="P73" s="35"/>
      <c r="Q73" s="35"/>
      <c r="R73" s="35"/>
      <c r="S73" s="35"/>
      <c r="T73" s="35"/>
      <c r="U73" s="35"/>
      <c r="V73" s="35"/>
    </row>
    <row r="74" spans="1:22" x14ac:dyDescent="0.2">
      <c r="A74" s="60" t="s">
        <v>763</v>
      </c>
      <c r="B74" s="586"/>
      <c r="C74" s="57"/>
      <c r="D74" s="57"/>
      <c r="E74" s="57"/>
      <c r="F74" s="57"/>
      <c r="G74" s="57"/>
      <c r="H74" s="57"/>
      <c r="I74" s="57"/>
      <c r="J74" s="57"/>
      <c r="K74" s="57"/>
      <c r="L74" s="57"/>
      <c r="N74" s="35"/>
      <c r="O74" s="35"/>
      <c r="P74" s="35"/>
      <c r="Q74" s="35"/>
      <c r="R74" s="35"/>
      <c r="S74" s="35"/>
      <c r="T74" s="35"/>
      <c r="U74" s="35"/>
      <c r="V74" s="35"/>
    </row>
    <row r="75" spans="1:22" x14ac:dyDescent="0.2">
      <c r="A75" s="60" t="s">
        <v>764</v>
      </c>
      <c r="B75" s="586">
        <v>334</v>
      </c>
      <c r="C75" s="59">
        <v>0</v>
      </c>
      <c r="D75" s="59"/>
      <c r="E75" s="59">
        <v>0</v>
      </c>
      <c r="F75" s="59">
        <v>0</v>
      </c>
      <c r="G75" s="59">
        <v>129</v>
      </c>
      <c r="H75" s="59">
        <v>0</v>
      </c>
      <c r="I75" s="59">
        <v>129</v>
      </c>
      <c r="J75" s="59">
        <v>0</v>
      </c>
      <c r="K75" s="59">
        <v>129</v>
      </c>
      <c r="L75" s="59">
        <v>129</v>
      </c>
      <c r="N75" s="35"/>
      <c r="O75" s="35"/>
      <c r="P75" s="35"/>
      <c r="Q75" s="35"/>
      <c r="R75" s="35"/>
      <c r="S75" s="35"/>
      <c r="T75" s="35"/>
      <c r="U75" s="35"/>
      <c r="V75" s="35"/>
    </row>
    <row r="76" spans="1:22" x14ac:dyDescent="0.2">
      <c r="A76" s="60" t="s">
        <v>765</v>
      </c>
      <c r="B76" s="586">
        <v>858</v>
      </c>
      <c r="C76" s="57"/>
      <c r="D76" s="57"/>
      <c r="E76" s="57"/>
      <c r="F76" s="57"/>
      <c r="G76" s="57"/>
      <c r="H76" s="57"/>
      <c r="I76" s="57"/>
      <c r="J76" s="57"/>
      <c r="K76" s="57"/>
      <c r="L76" s="57"/>
      <c r="N76" s="35"/>
    </row>
    <row r="77" spans="1:22" x14ac:dyDescent="0.2">
      <c r="A77" s="59" t="s">
        <v>766</v>
      </c>
      <c r="B77" s="586"/>
      <c r="C77" s="59"/>
      <c r="D77" s="59"/>
      <c r="E77" s="59"/>
      <c r="F77" s="59"/>
      <c r="G77" s="59"/>
      <c r="H77" s="59"/>
      <c r="I77" s="59"/>
      <c r="J77" s="59"/>
      <c r="K77" s="59"/>
      <c r="L77" s="59"/>
      <c r="N77" s="35"/>
    </row>
    <row r="78" spans="1:22" x14ac:dyDescent="0.2">
      <c r="A78" s="59" t="s">
        <v>767</v>
      </c>
      <c r="B78" s="586"/>
      <c r="C78" s="59"/>
      <c r="D78" s="59"/>
      <c r="E78" s="59"/>
      <c r="F78" s="59"/>
      <c r="G78" s="59"/>
      <c r="H78" s="59"/>
      <c r="I78" s="59"/>
      <c r="J78" s="59"/>
      <c r="K78" s="59"/>
      <c r="L78" s="59"/>
      <c r="N78" s="35"/>
    </row>
    <row r="79" spans="1:22" x14ac:dyDescent="0.2">
      <c r="A79" s="506" t="s">
        <v>768</v>
      </c>
      <c r="B79" s="587"/>
      <c r="C79" s="59"/>
      <c r="D79" s="59"/>
      <c r="E79" s="59"/>
      <c r="F79" s="59"/>
      <c r="G79" s="59"/>
      <c r="H79" s="59"/>
      <c r="I79" s="59"/>
      <c r="J79" s="59"/>
      <c r="K79" s="59"/>
      <c r="L79" s="59"/>
    </row>
    <row r="80" spans="1:22" x14ac:dyDescent="0.2">
      <c r="A80" s="59" t="s">
        <v>91</v>
      </c>
      <c r="B80" s="586"/>
      <c r="C80" s="59"/>
      <c r="D80" s="59"/>
      <c r="E80" s="59"/>
      <c r="F80" s="59"/>
      <c r="G80" s="59"/>
      <c r="H80" s="59"/>
      <c r="I80" s="59"/>
      <c r="J80" s="59"/>
      <c r="K80" s="59"/>
      <c r="L80" s="59"/>
    </row>
  </sheetData>
  <mergeCells count="13">
    <mergeCell ref="L19:L28"/>
    <mergeCell ref="E19:E28"/>
    <mergeCell ref="G19:G28"/>
    <mergeCell ref="I19:I28"/>
    <mergeCell ref="A4:K4"/>
    <mergeCell ref="A5:K5"/>
    <mergeCell ref="B19:B28"/>
    <mergeCell ref="F19:F28"/>
    <mergeCell ref="H19:H28"/>
    <mergeCell ref="J19:J28"/>
    <mergeCell ref="K19:K28"/>
    <mergeCell ref="C19:C28"/>
    <mergeCell ref="D19:D28"/>
  </mergeCells>
  <phoneticPr fontId="14" type="noConversion"/>
  <pageMargins left="0.27559055118110237" right="0.19685039370078741" top="0.35433070866141736" bottom="0.39370078740157483" header="0.31496062992125984" footer="0.51181102362204722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E657-BFB4-4028-A25A-45A2CA335979}">
  <dimension ref="A1:Y64"/>
  <sheetViews>
    <sheetView zoomScale="80" zoomScaleNormal="80" workbookViewId="0">
      <selection activeCell="A7" sqref="A7:A9"/>
    </sheetView>
  </sheetViews>
  <sheetFormatPr defaultRowHeight="12.75" x14ac:dyDescent="0.2"/>
  <cols>
    <col min="1" max="1" width="52.85546875" style="66" customWidth="1"/>
    <col min="2" max="2" width="13" style="366" customWidth="1"/>
    <col min="3" max="3" width="10.7109375" style="366" customWidth="1"/>
    <col min="4" max="4" width="11.42578125" style="367" customWidth="1"/>
    <col min="5" max="5" width="9.85546875" style="366" customWidth="1"/>
    <col min="6" max="6" width="12" style="366" customWidth="1"/>
    <col min="7" max="7" width="11.140625" style="366" hidden="1" customWidth="1"/>
    <col min="8" max="13" width="12.28515625" style="366" customWidth="1"/>
    <col min="14" max="14" width="9.140625" style="66" customWidth="1"/>
    <col min="15" max="15" width="9.85546875" style="66" customWidth="1"/>
    <col min="16" max="16384" width="9.140625" style="66"/>
  </cols>
  <sheetData>
    <row r="1" spans="1:25" x14ac:dyDescent="0.2">
      <c r="A1" s="779" t="s">
        <v>241</v>
      </c>
      <c r="B1" s="779"/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x14ac:dyDescent="0.2">
      <c r="A2" s="407"/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8" t="str">
        <f>'1.Bev-kiad.'!F2</f>
        <v>a 12/2026.(X.2.) önkormányzati rendelethez</v>
      </c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408" t="s">
        <v>1139</v>
      </c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x14ac:dyDescent="0.2">
      <c r="A4" s="365"/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17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15" customHeight="1" x14ac:dyDescent="0.2">
      <c r="A5" s="780" t="s">
        <v>1026</v>
      </c>
      <c r="B5" s="780"/>
      <c r="C5" s="780"/>
      <c r="D5" s="780"/>
      <c r="E5" s="780"/>
      <c r="F5" s="780"/>
      <c r="G5" s="780"/>
      <c r="H5" s="780"/>
      <c r="I5" s="780"/>
      <c r="J5" s="780"/>
      <c r="K5" s="780"/>
      <c r="L5" s="780"/>
      <c r="M5" s="780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 spans="1:25" ht="12.95" customHeight="1" thickBot="1" x14ac:dyDescent="0.25">
      <c r="M6" s="361" t="s">
        <v>0</v>
      </c>
    </row>
    <row r="7" spans="1:25" ht="16.5" customHeight="1" x14ac:dyDescent="0.2">
      <c r="A7" s="781"/>
      <c r="B7" s="784" t="s">
        <v>58</v>
      </c>
      <c r="C7" s="785"/>
      <c r="D7" s="786"/>
      <c r="E7" s="784" t="s">
        <v>333</v>
      </c>
      <c r="F7" s="785"/>
      <c r="G7" s="785"/>
      <c r="H7" s="786"/>
      <c r="I7" s="776" t="s">
        <v>7</v>
      </c>
      <c r="J7" s="784" t="s">
        <v>46</v>
      </c>
      <c r="K7" s="785"/>
      <c r="L7" s="786"/>
      <c r="M7" s="787" t="s">
        <v>59</v>
      </c>
    </row>
    <row r="8" spans="1:25" ht="58.5" customHeight="1" x14ac:dyDescent="0.2">
      <c r="A8" s="782"/>
      <c r="B8" s="790" t="s">
        <v>328</v>
      </c>
      <c r="C8" s="743" t="s">
        <v>373</v>
      </c>
      <c r="D8" s="790" t="s">
        <v>6</v>
      </c>
      <c r="E8" s="790" t="s">
        <v>347</v>
      </c>
      <c r="F8" s="790" t="s">
        <v>329</v>
      </c>
      <c r="G8" s="790" t="s">
        <v>416</v>
      </c>
      <c r="H8" s="790" t="s">
        <v>10</v>
      </c>
      <c r="I8" s="777"/>
      <c r="J8" s="790" t="s">
        <v>1156</v>
      </c>
      <c r="K8" s="790" t="s">
        <v>1287</v>
      </c>
      <c r="L8" s="790" t="s">
        <v>412</v>
      </c>
      <c r="M8" s="788"/>
    </row>
    <row r="9" spans="1:25" ht="66" customHeight="1" thickBot="1" x14ac:dyDescent="0.25">
      <c r="A9" s="783"/>
      <c r="B9" s="778"/>
      <c r="C9" s="64" t="s">
        <v>411</v>
      </c>
      <c r="D9" s="778"/>
      <c r="E9" s="778"/>
      <c r="F9" s="778"/>
      <c r="G9" s="778"/>
      <c r="H9" s="778"/>
      <c r="I9" s="778"/>
      <c r="J9" s="778"/>
      <c r="K9" s="778"/>
      <c r="L9" s="778"/>
      <c r="M9" s="789"/>
    </row>
    <row r="10" spans="1:25" ht="18" customHeight="1" thickBot="1" x14ac:dyDescent="0.25">
      <c r="A10" s="596" t="s">
        <v>1017</v>
      </c>
      <c r="B10" s="597">
        <f>B18+B27</f>
        <v>1507115</v>
      </c>
      <c r="C10" s="597">
        <f t="shared" ref="C10:H10" si="0">C18+C27</f>
        <v>29805</v>
      </c>
      <c r="D10" s="597">
        <f t="shared" si="0"/>
        <v>1536920</v>
      </c>
      <c r="E10" s="597">
        <f t="shared" si="0"/>
        <v>394384</v>
      </c>
      <c r="F10" s="597">
        <f t="shared" si="0"/>
        <v>11501</v>
      </c>
      <c r="G10" s="597">
        <f t="shared" si="0"/>
        <v>0</v>
      </c>
      <c r="H10" s="597">
        <f t="shared" si="0"/>
        <v>405885</v>
      </c>
      <c r="I10" s="745">
        <f>D10+F10</f>
        <v>1548421</v>
      </c>
      <c r="J10" s="745">
        <f>319717+38889</f>
        <v>358606</v>
      </c>
      <c r="K10" s="597">
        <f t="shared" ref="K10:L10" si="1">K18+K27</f>
        <v>0</v>
      </c>
      <c r="L10" s="597">
        <f t="shared" si="1"/>
        <v>27576</v>
      </c>
      <c r="M10" s="598">
        <f>I10+J10+K10+L10</f>
        <v>1934603</v>
      </c>
    </row>
    <row r="11" spans="1:25" ht="18" customHeight="1" thickBot="1" x14ac:dyDescent="0.25">
      <c r="A11" s="117" t="s">
        <v>1117</v>
      </c>
      <c r="B11" s="125">
        <f t="shared" ref="B11:K17" si="2">B19+B28</f>
        <v>1927458</v>
      </c>
      <c r="C11" s="125">
        <f t="shared" si="2"/>
        <v>30000</v>
      </c>
      <c r="D11" s="125">
        <f t="shared" si="2"/>
        <v>1957458</v>
      </c>
      <c r="E11" s="125">
        <f t="shared" si="2"/>
        <v>526642</v>
      </c>
      <c r="F11" s="125">
        <f t="shared" si="2"/>
        <v>40295</v>
      </c>
      <c r="G11" s="125">
        <f t="shared" si="2"/>
        <v>0</v>
      </c>
      <c r="H11" s="125">
        <f t="shared" si="2"/>
        <v>566937</v>
      </c>
      <c r="I11" s="125">
        <f>D11+H11</f>
        <v>2524395</v>
      </c>
      <c r="J11" s="125">
        <f t="shared" si="2"/>
        <v>487513</v>
      </c>
      <c r="K11" s="746">
        <v>0</v>
      </c>
      <c r="L11" s="125">
        <f t="shared" ref="L11:L12" si="3">L19+L28</f>
        <v>0</v>
      </c>
      <c r="M11" s="119">
        <f>D11+H11+J11+K11+L11</f>
        <v>3011908</v>
      </c>
    </row>
    <row r="12" spans="1:25" ht="17.25" customHeight="1" thickBot="1" x14ac:dyDescent="0.25">
      <c r="A12" s="117" t="s">
        <v>1291</v>
      </c>
      <c r="B12" s="125">
        <f t="shared" si="2"/>
        <v>1796705</v>
      </c>
      <c r="C12" s="125">
        <f t="shared" si="2"/>
        <v>30000</v>
      </c>
      <c r="D12" s="125">
        <f t="shared" si="2"/>
        <v>1826705</v>
      </c>
      <c r="E12" s="125">
        <f t="shared" si="2"/>
        <v>548867</v>
      </c>
      <c r="F12" s="125">
        <f t="shared" si="2"/>
        <v>69776</v>
      </c>
      <c r="G12" s="125">
        <f t="shared" si="2"/>
        <v>0</v>
      </c>
      <c r="H12" s="125">
        <f t="shared" si="2"/>
        <v>618643</v>
      </c>
      <c r="I12" s="125">
        <f>D12+H12</f>
        <v>2445348</v>
      </c>
      <c r="J12" s="125">
        <f t="shared" si="2"/>
        <v>487513</v>
      </c>
      <c r="K12" s="125">
        <f t="shared" si="2"/>
        <v>7455</v>
      </c>
      <c r="L12" s="125">
        <f t="shared" si="3"/>
        <v>0</v>
      </c>
      <c r="M12" s="119">
        <f>D12+H12+J12+K12+L12</f>
        <v>2940316</v>
      </c>
    </row>
    <row r="13" spans="1:25" ht="16.5" hidden="1" customHeight="1" thickBot="1" x14ac:dyDescent="0.25">
      <c r="A13" s="117" t="s">
        <v>932</v>
      </c>
      <c r="B13" s="125" t="e">
        <f t="shared" si="2"/>
        <v>#REF!</v>
      </c>
      <c r="C13" s="125">
        <f t="shared" si="2"/>
        <v>0</v>
      </c>
      <c r="D13" s="125" t="e">
        <f t="shared" si="2"/>
        <v>#REF!</v>
      </c>
      <c r="E13" s="125">
        <f t="shared" si="2"/>
        <v>0</v>
      </c>
      <c r="F13" s="125">
        <f t="shared" si="2"/>
        <v>0</v>
      </c>
      <c r="G13" s="125">
        <f t="shared" si="2"/>
        <v>0</v>
      </c>
      <c r="H13" s="125">
        <f t="shared" si="2"/>
        <v>0</v>
      </c>
      <c r="I13" s="746"/>
      <c r="J13" s="746"/>
      <c r="K13" s="746"/>
      <c r="L13" s="125">
        <f t="shared" ref="L13" si="4">L21+L30</f>
        <v>0</v>
      </c>
      <c r="M13" s="119" t="e">
        <f>SUM(H13,D13)</f>
        <v>#REF!</v>
      </c>
      <c r="O13" s="366"/>
    </row>
    <row r="14" spans="1:25" ht="17.25" hidden="1" customHeight="1" thickBot="1" x14ac:dyDescent="0.25">
      <c r="A14" s="117" t="s">
        <v>971</v>
      </c>
      <c r="B14" s="125">
        <f t="shared" si="2"/>
        <v>-3550</v>
      </c>
      <c r="C14" s="125">
        <f t="shared" si="2"/>
        <v>0</v>
      </c>
      <c r="D14" s="125">
        <f t="shared" si="2"/>
        <v>-3550</v>
      </c>
      <c r="E14" s="125">
        <f t="shared" si="2"/>
        <v>0</v>
      </c>
      <c r="F14" s="125">
        <f t="shared" si="2"/>
        <v>0</v>
      </c>
      <c r="G14" s="125">
        <f t="shared" si="2"/>
        <v>0</v>
      </c>
      <c r="H14" s="125">
        <f t="shared" si="2"/>
        <v>0</v>
      </c>
      <c r="I14" s="746"/>
      <c r="J14" s="746"/>
      <c r="K14" s="746"/>
      <c r="L14" s="125">
        <f t="shared" ref="L14" si="5">L22+L31</f>
        <v>0</v>
      </c>
      <c r="M14" s="119">
        <f>SUM(H14,D14)</f>
        <v>-3550</v>
      </c>
    </row>
    <row r="15" spans="1:25" ht="17.25" hidden="1" customHeight="1" thickBot="1" x14ac:dyDescent="0.25">
      <c r="A15" s="117" t="s">
        <v>1011</v>
      </c>
      <c r="B15" s="125">
        <f t="shared" si="2"/>
        <v>-3550</v>
      </c>
      <c r="C15" s="125">
        <f t="shared" si="2"/>
        <v>0</v>
      </c>
      <c r="D15" s="125">
        <f t="shared" si="2"/>
        <v>-3550</v>
      </c>
      <c r="E15" s="125">
        <f t="shared" si="2"/>
        <v>0</v>
      </c>
      <c r="F15" s="125">
        <f t="shared" si="2"/>
        <v>0</v>
      </c>
      <c r="G15" s="125">
        <f t="shared" si="2"/>
        <v>0</v>
      </c>
      <c r="H15" s="125">
        <f t="shared" si="2"/>
        <v>0</v>
      </c>
      <c r="I15" s="746"/>
      <c r="J15" s="746"/>
      <c r="K15" s="746"/>
      <c r="L15" s="125">
        <f t="shared" ref="L15" si="6">L23+L32</f>
        <v>0</v>
      </c>
      <c r="M15" s="119">
        <f>SUM(H15,D15)</f>
        <v>-3550</v>
      </c>
    </row>
    <row r="16" spans="1:25" ht="13.5" hidden="1" customHeight="1" thickBot="1" x14ac:dyDescent="0.25">
      <c r="A16" s="117"/>
      <c r="B16" s="125">
        <f t="shared" si="2"/>
        <v>0</v>
      </c>
      <c r="C16" s="125">
        <f t="shared" si="2"/>
        <v>0</v>
      </c>
      <c r="D16" s="125">
        <f t="shared" si="2"/>
        <v>0</v>
      </c>
      <c r="E16" s="125">
        <f t="shared" si="2"/>
        <v>0</v>
      </c>
      <c r="F16" s="125">
        <f t="shared" si="2"/>
        <v>10295</v>
      </c>
      <c r="G16" s="125">
        <f t="shared" si="2"/>
        <v>0</v>
      </c>
      <c r="H16" s="125">
        <f t="shared" si="2"/>
        <v>10295</v>
      </c>
      <c r="I16" s="746"/>
      <c r="J16" s="746"/>
      <c r="K16" s="746"/>
      <c r="L16" s="125">
        <f t="shared" ref="L16" si="7">L24+L33</f>
        <v>0</v>
      </c>
      <c r="M16" s="119">
        <f>SUM(H16,D16)</f>
        <v>10295</v>
      </c>
    </row>
    <row r="17" spans="1:13" ht="13.5" hidden="1" customHeight="1" thickBot="1" x14ac:dyDescent="0.25">
      <c r="A17" s="117" t="s">
        <v>1017</v>
      </c>
      <c r="B17" s="125">
        <f t="shared" si="2"/>
        <v>-52814</v>
      </c>
      <c r="C17" s="125">
        <f t="shared" si="2"/>
        <v>0</v>
      </c>
      <c r="D17" s="125">
        <f t="shared" si="2"/>
        <v>-52814</v>
      </c>
      <c r="E17" s="125">
        <f t="shared" si="2"/>
        <v>0</v>
      </c>
      <c r="F17" s="125">
        <f t="shared" si="2"/>
        <v>0</v>
      </c>
      <c r="G17" s="125">
        <f t="shared" si="2"/>
        <v>0</v>
      </c>
      <c r="H17" s="125">
        <f t="shared" si="2"/>
        <v>0</v>
      </c>
      <c r="I17" s="746"/>
      <c r="J17" s="746"/>
      <c r="K17" s="746"/>
      <c r="L17" s="125">
        <f t="shared" ref="L17" si="8">L25+L34</f>
        <v>0</v>
      </c>
      <c r="M17" s="119">
        <f>SUM(H17,D17)</f>
        <v>-52814</v>
      </c>
    </row>
    <row r="18" spans="1:13" s="602" customFormat="1" ht="13.5" customHeight="1" x14ac:dyDescent="0.2">
      <c r="A18" s="599" t="s">
        <v>1123</v>
      </c>
      <c r="B18" s="533">
        <v>1507115</v>
      </c>
      <c r="C18" s="533">
        <v>29805</v>
      </c>
      <c r="D18" s="533">
        <f t="shared" ref="D18:D26" si="9">SUM(B18:C18)</f>
        <v>1536920</v>
      </c>
      <c r="E18" s="605">
        <v>394384</v>
      </c>
      <c r="F18" s="605">
        <v>11101</v>
      </c>
      <c r="G18" s="533">
        <v>0</v>
      </c>
      <c r="H18" s="533">
        <f t="shared" ref="H18:H35" si="10">SUM(E18:G18)</f>
        <v>405485</v>
      </c>
      <c r="I18" s="747">
        <f>D18+H18</f>
        <v>1942405</v>
      </c>
      <c r="J18" s="747">
        <f>319717+38889</f>
        <v>358606</v>
      </c>
      <c r="K18" s="747">
        <v>0</v>
      </c>
      <c r="L18" s="533">
        <v>27576</v>
      </c>
      <c r="M18" s="601">
        <f>D18+H18+J18+K18+L18</f>
        <v>2328587</v>
      </c>
    </row>
    <row r="19" spans="1:13" ht="16.5" customHeight="1" x14ac:dyDescent="0.2">
      <c r="A19" s="275" t="s">
        <v>1118</v>
      </c>
      <c r="B19" s="242">
        <f>SUM('7.finanszírozás.'!C10)-'2.működés'!D105</f>
        <v>1927458</v>
      </c>
      <c r="C19" s="242">
        <f>'2.működés'!D105</f>
        <v>30000</v>
      </c>
      <c r="D19" s="242">
        <f t="shared" si="9"/>
        <v>1957458</v>
      </c>
      <c r="E19" s="242">
        <f>'3.felh'!D13</f>
        <v>526642</v>
      </c>
      <c r="F19" s="242">
        <f>'3.felh'!D34+'3.felh'!D28</f>
        <v>40295</v>
      </c>
      <c r="G19" s="242">
        <v>0</v>
      </c>
      <c r="H19" s="242">
        <f t="shared" si="10"/>
        <v>566937</v>
      </c>
      <c r="I19" s="748">
        <f>D19+H19</f>
        <v>2524395</v>
      </c>
      <c r="J19" s="748">
        <f>'7.finanszírozás.'!C37</f>
        <v>487513</v>
      </c>
      <c r="K19" s="748">
        <v>0</v>
      </c>
      <c r="L19" s="242"/>
      <c r="M19" s="369">
        <f>D19+H19+J19+K19+L19</f>
        <v>3011908</v>
      </c>
    </row>
    <row r="20" spans="1:13" ht="16.5" customHeight="1" x14ac:dyDescent="0.2">
      <c r="A20" s="275" t="s">
        <v>1292</v>
      </c>
      <c r="B20" s="242">
        <f>SUM('7.finanszírozás.'!C11-'2.működés'!F105)</f>
        <v>1796705</v>
      </c>
      <c r="C20" s="242">
        <f>SUM('2.működés'!F105)</f>
        <v>30000</v>
      </c>
      <c r="D20" s="242">
        <f t="shared" si="9"/>
        <v>1826705</v>
      </c>
      <c r="E20" s="157">
        <f>'3.felh'!F13</f>
        <v>548867</v>
      </c>
      <c r="F20" s="157">
        <f>'3.felh'!F34+'3.felh'!F28</f>
        <v>69776</v>
      </c>
      <c r="G20" s="242">
        <v>0</v>
      </c>
      <c r="H20" s="242">
        <f t="shared" si="10"/>
        <v>618643</v>
      </c>
      <c r="I20" s="748">
        <f>D20+H20</f>
        <v>2445348</v>
      </c>
      <c r="J20" s="748">
        <f>'7.finanszírozás.'!C38</f>
        <v>487513</v>
      </c>
      <c r="K20" s="748">
        <f>'1.Bev-kiad.'!F61</f>
        <v>7455</v>
      </c>
      <c r="L20" s="242"/>
      <c r="M20" s="369">
        <f>D20+H20+J20+K20+L20</f>
        <v>2940316</v>
      </c>
    </row>
    <row r="21" spans="1:13" ht="16.5" hidden="1" customHeight="1" x14ac:dyDescent="0.2">
      <c r="A21" s="275" t="s">
        <v>933</v>
      </c>
      <c r="B21" s="242" t="e">
        <f>SUM('7.finanszírozás.'!C12-'2.működés'!H105)</f>
        <v>#REF!</v>
      </c>
      <c r="C21" s="242">
        <f>SUM('2.működés'!H105)</f>
        <v>0</v>
      </c>
      <c r="D21" s="242" t="e">
        <f t="shared" si="9"/>
        <v>#REF!</v>
      </c>
      <c r="E21" s="157">
        <f>'3.felh'!H13</f>
        <v>0</v>
      </c>
      <c r="F21" s="157">
        <f>'3.felh'!H34</f>
        <v>0</v>
      </c>
      <c r="G21" s="242"/>
      <c r="H21" s="242">
        <f t="shared" si="10"/>
        <v>0</v>
      </c>
      <c r="I21" s="748"/>
      <c r="J21" s="748"/>
      <c r="K21" s="748"/>
      <c r="L21" s="242"/>
      <c r="M21" s="369" t="e">
        <f t="shared" ref="M21:M26" si="11">SUM(H21,D21)</f>
        <v>#REF!</v>
      </c>
    </row>
    <row r="22" spans="1:13" ht="16.5" hidden="1" customHeight="1" x14ac:dyDescent="0.2">
      <c r="A22" s="275" t="s">
        <v>970</v>
      </c>
      <c r="B22" s="242">
        <f>SUM('7.finanszírozás.'!C13-'2.működés'!J105)</f>
        <v>-3550</v>
      </c>
      <c r="C22" s="242">
        <f>SUM('2.működés'!J105)</f>
        <v>0</v>
      </c>
      <c r="D22" s="242">
        <f t="shared" si="9"/>
        <v>-3550</v>
      </c>
      <c r="E22" s="157">
        <f>'3.felh'!J13</f>
        <v>0</v>
      </c>
      <c r="F22" s="157">
        <f>'3.felh'!J34</f>
        <v>0</v>
      </c>
      <c r="G22" s="242"/>
      <c r="H22" s="242">
        <f t="shared" si="10"/>
        <v>0</v>
      </c>
      <c r="I22" s="748"/>
      <c r="J22" s="748"/>
      <c r="K22" s="748"/>
      <c r="L22" s="242">
        <f>'2.működés'!T119</f>
        <v>0</v>
      </c>
      <c r="M22" s="369">
        <f t="shared" si="11"/>
        <v>-3550</v>
      </c>
    </row>
    <row r="23" spans="1:13" ht="16.5" hidden="1" customHeight="1" x14ac:dyDescent="0.2">
      <c r="A23" s="275" t="s">
        <v>1012</v>
      </c>
      <c r="B23" s="242">
        <f>SUM('7.finanszírozás.'!C14-'2.működés'!L105)</f>
        <v>-3550</v>
      </c>
      <c r="C23" s="242">
        <f>SUM('2.működés'!L105)</f>
        <v>0</v>
      </c>
      <c r="D23" s="242">
        <f t="shared" si="9"/>
        <v>-3550</v>
      </c>
      <c r="E23" s="157">
        <f>'3.felh'!L13</f>
        <v>0</v>
      </c>
      <c r="F23" s="157">
        <f>'3.felh'!L34</f>
        <v>0</v>
      </c>
      <c r="G23" s="242"/>
      <c r="H23" s="242">
        <f t="shared" si="10"/>
        <v>0</v>
      </c>
      <c r="I23" s="748"/>
      <c r="J23" s="748"/>
      <c r="K23" s="748"/>
      <c r="L23" s="242">
        <f>'2.működés'!V119</f>
        <v>0</v>
      </c>
      <c r="M23" s="369">
        <f t="shared" si="11"/>
        <v>-3550</v>
      </c>
    </row>
    <row r="24" spans="1:13" ht="16.5" hidden="1" customHeight="1" x14ac:dyDescent="0.2">
      <c r="A24" s="275"/>
      <c r="B24" s="242"/>
      <c r="C24" s="242"/>
      <c r="D24" s="242">
        <f t="shared" si="9"/>
        <v>0</v>
      </c>
      <c r="E24" s="242"/>
      <c r="F24" s="242"/>
      <c r="G24" s="242"/>
      <c r="H24" s="242">
        <f t="shared" si="10"/>
        <v>0</v>
      </c>
      <c r="I24" s="748"/>
      <c r="J24" s="748"/>
      <c r="K24" s="748"/>
      <c r="L24" s="242"/>
      <c r="M24" s="369">
        <f t="shared" si="11"/>
        <v>0</v>
      </c>
    </row>
    <row r="25" spans="1:13" ht="16.5" hidden="1" customHeight="1" x14ac:dyDescent="0.2">
      <c r="A25" s="275" t="s">
        <v>1016</v>
      </c>
      <c r="B25" s="242">
        <f>SUM('7.finanszírozás.'!C16-'2.működés'!M109)</f>
        <v>-52814</v>
      </c>
      <c r="C25" s="242">
        <f>SUM('2.működés'!M109)</f>
        <v>0</v>
      </c>
      <c r="D25" s="242">
        <f t="shared" si="9"/>
        <v>-52814</v>
      </c>
      <c r="E25" s="242"/>
      <c r="F25" s="242"/>
      <c r="G25" s="242"/>
      <c r="H25" s="242">
        <f t="shared" si="10"/>
        <v>0</v>
      </c>
      <c r="I25" s="748"/>
      <c r="J25" s="748"/>
      <c r="K25" s="748"/>
      <c r="L25" s="242">
        <f>'2.működés'!W119</f>
        <v>0</v>
      </c>
      <c r="M25" s="369">
        <f t="shared" si="11"/>
        <v>-52814</v>
      </c>
    </row>
    <row r="26" spans="1:13" ht="16.5" hidden="1" customHeight="1" x14ac:dyDescent="0.2">
      <c r="B26" s="242"/>
      <c r="C26" s="242"/>
      <c r="D26" s="242">
        <f t="shared" si="9"/>
        <v>0</v>
      </c>
      <c r="E26" s="242"/>
      <c r="F26" s="242"/>
      <c r="G26" s="242"/>
      <c r="H26" s="242">
        <f t="shared" si="10"/>
        <v>0</v>
      </c>
      <c r="I26" s="748"/>
      <c r="J26" s="748"/>
      <c r="K26" s="748"/>
      <c r="L26" s="242"/>
      <c r="M26" s="369">
        <f t="shared" si="11"/>
        <v>0</v>
      </c>
    </row>
    <row r="27" spans="1:13" s="602" customFormat="1" ht="16.5" customHeight="1" x14ac:dyDescent="0.2">
      <c r="A27" s="599" t="s">
        <v>1124</v>
      </c>
      <c r="B27" s="603"/>
      <c r="C27" s="603"/>
      <c r="D27" s="604">
        <v>0</v>
      </c>
      <c r="E27" s="605"/>
      <c r="F27" s="605">
        <v>400</v>
      </c>
      <c r="G27" s="604"/>
      <c r="H27" s="604">
        <f t="shared" si="10"/>
        <v>400</v>
      </c>
      <c r="I27" s="749">
        <f>D27+H27</f>
        <v>400</v>
      </c>
      <c r="J27" s="749"/>
      <c r="K27" s="749"/>
      <c r="L27" s="603"/>
      <c r="M27" s="607">
        <f>D27+H27</f>
        <v>400</v>
      </c>
    </row>
    <row r="28" spans="1:13" ht="16.5" customHeight="1" x14ac:dyDescent="0.2">
      <c r="A28" s="275" t="s">
        <v>1119</v>
      </c>
      <c r="B28" s="124"/>
      <c r="C28" s="124"/>
      <c r="D28" s="79">
        <f t="shared" ref="D28:D35" si="12">SUM(B28:C28)</f>
        <v>0</v>
      </c>
      <c r="E28" s="157"/>
      <c r="F28" s="157">
        <f>'3.felh'!D31</f>
        <v>0</v>
      </c>
      <c r="G28" s="79"/>
      <c r="H28" s="79">
        <f t="shared" si="10"/>
        <v>0</v>
      </c>
      <c r="I28" s="750">
        <v>0</v>
      </c>
      <c r="J28" s="750"/>
      <c r="K28" s="750"/>
      <c r="L28" s="124"/>
      <c r="M28" s="276">
        <f t="shared" ref="M28:M33" si="13">SUM(H28,D28)</f>
        <v>0</v>
      </c>
    </row>
    <row r="29" spans="1:13" ht="16.5" customHeight="1" x14ac:dyDescent="0.2">
      <c r="A29" s="275" t="s">
        <v>1293</v>
      </c>
      <c r="B29" s="124"/>
      <c r="C29" s="124"/>
      <c r="D29" s="79">
        <f t="shared" si="12"/>
        <v>0</v>
      </c>
      <c r="E29" s="157"/>
      <c r="F29" s="157">
        <f>'3.felh'!F31</f>
        <v>0</v>
      </c>
      <c r="G29" s="79"/>
      <c r="H29" s="79">
        <f t="shared" si="10"/>
        <v>0</v>
      </c>
      <c r="I29" s="750">
        <v>0</v>
      </c>
      <c r="J29" s="750"/>
      <c r="K29" s="750"/>
      <c r="L29" s="124"/>
      <c r="M29" s="276">
        <f t="shared" si="13"/>
        <v>0</v>
      </c>
    </row>
    <row r="30" spans="1:13" ht="16.5" hidden="1" customHeight="1" x14ac:dyDescent="0.2">
      <c r="A30" s="275" t="s">
        <v>934</v>
      </c>
      <c r="B30" s="124"/>
      <c r="C30" s="124"/>
      <c r="D30" s="79">
        <f t="shared" si="12"/>
        <v>0</v>
      </c>
      <c r="E30" s="242"/>
      <c r="F30" s="157">
        <f>'3.felh'!H31</f>
        <v>0</v>
      </c>
      <c r="G30" s="79"/>
      <c r="H30" s="79">
        <f t="shared" si="10"/>
        <v>0</v>
      </c>
      <c r="I30" s="750"/>
      <c r="J30" s="750"/>
      <c r="K30" s="750"/>
      <c r="L30" s="124"/>
      <c r="M30" s="276">
        <f t="shared" si="13"/>
        <v>0</v>
      </c>
    </row>
    <row r="31" spans="1:13" ht="16.5" hidden="1" customHeight="1" x14ac:dyDescent="0.2">
      <c r="A31" s="275" t="s">
        <v>972</v>
      </c>
      <c r="B31" s="124"/>
      <c r="C31" s="124"/>
      <c r="D31" s="79">
        <f t="shared" si="12"/>
        <v>0</v>
      </c>
      <c r="E31" s="157"/>
      <c r="F31" s="157">
        <f>'3.felh'!J31</f>
        <v>0</v>
      </c>
      <c r="G31" s="79"/>
      <c r="H31" s="79">
        <f t="shared" si="10"/>
        <v>0</v>
      </c>
      <c r="I31" s="750"/>
      <c r="J31" s="750"/>
      <c r="K31" s="750"/>
      <c r="L31" s="124"/>
      <c r="M31" s="276">
        <f t="shared" si="13"/>
        <v>0</v>
      </c>
    </row>
    <row r="32" spans="1:13" ht="16.5" hidden="1" customHeight="1" x14ac:dyDescent="0.2">
      <c r="A32" s="275" t="s">
        <v>1013</v>
      </c>
      <c r="B32" s="124"/>
      <c r="C32" s="124"/>
      <c r="D32" s="79">
        <f t="shared" si="12"/>
        <v>0</v>
      </c>
      <c r="E32" s="157"/>
      <c r="F32" s="157">
        <f>'3.felh'!L31</f>
        <v>0</v>
      </c>
      <c r="G32" s="79"/>
      <c r="H32" s="79">
        <f t="shared" si="10"/>
        <v>0</v>
      </c>
      <c r="I32" s="750"/>
      <c r="J32" s="750"/>
      <c r="K32" s="750"/>
      <c r="L32" s="124"/>
      <c r="M32" s="276">
        <f t="shared" si="13"/>
        <v>0</v>
      </c>
    </row>
    <row r="33" spans="1:13" ht="16.5" hidden="1" customHeight="1" x14ac:dyDescent="0.2">
      <c r="A33" s="275"/>
      <c r="B33" s="124"/>
      <c r="C33" s="124"/>
      <c r="D33" s="79">
        <f t="shared" si="12"/>
        <v>0</v>
      </c>
      <c r="E33" s="157"/>
      <c r="F33" s="157">
        <f>'3.felh'!F34</f>
        <v>10295</v>
      </c>
      <c r="G33" s="79"/>
      <c r="H33" s="79">
        <f t="shared" si="10"/>
        <v>10295</v>
      </c>
      <c r="I33" s="750"/>
      <c r="J33" s="750"/>
      <c r="K33" s="750"/>
      <c r="L33" s="124"/>
      <c r="M33" s="276">
        <f t="shared" si="13"/>
        <v>10295</v>
      </c>
    </row>
    <row r="34" spans="1:13" ht="16.5" hidden="1" customHeight="1" x14ac:dyDescent="0.2">
      <c r="A34" s="275" t="str">
        <f>A25</f>
        <v xml:space="preserve">       Teljesítés 2025.12.31.</v>
      </c>
      <c r="B34" s="124"/>
      <c r="C34" s="124"/>
      <c r="D34" s="79">
        <f t="shared" si="12"/>
        <v>0</v>
      </c>
      <c r="E34" s="157">
        <f>'3.felh'!M13</f>
        <v>0</v>
      </c>
      <c r="F34" s="157">
        <f>'3.felh'!F35</f>
        <v>0</v>
      </c>
      <c r="G34" s="79">
        <f>SUM('3.felh'!M43)</f>
        <v>0</v>
      </c>
      <c r="H34" s="79">
        <f t="shared" si="10"/>
        <v>0</v>
      </c>
      <c r="I34" s="750"/>
      <c r="J34" s="750"/>
      <c r="K34" s="750"/>
      <c r="L34" s="124"/>
      <c r="M34" s="276">
        <f>SUM(H34,D33)</f>
        <v>0</v>
      </c>
    </row>
    <row r="35" spans="1:13" ht="17.25" customHeight="1" thickBot="1" x14ac:dyDescent="0.25">
      <c r="A35" s="370" t="str">
        <f>A53</f>
        <v xml:space="preserve">       Államigazgatási feladatok (eredeti előirányzat 2026. év)</v>
      </c>
      <c r="B35" s="371"/>
      <c r="C35" s="371"/>
      <c r="D35" s="79">
        <f t="shared" si="12"/>
        <v>0</v>
      </c>
      <c r="E35" s="371"/>
      <c r="F35" s="79">
        <v>0</v>
      </c>
      <c r="G35" s="371"/>
      <c r="H35" s="79">
        <f t="shared" si="10"/>
        <v>0</v>
      </c>
      <c r="I35" s="750">
        <v>0</v>
      </c>
      <c r="J35" s="750"/>
      <c r="K35" s="750"/>
      <c r="L35" s="371"/>
      <c r="M35" s="276">
        <f>SUM(H35,D35)</f>
        <v>0</v>
      </c>
    </row>
    <row r="36" spans="1:13" s="602" customFormat="1" ht="15.75" customHeight="1" thickBot="1" x14ac:dyDescent="0.25">
      <c r="A36" s="596" t="s">
        <v>1015</v>
      </c>
      <c r="B36" s="597">
        <f>B44</f>
        <v>52814</v>
      </c>
      <c r="C36" s="597">
        <f t="shared" ref="C36:H36" si="14">C44</f>
        <v>0</v>
      </c>
      <c r="D36" s="597">
        <f t="shared" si="14"/>
        <v>52814</v>
      </c>
      <c r="E36" s="597">
        <f t="shared" si="14"/>
        <v>0</v>
      </c>
      <c r="F36" s="597">
        <f t="shared" si="14"/>
        <v>0</v>
      </c>
      <c r="G36" s="597">
        <f t="shared" si="14"/>
        <v>0</v>
      </c>
      <c r="H36" s="597">
        <f t="shared" si="14"/>
        <v>0</v>
      </c>
      <c r="I36" s="597">
        <f>D36+H36</f>
        <v>52814</v>
      </c>
      <c r="J36" s="597">
        <f t="shared" ref="J36:L36" si="15">J44</f>
        <v>2047</v>
      </c>
      <c r="K36" s="597">
        <f t="shared" si="15"/>
        <v>0</v>
      </c>
      <c r="L36" s="597">
        <f t="shared" si="15"/>
        <v>240067</v>
      </c>
      <c r="M36" s="598">
        <f>I36+L36+J36+K36</f>
        <v>294928</v>
      </c>
    </row>
    <row r="37" spans="1:13" ht="15.75" customHeight="1" thickBot="1" x14ac:dyDescent="0.25">
      <c r="A37" s="117" t="s">
        <v>1121</v>
      </c>
      <c r="B37" s="125">
        <f>SUM(B45)</f>
        <v>59810</v>
      </c>
      <c r="C37" s="125">
        <f>SUM(C47)</f>
        <v>0</v>
      </c>
      <c r="D37" s="125">
        <f>SUM(D45)</f>
        <v>59810</v>
      </c>
      <c r="E37" s="125"/>
      <c r="F37" s="125"/>
      <c r="G37" s="125"/>
      <c r="H37" s="125">
        <v>0</v>
      </c>
      <c r="I37" s="125">
        <f>D37+H37</f>
        <v>59810</v>
      </c>
      <c r="J37" s="125">
        <f>SUM(J45)</f>
        <v>8100</v>
      </c>
      <c r="K37" s="125">
        <f>SUM(K45)</f>
        <v>0</v>
      </c>
      <c r="L37" s="125">
        <f>SUM(L45)</f>
        <v>303813</v>
      </c>
      <c r="M37" s="119">
        <f>D37+H37+J37+K37+L37</f>
        <v>371723</v>
      </c>
    </row>
    <row r="38" spans="1:13" ht="15.75" customHeight="1" thickBot="1" x14ac:dyDescent="0.25">
      <c r="A38" s="117" t="s">
        <v>1296</v>
      </c>
      <c r="B38" s="125">
        <f t="shared" ref="B38:B43" si="16">SUM(B46)</f>
        <v>58263</v>
      </c>
      <c r="C38" s="125">
        <f>SUM(C48)</f>
        <v>0</v>
      </c>
      <c r="D38" s="125">
        <f t="shared" ref="D38:D43" si="17">SUM(D46)</f>
        <v>58263</v>
      </c>
      <c r="E38" s="125"/>
      <c r="F38" s="125"/>
      <c r="G38" s="125"/>
      <c r="H38" s="125">
        <v>0</v>
      </c>
      <c r="I38" s="125">
        <f>D38+H38</f>
        <v>58263</v>
      </c>
      <c r="J38" s="125">
        <f t="shared" ref="J38:L38" si="18">SUM(J46)</f>
        <v>8100</v>
      </c>
      <c r="K38" s="125">
        <f t="shared" si="18"/>
        <v>0</v>
      </c>
      <c r="L38" s="125">
        <f t="shared" si="18"/>
        <v>303813</v>
      </c>
      <c r="M38" s="119">
        <f>D38+H38+J38+K38+L38</f>
        <v>370176</v>
      </c>
    </row>
    <row r="39" spans="1:13" ht="15.75" hidden="1" customHeight="1" thickBot="1" x14ac:dyDescent="0.25">
      <c r="A39" s="117" t="s">
        <v>935</v>
      </c>
      <c r="B39" s="125" t="e">
        <f t="shared" si="16"/>
        <v>#REF!</v>
      </c>
      <c r="C39" s="125">
        <f>SUM(C50)</f>
        <v>0</v>
      </c>
      <c r="D39" s="125" t="e">
        <f t="shared" si="17"/>
        <v>#REF!</v>
      </c>
      <c r="E39" s="125"/>
      <c r="F39" s="125"/>
      <c r="G39" s="125"/>
      <c r="H39" s="125"/>
      <c r="I39" s="125"/>
      <c r="J39" s="125">
        <f t="shared" ref="J39:L39" si="19">SUM(J47)</f>
        <v>0</v>
      </c>
      <c r="K39" s="125">
        <f t="shared" si="19"/>
        <v>0</v>
      </c>
      <c r="L39" s="125">
        <f t="shared" si="19"/>
        <v>0</v>
      </c>
      <c r="M39" s="119" t="e">
        <f>SUM(D39)</f>
        <v>#REF!</v>
      </c>
    </row>
    <row r="40" spans="1:13" ht="15.75" hidden="1" customHeight="1" thickBot="1" x14ac:dyDescent="0.25">
      <c r="A40" s="117" t="s">
        <v>973</v>
      </c>
      <c r="B40" s="125">
        <f t="shared" si="16"/>
        <v>3550</v>
      </c>
      <c r="C40" s="125">
        <f>SUM(C51)</f>
        <v>0</v>
      </c>
      <c r="D40" s="125">
        <f t="shared" si="17"/>
        <v>3550</v>
      </c>
      <c r="E40" s="125"/>
      <c r="F40" s="125"/>
      <c r="G40" s="125"/>
      <c r="H40" s="125"/>
      <c r="I40" s="125"/>
      <c r="J40" s="125">
        <f t="shared" ref="J40:L40" si="20">SUM(J48)</f>
        <v>0</v>
      </c>
      <c r="K40" s="125">
        <f t="shared" si="20"/>
        <v>0</v>
      </c>
      <c r="L40" s="125">
        <f t="shared" si="20"/>
        <v>0</v>
      </c>
      <c r="M40" s="119">
        <f>SUM(D40)</f>
        <v>3550</v>
      </c>
    </row>
    <row r="41" spans="1:13" ht="15.75" hidden="1" customHeight="1" thickBot="1" x14ac:dyDescent="0.25">
      <c r="A41" s="117" t="s">
        <v>1014</v>
      </c>
      <c r="B41" s="125">
        <f t="shared" si="16"/>
        <v>3550</v>
      </c>
      <c r="C41" s="125">
        <f>SUM(C52)</f>
        <v>0</v>
      </c>
      <c r="D41" s="125">
        <f t="shared" si="17"/>
        <v>3550</v>
      </c>
      <c r="E41" s="125"/>
      <c r="F41" s="125"/>
      <c r="G41" s="125"/>
      <c r="H41" s="125"/>
      <c r="I41" s="125"/>
      <c r="J41" s="125">
        <f t="shared" ref="J41:L41" si="21">SUM(J49)</f>
        <v>0</v>
      </c>
      <c r="K41" s="125">
        <f t="shared" si="21"/>
        <v>0</v>
      </c>
      <c r="L41" s="125">
        <f t="shared" si="21"/>
        <v>0</v>
      </c>
      <c r="M41" s="119">
        <f>SUM(D41)</f>
        <v>3550</v>
      </c>
    </row>
    <row r="42" spans="1:13" ht="15.75" hidden="1" customHeight="1" thickBot="1" x14ac:dyDescent="0.25">
      <c r="A42" s="117"/>
      <c r="B42" s="125" t="e">
        <f t="shared" si="16"/>
        <v>#REF!</v>
      </c>
      <c r="C42" s="125">
        <f t="shared" ref="C42:C43" si="22">SUM(C52)</f>
        <v>0</v>
      </c>
      <c r="D42" s="125" t="e">
        <f t="shared" si="17"/>
        <v>#REF!</v>
      </c>
      <c r="E42" s="125"/>
      <c r="F42" s="125"/>
      <c r="G42" s="125"/>
      <c r="H42" s="125"/>
      <c r="I42" s="125"/>
      <c r="J42" s="125">
        <f t="shared" ref="J42:L42" si="23">SUM(J50)</f>
        <v>0</v>
      </c>
      <c r="K42" s="125">
        <f t="shared" si="23"/>
        <v>0</v>
      </c>
      <c r="L42" s="125">
        <f t="shared" si="23"/>
        <v>0</v>
      </c>
      <c r="M42" s="119" t="e">
        <f>SUM(D42)</f>
        <v>#REF!</v>
      </c>
    </row>
    <row r="43" spans="1:13" ht="15.75" hidden="1" customHeight="1" thickBot="1" x14ac:dyDescent="0.25">
      <c r="A43" s="117" t="s">
        <v>1015</v>
      </c>
      <c r="B43" s="125">
        <f t="shared" si="16"/>
        <v>52814</v>
      </c>
      <c r="C43" s="125">
        <f t="shared" si="22"/>
        <v>0</v>
      </c>
      <c r="D43" s="125">
        <f t="shared" si="17"/>
        <v>52814</v>
      </c>
      <c r="E43" s="125"/>
      <c r="F43" s="125"/>
      <c r="G43" s="125"/>
      <c r="H43" s="125"/>
      <c r="I43" s="125"/>
      <c r="J43" s="125">
        <f t="shared" ref="J43:L43" si="24">SUM(J51)</f>
        <v>0</v>
      </c>
      <c r="K43" s="125">
        <f t="shared" si="24"/>
        <v>0</v>
      </c>
      <c r="L43" s="125">
        <f t="shared" si="24"/>
        <v>0</v>
      </c>
      <c r="M43" s="119">
        <f>SUM(D43)</f>
        <v>52814</v>
      </c>
    </row>
    <row r="44" spans="1:13" s="602" customFormat="1" ht="15.75" customHeight="1" x14ac:dyDescent="0.2">
      <c r="A44" s="608" t="str">
        <f t="shared" ref="A44:A49" si="25">A18</f>
        <v xml:space="preserve">       Kötelező teljesítés 2025.12.31.</v>
      </c>
      <c r="B44" s="604">
        <v>52814</v>
      </c>
      <c r="C44" s="604"/>
      <c r="D44" s="604">
        <f t="shared" ref="D44:D53" si="26">SUM(B44:C44)</f>
        <v>52814</v>
      </c>
      <c r="E44" s="609"/>
      <c r="F44" s="609"/>
      <c r="G44" s="609"/>
      <c r="H44" s="609">
        <v>0</v>
      </c>
      <c r="I44" s="609">
        <f>D44+H44</f>
        <v>52814</v>
      </c>
      <c r="J44" s="604">
        <v>2047</v>
      </c>
      <c r="K44" s="604">
        <v>0</v>
      </c>
      <c r="L44" s="604">
        <f>166555+73512</f>
        <v>240067</v>
      </c>
      <c r="M44" s="607">
        <f>D44+H44+J44+K44+L44</f>
        <v>294928</v>
      </c>
    </row>
    <row r="45" spans="1:13" ht="18.75" customHeight="1" x14ac:dyDescent="0.2">
      <c r="A45" s="372" t="str">
        <f t="shared" si="25"/>
        <v xml:space="preserve">       Kötelező (eredeti előirányzat 2026. év)</v>
      </c>
      <c r="B45" s="79">
        <f>SUM('7.finanszírozás.'!D10)</f>
        <v>59810</v>
      </c>
      <c r="C45" s="79"/>
      <c r="D45" s="79">
        <f t="shared" si="26"/>
        <v>59810</v>
      </c>
      <c r="E45" s="123"/>
      <c r="F45" s="123"/>
      <c r="G45" s="123"/>
      <c r="H45" s="79">
        <v>0</v>
      </c>
      <c r="I45" s="79">
        <f>D45+H45</f>
        <v>59810</v>
      </c>
      <c r="J45" s="79">
        <f>SUM('7.finanszírozás.'!D37)</f>
        <v>8100</v>
      </c>
      <c r="K45" s="79">
        <v>0</v>
      </c>
      <c r="L45" s="79">
        <f>SUM('7.finanszírozás.'!D60)+'7.finanszírozás.'!D51</f>
        <v>303813</v>
      </c>
      <c r="M45" s="276">
        <f>SUM(D45)+J45+K45+L45+H45</f>
        <v>371723</v>
      </c>
    </row>
    <row r="46" spans="1:13" ht="15.75" customHeight="1" x14ac:dyDescent="0.2">
      <c r="A46" s="372" t="str">
        <f t="shared" si="25"/>
        <v xml:space="preserve">       Kötelező (módosított előirányzat 2026.10. havi)</v>
      </c>
      <c r="B46" s="79">
        <f>SUM('7.finanszírozás.'!D11)</f>
        <v>58263</v>
      </c>
      <c r="C46" s="79"/>
      <c r="D46" s="79">
        <f t="shared" si="26"/>
        <v>58263</v>
      </c>
      <c r="E46" s="123"/>
      <c r="F46" s="123"/>
      <c r="G46" s="123"/>
      <c r="H46" s="79">
        <v>0</v>
      </c>
      <c r="I46" s="79">
        <f t="shared" ref="I46:I52" si="27">D46+H46</f>
        <v>58263</v>
      </c>
      <c r="J46" s="79">
        <f>SUM('7.finanszírozás.'!D38)</f>
        <v>8100</v>
      </c>
      <c r="K46" s="79">
        <v>0</v>
      </c>
      <c r="L46" s="79">
        <f>SUM('7.finanszírozás.'!D61)+'7.finanszírozás.'!D52</f>
        <v>303813</v>
      </c>
      <c r="M46" s="276">
        <f t="shared" ref="M46:M53" si="28">SUM(D46)</f>
        <v>58263</v>
      </c>
    </row>
    <row r="47" spans="1:13" ht="15.75" hidden="1" customHeight="1" x14ac:dyDescent="0.2">
      <c r="A47" s="372" t="str">
        <f t="shared" si="25"/>
        <v xml:space="preserve">       Kötelező (módosított előirányzat 2025.09.havi)</v>
      </c>
      <c r="B47" s="79" t="e">
        <f>SUM('7.finanszírozás.'!D12)</f>
        <v>#REF!</v>
      </c>
      <c r="C47" s="79"/>
      <c r="D47" s="79" t="e">
        <f t="shared" si="26"/>
        <v>#REF!</v>
      </c>
      <c r="E47" s="123"/>
      <c r="F47" s="123"/>
      <c r="G47" s="123"/>
      <c r="H47" s="123">
        <v>0</v>
      </c>
      <c r="I47" s="79" t="e">
        <f t="shared" si="27"/>
        <v>#REF!</v>
      </c>
      <c r="J47" s="751"/>
      <c r="K47" s="751"/>
      <c r="L47" s="751"/>
      <c r="M47" s="276" t="e">
        <f t="shared" si="28"/>
        <v>#REF!</v>
      </c>
    </row>
    <row r="48" spans="1:13" ht="15.75" hidden="1" customHeight="1" x14ac:dyDescent="0.2">
      <c r="A48" s="372" t="str">
        <f t="shared" si="25"/>
        <v xml:space="preserve">       Kötelező (módosított előirányzat 2025.12.havi)</v>
      </c>
      <c r="B48" s="79">
        <f>SUM('7.finanszírozás.'!D13)</f>
        <v>3550</v>
      </c>
      <c r="C48" s="79"/>
      <c r="D48" s="79">
        <f t="shared" si="26"/>
        <v>3550</v>
      </c>
      <c r="E48" s="123"/>
      <c r="F48" s="123"/>
      <c r="G48" s="123"/>
      <c r="H48" s="123">
        <v>0</v>
      </c>
      <c r="I48" s="79">
        <f t="shared" si="27"/>
        <v>3550</v>
      </c>
      <c r="J48" s="751"/>
      <c r="K48" s="751"/>
      <c r="L48" s="751"/>
      <c r="M48" s="276">
        <f t="shared" si="28"/>
        <v>3550</v>
      </c>
    </row>
    <row r="49" spans="1:15" ht="15.75" hidden="1" customHeight="1" x14ac:dyDescent="0.2">
      <c r="A49" s="372" t="str">
        <f t="shared" si="25"/>
        <v xml:space="preserve">       Kötelező (módosított előirányzat 2025.12.31)</v>
      </c>
      <c r="B49" s="79">
        <f>SUM('7.finanszírozás.'!D14)</f>
        <v>3550</v>
      </c>
      <c r="C49" s="79"/>
      <c r="D49" s="79">
        <f t="shared" si="26"/>
        <v>3550</v>
      </c>
      <c r="E49" s="123"/>
      <c r="F49" s="123"/>
      <c r="G49" s="123"/>
      <c r="H49" s="123">
        <v>0</v>
      </c>
      <c r="I49" s="79">
        <f t="shared" si="27"/>
        <v>3550</v>
      </c>
      <c r="J49" s="751"/>
      <c r="K49" s="751"/>
      <c r="L49" s="751"/>
      <c r="M49" s="276">
        <f t="shared" si="28"/>
        <v>3550</v>
      </c>
    </row>
    <row r="50" spans="1:15" ht="15.75" hidden="1" customHeight="1" x14ac:dyDescent="0.2">
      <c r="A50" s="372"/>
      <c r="B50" s="79" t="e">
        <f>SUM('7.finanszírozás.'!D15)</f>
        <v>#REF!</v>
      </c>
      <c r="C50" s="79"/>
      <c r="D50" s="79" t="e">
        <f t="shared" si="26"/>
        <v>#REF!</v>
      </c>
      <c r="E50" s="123"/>
      <c r="F50" s="123"/>
      <c r="G50" s="123"/>
      <c r="H50" s="123"/>
      <c r="I50" s="79" t="e">
        <f t="shared" si="27"/>
        <v>#REF!</v>
      </c>
      <c r="J50" s="751"/>
      <c r="K50" s="751"/>
      <c r="L50" s="751"/>
      <c r="M50" s="276" t="e">
        <f t="shared" si="28"/>
        <v>#REF!</v>
      </c>
    </row>
    <row r="51" spans="1:15" ht="15.75" hidden="1" customHeight="1" x14ac:dyDescent="0.2">
      <c r="A51" s="372" t="str">
        <f>A25</f>
        <v xml:space="preserve">       Teljesítés 2025.12.31.</v>
      </c>
      <c r="B51" s="79">
        <f>SUM('7.finanszírozás.'!D16)</f>
        <v>52814</v>
      </c>
      <c r="C51" s="79"/>
      <c r="D51" s="79">
        <f t="shared" si="26"/>
        <v>52814</v>
      </c>
      <c r="E51" s="123"/>
      <c r="F51" s="123"/>
      <c r="G51" s="123"/>
      <c r="H51" s="123"/>
      <c r="I51" s="79">
        <f t="shared" si="27"/>
        <v>52814</v>
      </c>
      <c r="J51" s="751"/>
      <c r="K51" s="751"/>
      <c r="L51" s="751"/>
      <c r="M51" s="276">
        <f t="shared" si="28"/>
        <v>52814</v>
      </c>
    </row>
    <row r="52" spans="1:15" ht="16.5" customHeight="1" x14ac:dyDescent="0.2">
      <c r="A52" s="275" t="str">
        <f>A28</f>
        <v xml:space="preserve">       Önként vállalt (eredeti előirányzat 2026. év)</v>
      </c>
      <c r="B52" s="79"/>
      <c r="C52" s="79"/>
      <c r="D52" s="79">
        <f t="shared" si="26"/>
        <v>0</v>
      </c>
      <c r="E52" s="79"/>
      <c r="F52" s="79"/>
      <c r="G52" s="79"/>
      <c r="H52" s="79">
        <v>0</v>
      </c>
      <c r="I52" s="79">
        <f t="shared" si="27"/>
        <v>0</v>
      </c>
      <c r="J52" s="750"/>
      <c r="K52" s="750"/>
      <c r="L52" s="750"/>
      <c r="M52" s="276">
        <f t="shared" si="28"/>
        <v>0</v>
      </c>
    </row>
    <row r="53" spans="1:15" ht="16.5" customHeight="1" thickBot="1" x14ac:dyDescent="0.25">
      <c r="A53" s="370" t="s">
        <v>1120</v>
      </c>
      <c r="B53" s="79"/>
      <c r="C53" s="79"/>
      <c r="D53" s="79">
        <f t="shared" si="26"/>
        <v>0</v>
      </c>
      <c r="E53" s="79"/>
      <c r="F53" s="79"/>
      <c r="G53" s="79"/>
      <c r="H53" s="79">
        <v>0</v>
      </c>
      <c r="I53" s="750">
        <v>0</v>
      </c>
      <c r="J53" s="750"/>
      <c r="K53" s="750"/>
      <c r="L53" s="750"/>
      <c r="M53" s="276">
        <f t="shared" si="28"/>
        <v>0</v>
      </c>
    </row>
    <row r="54" spans="1:15" s="602" customFormat="1" ht="16.5" thickBot="1" x14ac:dyDescent="0.25">
      <c r="A54" s="610" t="s">
        <v>1019</v>
      </c>
      <c r="B54" s="611">
        <f>B10+B36</f>
        <v>1559929</v>
      </c>
      <c r="C54" s="611">
        <f t="shared" ref="C54:H54" si="29">C10+C36</f>
        <v>29805</v>
      </c>
      <c r="D54" s="611">
        <f t="shared" si="29"/>
        <v>1589734</v>
      </c>
      <c r="E54" s="611">
        <f t="shared" si="29"/>
        <v>394384</v>
      </c>
      <c r="F54" s="611">
        <f t="shared" si="29"/>
        <v>11501</v>
      </c>
      <c r="G54" s="611">
        <f t="shared" si="29"/>
        <v>0</v>
      </c>
      <c r="H54" s="611">
        <f t="shared" si="29"/>
        <v>405885</v>
      </c>
      <c r="I54" s="611">
        <f>D54+H54</f>
        <v>1995619</v>
      </c>
      <c r="J54" s="611">
        <f t="shared" ref="J54:L54" si="30">J10+J36</f>
        <v>360653</v>
      </c>
      <c r="K54" s="611">
        <f t="shared" si="30"/>
        <v>0</v>
      </c>
      <c r="L54" s="611">
        <f t="shared" si="30"/>
        <v>267643</v>
      </c>
      <c r="M54" s="612">
        <f>M10+M36</f>
        <v>2229531</v>
      </c>
    </row>
    <row r="55" spans="1:15" ht="16.5" thickBot="1" x14ac:dyDescent="0.25">
      <c r="A55" s="373" t="s">
        <v>1122</v>
      </c>
      <c r="B55" s="127">
        <f t="shared" ref="B55:H57" si="31">SUM(B11+B37)</f>
        <v>1987268</v>
      </c>
      <c r="C55" s="127">
        <f t="shared" si="31"/>
        <v>30000</v>
      </c>
      <c r="D55" s="127">
        <f t="shared" si="31"/>
        <v>2017268</v>
      </c>
      <c r="E55" s="127">
        <f t="shared" si="31"/>
        <v>526642</v>
      </c>
      <c r="F55" s="127">
        <f t="shared" si="31"/>
        <v>40295</v>
      </c>
      <c r="G55" s="127">
        <f t="shared" si="31"/>
        <v>0</v>
      </c>
      <c r="H55" s="127">
        <f t="shared" si="31"/>
        <v>566937</v>
      </c>
      <c r="I55" s="127">
        <f>D55+H55</f>
        <v>2584205</v>
      </c>
      <c r="J55" s="127">
        <f t="shared" ref="J55:L56" si="32">SUM(J11+J37)</f>
        <v>495613</v>
      </c>
      <c r="K55" s="127">
        <f t="shared" si="32"/>
        <v>0</v>
      </c>
      <c r="L55" s="127">
        <f t="shared" si="32"/>
        <v>303813</v>
      </c>
      <c r="M55" s="128">
        <f>D55+H55+J55+K55+L55</f>
        <v>3383631</v>
      </c>
      <c r="O55" s="366"/>
    </row>
    <row r="56" spans="1:15" ht="16.5" thickBot="1" x14ac:dyDescent="0.25">
      <c r="A56" s="373" t="s">
        <v>1294</v>
      </c>
      <c r="B56" s="127">
        <f t="shared" si="31"/>
        <v>1854968</v>
      </c>
      <c r="C56" s="127">
        <f t="shared" si="31"/>
        <v>30000</v>
      </c>
      <c r="D56" s="127">
        <f t="shared" si="31"/>
        <v>1884968</v>
      </c>
      <c r="E56" s="127">
        <f t="shared" si="31"/>
        <v>548867</v>
      </c>
      <c r="F56" s="127">
        <f t="shared" si="31"/>
        <v>69776</v>
      </c>
      <c r="G56" s="127">
        <f t="shared" si="31"/>
        <v>0</v>
      </c>
      <c r="H56" s="127">
        <f t="shared" si="31"/>
        <v>618643</v>
      </c>
      <c r="I56" s="127">
        <f>D56+H56</f>
        <v>2503611</v>
      </c>
      <c r="J56" s="127">
        <f t="shared" si="32"/>
        <v>495613</v>
      </c>
      <c r="K56" s="127">
        <f t="shared" si="32"/>
        <v>7455</v>
      </c>
      <c r="L56" s="127">
        <f t="shared" si="32"/>
        <v>303813</v>
      </c>
      <c r="M56" s="128">
        <f>D56+H56+J56+K56+L56</f>
        <v>3310492</v>
      </c>
    </row>
    <row r="57" spans="1:15" ht="16.5" hidden="1" customHeight="1" thickBot="1" x14ac:dyDescent="0.25">
      <c r="A57" s="373" t="s">
        <v>936</v>
      </c>
      <c r="B57" s="127" t="e">
        <f t="shared" si="31"/>
        <v>#REF!</v>
      </c>
      <c r="C57" s="127">
        <f t="shared" si="31"/>
        <v>0</v>
      </c>
      <c r="D57" s="127" t="e">
        <f t="shared" si="31"/>
        <v>#REF!</v>
      </c>
      <c r="E57" s="127">
        <f t="shared" si="31"/>
        <v>0</v>
      </c>
      <c r="F57" s="127">
        <f t="shared" si="31"/>
        <v>0</v>
      </c>
      <c r="G57" s="127">
        <f t="shared" si="31"/>
        <v>0</v>
      </c>
      <c r="H57" s="127">
        <f t="shared" si="31"/>
        <v>0</v>
      </c>
      <c r="I57" s="744"/>
      <c r="J57" s="744"/>
      <c r="K57" s="744"/>
      <c r="L57" s="744"/>
      <c r="M57" s="128" t="e">
        <f>SUM(H57,D57)</f>
        <v>#REF!</v>
      </c>
    </row>
    <row r="58" spans="1:15" ht="16.5" hidden="1" thickBot="1" x14ac:dyDescent="0.25">
      <c r="A58" s="373" t="s">
        <v>974</v>
      </c>
      <c r="B58" s="127">
        <f t="shared" ref="B58:H59" si="33">SUM(B14+B40)</f>
        <v>0</v>
      </c>
      <c r="C58" s="127">
        <f t="shared" si="33"/>
        <v>0</v>
      </c>
      <c r="D58" s="127">
        <f t="shared" si="33"/>
        <v>0</v>
      </c>
      <c r="E58" s="127">
        <f t="shared" si="33"/>
        <v>0</v>
      </c>
      <c r="F58" s="127">
        <f t="shared" si="33"/>
        <v>0</v>
      </c>
      <c r="G58" s="127">
        <f t="shared" si="33"/>
        <v>0</v>
      </c>
      <c r="H58" s="127">
        <f t="shared" si="33"/>
        <v>0</v>
      </c>
      <c r="I58" s="744"/>
      <c r="J58" s="744"/>
      <c r="K58" s="744"/>
      <c r="L58" s="744"/>
      <c r="M58" s="128">
        <f>SUM(H58,D58)</f>
        <v>0</v>
      </c>
    </row>
    <row r="59" spans="1:15" ht="16.5" hidden="1" thickBot="1" x14ac:dyDescent="0.25">
      <c r="A59" s="373" t="s">
        <v>1018</v>
      </c>
      <c r="B59" s="127">
        <f t="shared" si="33"/>
        <v>0</v>
      </c>
      <c r="C59" s="127">
        <f t="shared" si="33"/>
        <v>0</v>
      </c>
      <c r="D59" s="127">
        <f t="shared" si="33"/>
        <v>0</v>
      </c>
      <c r="E59" s="127">
        <f t="shared" si="33"/>
        <v>0</v>
      </c>
      <c r="F59" s="127">
        <f t="shared" si="33"/>
        <v>0</v>
      </c>
      <c r="G59" s="127">
        <f t="shared" si="33"/>
        <v>0</v>
      </c>
      <c r="H59" s="127">
        <f t="shared" si="33"/>
        <v>0</v>
      </c>
      <c r="I59" s="744"/>
      <c r="J59" s="744"/>
      <c r="K59" s="744"/>
      <c r="L59" s="744"/>
      <c r="M59" s="128">
        <f>SUM(H59,D59)</f>
        <v>0</v>
      </c>
    </row>
    <row r="60" spans="1:15" ht="16.5" hidden="1" thickBot="1" x14ac:dyDescent="0.25">
      <c r="A60" s="373"/>
      <c r="B60" s="127" t="e">
        <f t="shared" ref="B60:H60" si="34">SUM(B16+B42)</f>
        <v>#REF!</v>
      </c>
      <c r="C60" s="127">
        <f t="shared" si="34"/>
        <v>0</v>
      </c>
      <c r="D60" s="127" t="e">
        <f t="shared" si="34"/>
        <v>#REF!</v>
      </c>
      <c r="E60" s="127">
        <f t="shared" si="34"/>
        <v>0</v>
      </c>
      <c r="F60" s="127">
        <f t="shared" si="34"/>
        <v>10295</v>
      </c>
      <c r="G60" s="127">
        <f t="shared" si="34"/>
        <v>0</v>
      </c>
      <c r="H60" s="127">
        <f t="shared" si="34"/>
        <v>10295</v>
      </c>
      <c r="I60" s="744"/>
      <c r="J60" s="744"/>
      <c r="K60" s="744"/>
      <c r="L60" s="744"/>
      <c r="M60" s="128" t="e">
        <f>SUM(H60,D60)</f>
        <v>#REF!</v>
      </c>
    </row>
    <row r="61" spans="1:15" ht="16.5" hidden="1" thickBot="1" x14ac:dyDescent="0.25">
      <c r="A61" s="373" t="s">
        <v>1019</v>
      </c>
      <c r="B61" s="127">
        <f t="shared" ref="B61:H61" si="35">SUM(B17+B43)</f>
        <v>0</v>
      </c>
      <c r="C61" s="127">
        <f t="shared" si="35"/>
        <v>0</v>
      </c>
      <c r="D61" s="127">
        <f t="shared" si="35"/>
        <v>0</v>
      </c>
      <c r="E61" s="127">
        <f t="shared" si="35"/>
        <v>0</v>
      </c>
      <c r="F61" s="127">
        <f t="shared" si="35"/>
        <v>0</v>
      </c>
      <c r="G61" s="127">
        <f t="shared" si="35"/>
        <v>0</v>
      </c>
      <c r="H61" s="127">
        <f t="shared" si="35"/>
        <v>0</v>
      </c>
      <c r="I61" s="744"/>
      <c r="J61" s="744"/>
      <c r="K61" s="744"/>
      <c r="L61" s="744"/>
      <c r="M61" s="128">
        <f>SUM(H61,D61)</f>
        <v>0</v>
      </c>
    </row>
    <row r="62" spans="1:15" ht="12.95" customHeight="1" x14ac:dyDescent="0.2">
      <c r="A62" s="66" t="s">
        <v>372</v>
      </c>
      <c r="M62" s="366">
        <f>SUM('7.finanszírozás.'!F86)</f>
        <v>-303813</v>
      </c>
      <c r="O62" s="366"/>
    </row>
    <row r="63" spans="1:15" ht="12.95" customHeight="1" x14ac:dyDescent="0.2">
      <c r="A63" s="66" t="s">
        <v>375</v>
      </c>
      <c r="M63" s="367">
        <f>SUM(M56+M62)</f>
        <v>3006679</v>
      </c>
    </row>
    <row r="64" spans="1:15" x14ac:dyDescent="0.2">
      <c r="O64" s="366"/>
    </row>
  </sheetData>
  <mergeCells count="17">
    <mergeCell ref="H8:H9"/>
    <mergeCell ref="I7:I9"/>
    <mergeCell ref="A1:M1"/>
    <mergeCell ref="A5:M5"/>
    <mergeCell ref="A7:A9"/>
    <mergeCell ref="B7:D7"/>
    <mergeCell ref="E7:H7"/>
    <mergeCell ref="M7:M9"/>
    <mergeCell ref="B8:B9"/>
    <mergeCell ref="J7:L7"/>
    <mergeCell ref="J8:J9"/>
    <mergeCell ref="K8:K9"/>
    <mergeCell ref="L8:L9"/>
    <mergeCell ref="D8:D9"/>
    <mergeCell ref="E8:E9"/>
    <mergeCell ref="F8:F9"/>
    <mergeCell ref="G8:G9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4"/>
  <sheetViews>
    <sheetView zoomScale="80" zoomScaleNormal="80" workbookViewId="0">
      <selection activeCell="C45" sqref="C45:E45"/>
    </sheetView>
  </sheetViews>
  <sheetFormatPr defaultRowHeight="12.75" x14ac:dyDescent="0.2"/>
  <cols>
    <col min="1" max="1" width="51" style="66" customWidth="1"/>
    <col min="2" max="2" width="13" style="366" customWidth="1"/>
    <col min="3" max="3" width="12" style="366" customWidth="1"/>
    <col min="4" max="4" width="10.7109375" style="366" customWidth="1"/>
    <col min="5" max="6" width="10.42578125" style="366" customWidth="1"/>
    <col min="7" max="7" width="11.42578125" style="367" customWidth="1"/>
    <col min="8" max="8" width="9.85546875" style="366" customWidth="1"/>
    <col min="9" max="9" width="12" style="366" customWidth="1"/>
    <col min="10" max="10" width="11.42578125" style="366" customWidth="1"/>
    <col min="11" max="11" width="11.140625" style="366" customWidth="1"/>
    <col min="12" max="13" width="12.28515625" style="366" customWidth="1"/>
    <col min="14" max="14" width="9.140625" style="66" customWidth="1"/>
    <col min="15" max="15" width="9.85546875" style="66" customWidth="1"/>
    <col min="16" max="16384" width="9.140625" style="66"/>
  </cols>
  <sheetData>
    <row r="1" spans="1:25" x14ac:dyDescent="0.2">
      <c r="A1" s="779" t="s">
        <v>241</v>
      </c>
      <c r="B1" s="779"/>
      <c r="C1" s="779"/>
      <c r="D1" s="779"/>
      <c r="E1" s="779"/>
      <c r="F1" s="779"/>
      <c r="G1" s="779"/>
      <c r="H1" s="779"/>
      <c r="I1" s="779"/>
      <c r="J1" s="779"/>
      <c r="K1" s="779"/>
      <c r="L1" s="779"/>
      <c r="M1" s="779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x14ac:dyDescent="0.2">
      <c r="A2" s="407"/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8" t="str">
        <f>'1.Bev-kiad.'!F2</f>
        <v>a 12/2026.(X.2.) önkormányzati rendelethez</v>
      </c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408" t="s">
        <v>1139</v>
      </c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25" x14ac:dyDescent="0.2">
      <c r="A4" s="365"/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17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15" customHeight="1" x14ac:dyDescent="0.2">
      <c r="A5" s="780" t="s">
        <v>1026</v>
      </c>
      <c r="B5" s="780"/>
      <c r="C5" s="780"/>
      <c r="D5" s="780"/>
      <c r="E5" s="780"/>
      <c r="F5" s="780"/>
      <c r="G5" s="780"/>
      <c r="H5" s="780"/>
      <c r="I5" s="780"/>
      <c r="J5" s="780"/>
      <c r="K5" s="780"/>
      <c r="L5" s="780"/>
      <c r="M5" s="780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 spans="1:25" ht="12.95" customHeight="1" thickBot="1" x14ac:dyDescent="0.25">
      <c r="M6" s="361" t="s">
        <v>0</v>
      </c>
    </row>
    <row r="7" spans="1:25" ht="16.5" customHeight="1" x14ac:dyDescent="0.2">
      <c r="A7" s="781"/>
      <c r="B7" s="784" t="s">
        <v>58</v>
      </c>
      <c r="C7" s="785"/>
      <c r="D7" s="785"/>
      <c r="E7" s="785"/>
      <c r="F7" s="785"/>
      <c r="G7" s="786"/>
      <c r="H7" s="784" t="s">
        <v>333</v>
      </c>
      <c r="I7" s="785"/>
      <c r="J7" s="785"/>
      <c r="K7" s="785"/>
      <c r="L7" s="786"/>
      <c r="M7" s="787" t="s">
        <v>59</v>
      </c>
    </row>
    <row r="8" spans="1:25" ht="27.75" customHeight="1" x14ac:dyDescent="0.2">
      <c r="A8" s="782"/>
      <c r="B8" s="790" t="s">
        <v>328</v>
      </c>
      <c r="C8" s="791" t="s">
        <v>373</v>
      </c>
      <c r="D8" s="792"/>
      <c r="E8" s="793" t="s">
        <v>412</v>
      </c>
      <c r="F8" s="790" t="s">
        <v>380</v>
      </c>
      <c r="G8" s="790" t="s">
        <v>6</v>
      </c>
      <c r="H8" s="790" t="s">
        <v>347</v>
      </c>
      <c r="I8" s="790" t="s">
        <v>329</v>
      </c>
      <c r="J8" s="790" t="s">
        <v>383</v>
      </c>
      <c r="K8" s="790" t="s">
        <v>416</v>
      </c>
      <c r="L8" s="790" t="s">
        <v>10</v>
      </c>
      <c r="M8" s="788"/>
    </row>
    <row r="9" spans="1:25" ht="66" customHeight="1" thickBot="1" x14ac:dyDescent="0.25">
      <c r="A9" s="783"/>
      <c r="B9" s="778"/>
      <c r="C9" s="64" t="s">
        <v>410</v>
      </c>
      <c r="D9" s="64" t="s">
        <v>411</v>
      </c>
      <c r="E9" s="794"/>
      <c r="F9" s="778"/>
      <c r="G9" s="778"/>
      <c r="H9" s="778"/>
      <c r="I9" s="778"/>
      <c r="J9" s="778"/>
      <c r="K9" s="778"/>
      <c r="L9" s="778"/>
      <c r="M9" s="789"/>
    </row>
    <row r="10" spans="1:25" ht="18" customHeight="1" thickBot="1" x14ac:dyDescent="0.25">
      <c r="A10" s="596" t="s">
        <v>1017</v>
      </c>
      <c r="B10" s="597">
        <f>B18+B27</f>
        <v>1507115</v>
      </c>
      <c r="C10" s="597">
        <f t="shared" ref="C10:L10" si="0">C18+C27</f>
        <v>0</v>
      </c>
      <c r="D10" s="597">
        <f t="shared" si="0"/>
        <v>29805</v>
      </c>
      <c r="E10" s="597">
        <f t="shared" si="0"/>
        <v>27576</v>
      </c>
      <c r="F10" s="597">
        <f t="shared" si="0"/>
        <v>319717</v>
      </c>
      <c r="G10" s="597">
        <f t="shared" si="0"/>
        <v>1884213</v>
      </c>
      <c r="H10" s="597">
        <f t="shared" si="0"/>
        <v>394384</v>
      </c>
      <c r="I10" s="597">
        <f t="shared" si="0"/>
        <v>11501</v>
      </c>
      <c r="J10" s="597">
        <f t="shared" si="0"/>
        <v>38889</v>
      </c>
      <c r="K10" s="597">
        <f t="shared" si="0"/>
        <v>0</v>
      </c>
      <c r="L10" s="597">
        <f t="shared" si="0"/>
        <v>444774</v>
      </c>
      <c r="M10" s="598">
        <f>M18+M27</f>
        <v>2328987</v>
      </c>
    </row>
    <row r="11" spans="1:25" ht="18" customHeight="1" thickBot="1" x14ac:dyDescent="0.25">
      <c r="A11" s="117" t="s">
        <v>1117</v>
      </c>
      <c r="B11" s="125">
        <f t="shared" ref="B11:L11" si="1">B19+B28</f>
        <v>1927458</v>
      </c>
      <c r="C11" s="125">
        <f t="shared" si="1"/>
        <v>0</v>
      </c>
      <c r="D11" s="125">
        <f t="shared" si="1"/>
        <v>30000</v>
      </c>
      <c r="E11" s="125">
        <f t="shared" si="1"/>
        <v>0</v>
      </c>
      <c r="F11" s="125">
        <f t="shared" si="1"/>
        <v>189090</v>
      </c>
      <c r="G11" s="125">
        <f t="shared" si="1"/>
        <v>2146548</v>
      </c>
      <c r="H11" s="125">
        <f t="shared" si="1"/>
        <v>526642</v>
      </c>
      <c r="I11" s="125">
        <f t="shared" si="1"/>
        <v>40295</v>
      </c>
      <c r="J11" s="125">
        <f t="shared" si="1"/>
        <v>298423</v>
      </c>
      <c r="K11" s="125">
        <f t="shared" si="1"/>
        <v>0</v>
      </c>
      <c r="L11" s="125">
        <f t="shared" si="1"/>
        <v>865360</v>
      </c>
      <c r="M11" s="119">
        <f>SUM(L11,G11)</f>
        <v>3011908</v>
      </c>
    </row>
    <row r="12" spans="1:25" ht="17.25" hidden="1" customHeight="1" thickBot="1" x14ac:dyDescent="0.25">
      <c r="A12" s="117" t="s">
        <v>891</v>
      </c>
      <c r="B12" s="125">
        <f t="shared" ref="B12:L12" si="2">B20+B29</f>
        <v>1796705</v>
      </c>
      <c r="C12" s="125">
        <f t="shared" si="2"/>
        <v>0</v>
      </c>
      <c r="D12" s="125">
        <f t="shared" si="2"/>
        <v>30000</v>
      </c>
      <c r="E12" s="125">
        <f t="shared" si="2"/>
        <v>0</v>
      </c>
      <c r="F12" s="125">
        <f t="shared" si="2"/>
        <v>189090</v>
      </c>
      <c r="G12" s="125">
        <f t="shared" si="2"/>
        <v>2015795</v>
      </c>
      <c r="H12" s="125">
        <f t="shared" si="2"/>
        <v>548867</v>
      </c>
      <c r="I12" s="125">
        <f t="shared" si="2"/>
        <v>10295</v>
      </c>
      <c r="J12" s="125">
        <f t="shared" si="2"/>
        <v>298423</v>
      </c>
      <c r="K12" s="125">
        <f t="shared" si="2"/>
        <v>0</v>
      </c>
      <c r="L12" s="125">
        <f t="shared" si="2"/>
        <v>857585</v>
      </c>
      <c r="M12" s="119">
        <f t="shared" ref="M12:M17" si="3">SUM(L12,G12)</f>
        <v>2873380</v>
      </c>
    </row>
    <row r="13" spans="1:25" ht="16.5" hidden="1" customHeight="1" thickBot="1" x14ac:dyDescent="0.25">
      <c r="A13" s="117" t="s">
        <v>932</v>
      </c>
      <c r="B13" s="125" t="e">
        <f t="shared" ref="B13:L13" si="4">B21+B30</f>
        <v>#REF!</v>
      </c>
      <c r="C13" s="125">
        <f t="shared" si="4"/>
        <v>0</v>
      </c>
      <c r="D13" s="125">
        <f t="shared" si="4"/>
        <v>0</v>
      </c>
      <c r="E13" s="125">
        <f t="shared" si="4"/>
        <v>0</v>
      </c>
      <c r="F13" s="125">
        <f t="shared" si="4"/>
        <v>-2047</v>
      </c>
      <c r="G13" s="125" t="e">
        <f t="shared" si="4"/>
        <v>#REF!</v>
      </c>
      <c r="H13" s="125">
        <f t="shared" si="4"/>
        <v>0</v>
      </c>
      <c r="I13" s="125">
        <f t="shared" si="4"/>
        <v>0</v>
      </c>
      <c r="J13" s="125">
        <f t="shared" si="4"/>
        <v>0</v>
      </c>
      <c r="K13" s="125">
        <f t="shared" si="4"/>
        <v>0</v>
      </c>
      <c r="L13" s="125">
        <f t="shared" si="4"/>
        <v>0</v>
      </c>
      <c r="M13" s="119" t="e">
        <f t="shared" si="3"/>
        <v>#REF!</v>
      </c>
      <c r="O13" s="366"/>
    </row>
    <row r="14" spans="1:25" ht="17.25" hidden="1" customHeight="1" thickBot="1" x14ac:dyDescent="0.25">
      <c r="A14" s="117" t="s">
        <v>971</v>
      </c>
      <c r="B14" s="125">
        <f t="shared" ref="B14:L15" si="5">B22+B31</f>
        <v>-3550</v>
      </c>
      <c r="C14" s="125">
        <f t="shared" si="5"/>
        <v>0</v>
      </c>
      <c r="D14" s="125">
        <f t="shared" si="5"/>
        <v>0</v>
      </c>
      <c r="E14" s="125">
        <f t="shared" si="5"/>
        <v>0</v>
      </c>
      <c r="F14" s="125">
        <f t="shared" si="5"/>
        <v>-2047</v>
      </c>
      <c r="G14" s="125">
        <f t="shared" si="5"/>
        <v>-5597</v>
      </c>
      <c r="H14" s="125">
        <f t="shared" si="5"/>
        <v>0</v>
      </c>
      <c r="I14" s="125">
        <f t="shared" si="5"/>
        <v>0</v>
      </c>
      <c r="J14" s="125">
        <f t="shared" si="5"/>
        <v>0</v>
      </c>
      <c r="K14" s="125">
        <f t="shared" si="5"/>
        <v>0</v>
      </c>
      <c r="L14" s="125">
        <f t="shared" si="5"/>
        <v>0</v>
      </c>
      <c r="M14" s="119">
        <f t="shared" si="3"/>
        <v>-5597</v>
      </c>
    </row>
    <row r="15" spans="1:25" ht="17.25" hidden="1" customHeight="1" thickBot="1" x14ac:dyDescent="0.25">
      <c r="A15" s="117" t="s">
        <v>1011</v>
      </c>
      <c r="B15" s="125">
        <f t="shared" si="5"/>
        <v>-3550</v>
      </c>
      <c r="C15" s="125">
        <f t="shared" si="5"/>
        <v>0</v>
      </c>
      <c r="D15" s="125">
        <f t="shared" si="5"/>
        <v>0</v>
      </c>
      <c r="E15" s="125">
        <f t="shared" si="5"/>
        <v>0</v>
      </c>
      <c r="F15" s="125">
        <f t="shared" si="5"/>
        <v>-2047</v>
      </c>
      <c r="G15" s="125">
        <f t="shared" si="5"/>
        <v>-5597</v>
      </c>
      <c r="H15" s="125">
        <f t="shared" si="5"/>
        <v>0</v>
      </c>
      <c r="I15" s="125">
        <f t="shared" si="5"/>
        <v>0</v>
      </c>
      <c r="J15" s="125">
        <f t="shared" si="5"/>
        <v>0</v>
      </c>
      <c r="K15" s="125">
        <f t="shared" si="5"/>
        <v>0</v>
      </c>
      <c r="L15" s="125">
        <f t="shared" si="5"/>
        <v>0</v>
      </c>
      <c r="M15" s="119">
        <f t="shared" ref="M15" si="6">SUM(L15,G15)</f>
        <v>-5597</v>
      </c>
    </row>
    <row r="16" spans="1:25" ht="13.5" hidden="1" customHeight="1" thickBot="1" x14ac:dyDescent="0.25">
      <c r="A16" s="117"/>
      <c r="B16" s="125">
        <f t="shared" ref="B16:L16" si="7">B24+B33</f>
        <v>0</v>
      </c>
      <c r="C16" s="125">
        <f t="shared" si="7"/>
        <v>0</v>
      </c>
      <c r="D16" s="125">
        <f t="shared" si="7"/>
        <v>0</v>
      </c>
      <c r="E16" s="125">
        <f t="shared" si="7"/>
        <v>0</v>
      </c>
      <c r="F16" s="125">
        <f t="shared" si="7"/>
        <v>0</v>
      </c>
      <c r="G16" s="125">
        <f t="shared" si="7"/>
        <v>0</v>
      </c>
      <c r="H16" s="125">
        <f t="shared" si="7"/>
        <v>0</v>
      </c>
      <c r="I16" s="125">
        <f t="shared" si="7"/>
        <v>10295</v>
      </c>
      <c r="J16" s="125">
        <f t="shared" si="7"/>
        <v>0</v>
      </c>
      <c r="K16" s="125">
        <f t="shared" si="7"/>
        <v>0</v>
      </c>
      <c r="L16" s="125">
        <f t="shared" si="7"/>
        <v>10295</v>
      </c>
      <c r="M16" s="119">
        <f t="shared" si="3"/>
        <v>10295</v>
      </c>
    </row>
    <row r="17" spans="1:13" ht="13.5" hidden="1" customHeight="1" thickBot="1" x14ac:dyDescent="0.25">
      <c r="A17" s="117" t="s">
        <v>1017</v>
      </c>
      <c r="B17" s="125">
        <f t="shared" ref="B17:L17" si="8">B25+B34</f>
        <v>-52814</v>
      </c>
      <c r="C17" s="125">
        <f t="shared" si="8"/>
        <v>0</v>
      </c>
      <c r="D17" s="125">
        <f t="shared" si="8"/>
        <v>0</v>
      </c>
      <c r="E17" s="125">
        <f t="shared" si="8"/>
        <v>0</v>
      </c>
      <c r="F17" s="125">
        <f t="shared" si="8"/>
        <v>-2047</v>
      </c>
      <c r="G17" s="125">
        <f t="shared" si="8"/>
        <v>-54861</v>
      </c>
      <c r="H17" s="125">
        <f t="shared" si="8"/>
        <v>0</v>
      </c>
      <c r="I17" s="125">
        <f t="shared" si="8"/>
        <v>0</v>
      </c>
      <c r="J17" s="125">
        <f t="shared" si="8"/>
        <v>0</v>
      </c>
      <c r="K17" s="125">
        <f t="shared" si="8"/>
        <v>0</v>
      </c>
      <c r="L17" s="125">
        <f t="shared" si="8"/>
        <v>0</v>
      </c>
      <c r="M17" s="119">
        <f t="shared" si="3"/>
        <v>-54861</v>
      </c>
    </row>
    <row r="18" spans="1:13" s="602" customFormat="1" ht="13.5" customHeight="1" x14ac:dyDescent="0.2">
      <c r="A18" s="599" t="s">
        <v>1123</v>
      </c>
      <c r="B18" s="533">
        <v>1507115</v>
      </c>
      <c r="C18" s="600"/>
      <c r="D18" s="533">
        <v>29805</v>
      </c>
      <c r="E18" s="533">
        <v>27576</v>
      </c>
      <c r="F18" s="533">
        <v>319717</v>
      </c>
      <c r="G18" s="533">
        <f>SUM(B18:F18)</f>
        <v>1884213</v>
      </c>
      <c r="H18" s="157">
        <v>394384</v>
      </c>
      <c r="I18" s="157">
        <v>11101</v>
      </c>
      <c r="J18" s="242">
        <v>38889</v>
      </c>
      <c r="K18" s="533">
        <v>0</v>
      </c>
      <c r="L18" s="533">
        <f>SUM(H18:K18)</f>
        <v>444374</v>
      </c>
      <c r="M18" s="601">
        <f>G18+L18</f>
        <v>2328587</v>
      </c>
    </row>
    <row r="19" spans="1:13" ht="16.5" customHeight="1" x14ac:dyDescent="0.2">
      <c r="A19" s="275" t="s">
        <v>1118</v>
      </c>
      <c r="B19" s="242">
        <f>SUM('7.finanszírozás.'!C10)-'2.működés'!D105</f>
        <v>1927458</v>
      </c>
      <c r="C19" s="368"/>
      <c r="D19" s="242">
        <f>'2.működés'!D105</f>
        <v>30000</v>
      </c>
      <c r="E19" s="242"/>
      <c r="F19" s="242">
        <f>SUM('2.működés'!D114)-F45</f>
        <v>189090</v>
      </c>
      <c r="G19" s="242">
        <f>SUM(B19:F19)</f>
        <v>2146548</v>
      </c>
      <c r="H19" s="242">
        <f>'3.felh'!D13</f>
        <v>526642</v>
      </c>
      <c r="I19" s="242">
        <f>'3.felh'!D34+'3.felh'!D28</f>
        <v>40295</v>
      </c>
      <c r="J19" s="242">
        <f>SUM('3.felh'!D40)</f>
        <v>298423</v>
      </c>
      <c r="K19" s="242"/>
      <c r="L19" s="242">
        <f>SUM(H19:K19)</f>
        <v>865360</v>
      </c>
      <c r="M19" s="369">
        <f>SUM(L19,G19)</f>
        <v>3011908</v>
      </c>
    </row>
    <row r="20" spans="1:13" ht="16.5" hidden="1" customHeight="1" x14ac:dyDescent="0.2">
      <c r="A20" s="275" t="s">
        <v>892</v>
      </c>
      <c r="B20" s="242">
        <f>SUM('7.finanszírozás.'!C11-'2.működés'!F105)</f>
        <v>1796705</v>
      </c>
      <c r="C20" s="368"/>
      <c r="D20" s="242">
        <f>SUM('2.működés'!F105)</f>
        <v>30000</v>
      </c>
      <c r="E20" s="242"/>
      <c r="F20" s="242">
        <f>SUM('2.működés'!F114-'7.finanszírozás.'!D38)</f>
        <v>189090</v>
      </c>
      <c r="G20" s="242">
        <f t="shared" ref="G20:G35" si="9">SUM(B20:F20)</f>
        <v>2015795</v>
      </c>
      <c r="H20" s="157">
        <f>'3.felh'!F13</f>
        <v>548867</v>
      </c>
      <c r="I20" s="157">
        <f>'3.felh'!F34</f>
        <v>10295</v>
      </c>
      <c r="J20" s="242">
        <f>'1.Bev-kiad.'!F59</f>
        <v>298423</v>
      </c>
      <c r="K20" s="242"/>
      <c r="L20" s="242">
        <f>SUM(H20:K20)</f>
        <v>857585</v>
      </c>
      <c r="M20" s="369">
        <f t="shared" ref="M20:M35" si="10">SUM(L20,G20)</f>
        <v>2873380</v>
      </c>
    </row>
    <row r="21" spans="1:13" ht="16.5" hidden="1" customHeight="1" x14ac:dyDescent="0.2">
      <c r="A21" s="275" t="s">
        <v>933</v>
      </c>
      <c r="B21" s="242" t="e">
        <f>SUM('7.finanszírozás.'!C12-'2.működés'!H105)</f>
        <v>#REF!</v>
      </c>
      <c r="C21" s="368"/>
      <c r="D21" s="242">
        <f>SUM('2.működés'!H105)</f>
        <v>0</v>
      </c>
      <c r="E21" s="242"/>
      <c r="F21" s="242">
        <f>SUM('2.működés'!H114-'7.finanszírozás.'!D39)</f>
        <v>-2047</v>
      </c>
      <c r="G21" s="242" t="e">
        <f t="shared" ref="G21" si="11">SUM(B21:F21)</f>
        <v>#REF!</v>
      </c>
      <c r="H21" s="157">
        <f>'3.felh'!H13</f>
        <v>0</v>
      </c>
      <c r="I21" s="157">
        <f>'3.felh'!H34</f>
        <v>0</v>
      </c>
      <c r="J21" s="242">
        <f>'1.Bev-kiad.'!H59</f>
        <v>0</v>
      </c>
      <c r="K21" s="242"/>
      <c r="L21" s="242">
        <f>SUM(H21:K21)</f>
        <v>0</v>
      </c>
      <c r="M21" s="369" t="e">
        <f t="shared" ref="M21" si="12">SUM(L21,G21)</f>
        <v>#REF!</v>
      </c>
    </row>
    <row r="22" spans="1:13" ht="16.5" hidden="1" customHeight="1" x14ac:dyDescent="0.2">
      <c r="A22" s="275" t="s">
        <v>970</v>
      </c>
      <c r="B22" s="242">
        <f>SUM('7.finanszírozás.'!C13-'2.működés'!J105)</f>
        <v>-3550</v>
      </c>
      <c r="C22" s="368"/>
      <c r="D22" s="242">
        <f>SUM('2.működés'!J105)</f>
        <v>0</v>
      </c>
      <c r="E22" s="242">
        <f>'2.működés'!J119</f>
        <v>0</v>
      </c>
      <c r="F22" s="242">
        <f>SUM('2.működés'!J114-'7.finanszírozás.'!D40)</f>
        <v>-2047</v>
      </c>
      <c r="G22" s="242">
        <f t="shared" si="9"/>
        <v>-5597</v>
      </c>
      <c r="H22" s="157">
        <f>'3.felh'!J13</f>
        <v>0</v>
      </c>
      <c r="I22" s="157">
        <f>'3.felh'!J34</f>
        <v>0</v>
      </c>
      <c r="J22" s="242">
        <f>'1.Bev-kiad.'!J59</f>
        <v>0</v>
      </c>
      <c r="K22" s="242"/>
      <c r="L22" s="242">
        <f t="shared" ref="L22:L35" si="13">SUM(H22:K22)</f>
        <v>0</v>
      </c>
      <c r="M22" s="369">
        <f t="shared" si="10"/>
        <v>-5597</v>
      </c>
    </row>
    <row r="23" spans="1:13" ht="16.5" hidden="1" customHeight="1" x14ac:dyDescent="0.2">
      <c r="A23" s="275" t="s">
        <v>1012</v>
      </c>
      <c r="B23" s="242">
        <f>SUM('7.finanszírozás.'!C14-'2.működés'!L105)</f>
        <v>-3550</v>
      </c>
      <c r="C23" s="368"/>
      <c r="D23" s="242">
        <f>SUM('2.működés'!L105)</f>
        <v>0</v>
      </c>
      <c r="E23" s="242">
        <f>'2.működés'!L119</f>
        <v>0</v>
      </c>
      <c r="F23" s="242">
        <f>SUM('2.működés'!L114-'7.finanszírozás.'!D41)</f>
        <v>-2047</v>
      </c>
      <c r="G23" s="242">
        <f t="shared" ref="G23" si="14">SUM(B23:F23)</f>
        <v>-5597</v>
      </c>
      <c r="H23" s="157">
        <f>'3.felh'!L13</f>
        <v>0</v>
      </c>
      <c r="I23" s="157">
        <f>'3.felh'!L34</f>
        <v>0</v>
      </c>
      <c r="J23" s="242">
        <f>'1.Bev-kiad.'!L59</f>
        <v>0</v>
      </c>
      <c r="K23" s="242"/>
      <c r="L23" s="242">
        <f t="shared" ref="L23" si="15">SUM(H23:K23)</f>
        <v>0</v>
      </c>
      <c r="M23" s="369">
        <f t="shared" ref="M23" si="16">SUM(L23,G23)</f>
        <v>-5597</v>
      </c>
    </row>
    <row r="24" spans="1:13" ht="16.5" hidden="1" customHeight="1" x14ac:dyDescent="0.2">
      <c r="A24" s="275"/>
      <c r="B24" s="242"/>
      <c r="C24" s="368"/>
      <c r="D24" s="242"/>
      <c r="E24" s="242"/>
      <c r="F24" s="242"/>
      <c r="G24" s="242">
        <f t="shared" si="9"/>
        <v>0</v>
      </c>
      <c r="H24" s="242"/>
      <c r="I24" s="242"/>
      <c r="J24" s="242"/>
      <c r="K24" s="242"/>
      <c r="L24" s="242">
        <f t="shared" si="13"/>
        <v>0</v>
      </c>
      <c r="M24" s="369">
        <f>SUM(L24,G24)</f>
        <v>0</v>
      </c>
    </row>
    <row r="25" spans="1:13" ht="16.5" hidden="1" customHeight="1" x14ac:dyDescent="0.2">
      <c r="A25" s="275" t="s">
        <v>1016</v>
      </c>
      <c r="B25" s="242">
        <f>SUM('7.finanszírozás.'!C16-'2.működés'!M109)</f>
        <v>-52814</v>
      </c>
      <c r="C25" s="368"/>
      <c r="D25" s="242">
        <f>SUM('2.működés'!M109)</f>
        <v>0</v>
      </c>
      <c r="E25" s="242">
        <f>'2.működés'!M119</f>
        <v>0</v>
      </c>
      <c r="F25" s="242">
        <f>SUM('2.működés'!M114-'7.finanszírozás.'!D43)</f>
        <v>-2047</v>
      </c>
      <c r="G25" s="242">
        <f>SUM(B25:F25)</f>
        <v>-54861</v>
      </c>
      <c r="H25" s="242"/>
      <c r="I25" s="242"/>
      <c r="J25" s="242">
        <f>'1.Bev-kiad.'!M59</f>
        <v>0</v>
      </c>
      <c r="K25" s="242"/>
      <c r="L25" s="242">
        <f>SUM(H25:K25)</f>
        <v>0</v>
      </c>
      <c r="M25" s="369">
        <f>SUM(L25,G25)</f>
        <v>-54861</v>
      </c>
    </row>
    <row r="26" spans="1:13" ht="16.5" hidden="1" customHeight="1" x14ac:dyDescent="0.2">
      <c r="B26" s="242"/>
      <c r="C26" s="368"/>
      <c r="D26" s="242"/>
      <c r="E26" s="242"/>
      <c r="F26" s="242"/>
      <c r="G26" s="242">
        <f t="shared" si="9"/>
        <v>0</v>
      </c>
      <c r="H26" s="242"/>
      <c r="I26" s="242"/>
      <c r="J26" s="242"/>
      <c r="K26" s="242"/>
      <c r="L26" s="242">
        <f t="shared" si="13"/>
        <v>0</v>
      </c>
      <c r="M26" s="369">
        <f>SUM(L26,G26)</f>
        <v>0</v>
      </c>
    </row>
    <row r="27" spans="1:13" s="602" customFormat="1" ht="16.5" customHeight="1" x14ac:dyDescent="0.2">
      <c r="A27" s="599" t="s">
        <v>1124</v>
      </c>
      <c r="B27" s="603"/>
      <c r="C27" s="603"/>
      <c r="D27" s="603"/>
      <c r="E27" s="603"/>
      <c r="F27" s="603"/>
      <c r="G27" s="604">
        <v>0</v>
      </c>
      <c r="H27" s="605"/>
      <c r="I27" s="605">
        <v>400</v>
      </c>
      <c r="J27" s="606"/>
      <c r="K27" s="604"/>
      <c r="L27" s="604">
        <f>SUM(H27:K27)</f>
        <v>400</v>
      </c>
      <c r="M27" s="607">
        <f>G27+L27</f>
        <v>400</v>
      </c>
    </row>
    <row r="28" spans="1:13" ht="16.5" customHeight="1" x14ac:dyDescent="0.2">
      <c r="A28" s="275" t="s">
        <v>1119</v>
      </c>
      <c r="B28" s="124"/>
      <c r="C28" s="124"/>
      <c r="D28" s="124"/>
      <c r="E28" s="124"/>
      <c r="F28" s="124"/>
      <c r="G28" s="79">
        <f>SUM(B28:F28)</f>
        <v>0</v>
      </c>
      <c r="H28" s="157"/>
      <c r="I28" s="157"/>
      <c r="J28" s="80"/>
      <c r="K28" s="79"/>
      <c r="L28" s="79">
        <f>SUM(H28:K28)</f>
        <v>0</v>
      </c>
      <c r="M28" s="276">
        <f>SUM(L28,G28)</f>
        <v>0</v>
      </c>
    </row>
    <row r="29" spans="1:13" ht="16.5" hidden="1" customHeight="1" x14ac:dyDescent="0.2">
      <c r="A29" s="275" t="s">
        <v>893</v>
      </c>
      <c r="B29" s="124"/>
      <c r="C29" s="124"/>
      <c r="D29" s="124"/>
      <c r="E29" s="124"/>
      <c r="F29" s="124"/>
      <c r="G29" s="79">
        <f>SUM(B29:F29)</f>
        <v>0</v>
      </c>
      <c r="H29" s="157"/>
      <c r="I29" s="157">
        <f>'3.felh'!F31</f>
        <v>0</v>
      </c>
      <c r="J29" s="80"/>
      <c r="K29" s="79"/>
      <c r="L29" s="79">
        <f t="shared" si="13"/>
        <v>0</v>
      </c>
      <c r="M29" s="276">
        <f t="shared" si="10"/>
        <v>0</v>
      </c>
    </row>
    <row r="30" spans="1:13" ht="16.5" hidden="1" customHeight="1" x14ac:dyDescent="0.2">
      <c r="A30" s="275" t="s">
        <v>934</v>
      </c>
      <c r="B30" s="124"/>
      <c r="C30" s="124"/>
      <c r="D30" s="124"/>
      <c r="E30" s="124"/>
      <c r="F30" s="124"/>
      <c r="G30" s="79">
        <f>SUM(B30:F30)</f>
        <v>0</v>
      </c>
      <c r="H30" s="242"/>
      <c r="I30" s="157">
        <f>'3.felh'!H31</f>
        <v>0</v>
      </c>
      <c r="J30" s="80"/>
      <c r="K30" s="79"/>
      <c r="L30" s="79">
        <f t="shared" ref="L30" si="17">SUM(H30:K30)</f>
        <v>0</v>
      </c>
      <c r="M30" s="276">
        <f t="shared" ref="M30" si="18">SUM(L30,G30)</f>
        <v>0</v>
      </c>
    </row>
    <row r="31" spans="1:13" ht="16.5" hidden="1" customHeight="1" x14ac:dyDescent="0.2">
      <c r="A31" s="275" t="s">
        <v>972</v>
      </c>
      <c r="B31" s="124"/>
      <c r="C31" s="124"/>
      <c r="D31" s="124"/>
      <c r="E31" s="124"/>
      <c r="F31" s="124"/>
      <c r="G31" s="79">
        <f t="shared" si="9"/>
        <v>0</v>
      </c>
      <c r="H31" s="157"/>
      <c r="I31" s="157">
        <f>'3.felh'!J31</f>
        <v>0</v>
      </c>
      <c r="J31" s="80"/>
      <c r="K31" s="79"/>
      <c r="L31" s="79">
        <f t="shared" si="13"/>
        <v>0</v>
      </c>
      <c r="M31" s="276">
        <f t="shared" si="10"/>
        <v>0</v>
      </c>
    </row>
    <row r="32" spans="1:13" ht="16.5" hidden="1" customHeight="1" x14ac:dyDescent="0.2">
      <c r="A32" s="275" t="s">
        <v>1013</v>
      </c>
      <c r="B32" s="124"/>
      <c r="C32" s="124"/>
      <c r="D32" s="124"/>
      <c r="E32" s="124"/>
      <c r="F32" s="124"/>
      <c r="G32" s="79">
        <f t="shared" ref="G32" si="19">SUM(B32:F32)</f>
        <v>0</v>
      </c>
      <c r="H32" s="157"/>
      <c r="I32" s="157">
        <f>'3.felh'!L31</f>
        <v>0</v>
      </c>
      <c r="J32" s="80"/>
      <c r="K32" s="79"/>
      <c r="L32" s="79">
        <f t="shared" ref="L32" si="20">SUM(H32:K32)</f>
        <v>0</v>
      </c>
      <c r="M32" s="276">
        <f t="shared" ref="M32" si="21">SUM(L32,G32)</f>
        <v>0</v>
      </c>
    </row>
    <row r="33" spans="1:13" ht="16.5" hidden="1" customHeight="1" x14ac:dyDescent="0.2">
      <c r="A33" s="275"/>
      <c r="B33" s="124"/>
      <c r="C33" s="124"/>
      <c r="D33" s="124"/>
      <c r="E33" s="124"/>
      <c r="F33" s="124"/>
      <c r="G33" s="79">
        <f t="shared" si="9"/>
        <v>0</v>
      </c>
      <c r="H33" s="157"/>
      <c r="I33" s="157">
        <f>'3.felh'!F34</f>
        <v>10295</v>
      </c>
      <c r="J33" s="80"/>
      <c r="K33" s="79"/>
      <c r="L33" s="79">
        <f t="shared" si="13"/>
        <v>10295</v>
      </c>
      <c r="M33" s="276">
        <f>SUM(L33,G33)</f>
        <v>10295</v>
      </c>
    </row>
    <row r="34" spans="1:13" ht="16.5" hidden="1" customHeight="1" x14ac:dyDescent="0.2">
      <c r="A34" s="275" t="str">
        <f>A25</f>
        <v xml:space="preserve">       Teljesítés 2025.12.31.</v>
      </c>
      <c r="B34" s="124"/>
      <c r="C34" s="124"/>
      <c r="D34" s="124"/>
      <c r="E34" s="124"/>
      <c r="F34" s="124"/>
      <c r="G34" s="79">
        <f t="shared" si="9"/>
        <v>0</v>
      </c>
      <c r="H34" s="157">
        <f>'3.felh'!M13</f>
        <v>0</v>
      </c>
      <c r="I34" s="157">
        <f>'3.felh'!F35</f>
        <v>0</v>
      </c>
      <c r="J34" s="80"/>
      <c r="K34" s="79">
        <f>SUM('3.felh'!M43)</f>
        <v>0</v>
      </c>
      <c r="L34" s="79">
        <f t="shared" si="13"/>
        <v>0</v>
      </c>
      <c r="M34" s="276">
        <f>SUM(L34,G33)</f>
        <v>0</v>
      </c>
    </row>
    <row r="35" spans="1:13" ht="17.25" customHeight="1" thickBot="1" x14ac:dyDescent="0.25">
      <c r="A35" s="370" t="str">
        <f>A53</f>
        <v xml:space="preserve">       Államigazgatási feladatok (eredeti előirányzat 2026. év)</v>
      </c>
      <c r="B35" s="371"/>
      <c r="C35" s="371"/>
      <c r="D35" s="371"/>
      <c r="E35" s="371"/>
      <c r="F35" s="371"/>
      <c r="G35" s="79">
        <f t="shared" si="9"/>
        <v>0</v>
      </c>
      <c r="H35" s="371"/>
      <c r="I35" s="371"/>
      <c r="J35" s="371"/>
      <c r="K35" s="371"/>
      <c r="L35" s="79">
        <f t="shared" si="13"/>
        <v>0</v>
      </c>
      <c r="M35" s="276">
        <f t="shared" si="10"/>
        <v>0</v>
      </c>
    </row>
    <row r="36" spans="1:13" s="602" customFormat="1" ht="15.75" customHeight="1" thickBot="1" x14ac:dyDescent="0.25">
      <c r="A36" s="596" t="s">
        <v>1015</v>
      </c>
      <c r="B36" s="597">
        <f>B44</f>
        <v>52814</v>
      </c>
      <c r="C36" s="597">
        <f t="shared" ref="C36:L36" si="22">C44</f>
        <v>166555</v>
      </c>
      <c r="D36" s="597">
        <f t="shared" si="22"/>
        <v>0</v>
      </c>
      <c r="E36" s="597">
        <f t="shared" si="22"/>
        <v>73512</v>
      </c>
      <c r="F36" s="597">
        <f t="shared" si="22"/>
        <v>2047</v>
      </c>
      <c r="G36" s="597">
        <f t="shared" si="22"/>
        <v>294928</v>
      </c>
      <c r="H36" s="597">
        <f t="shared" si="22"/>
        <v>0</v>
      </c>
      <c r="I36" s="597">
        <f t="shared" si="22"/>
        <v>0</v>
      </c>
      <c r="J36" s="597">
        <f t="shared" si="22"/>
        <v>0</v>
      </c>
      <c r="K36" s="597">
        <f t="shared" si="22"/>
        <v>0</v>
      </c>
      <c r="L36" s="597">
        <f t="shared" si="22"/>
        <v>0</v>
      </c>
      <c r="M36" s="598">
        <f>M44</f>
        <v>294928</v>
      </c>
    </row>
    <row r="37" spans="1:13" ht="15.75" customHeight="1" thickBot="1" x14ac:dyDescent="0.25">
      <c r="A37" s="117" t="s">
        <v>1121</v>
      </c>
      <c r="B37" s="125">
        <f>SUM(B45)</f>
        <v>59810</v>
      </c>
      <c r="C37" s="125">
        <f>SUM(C45)</f>
        <v>223855</v>
      </c>
      <c r="D37" s="125">
        <f>SUM(D47)</f>
        <v>0</v>
      </c>
      <c r="E37" s="125">
        <f>SUM(E45)</f>
        <v>79958</v>
      </c>
      <c r="F37" s="125">
        <f>SUM(F45)</f>
        <v>8100</v>
      </c>
      <c r="G37" s="125">
        <f>SUM(G45)</f>
        <v>371723</v>
      </c>
      <c r="H37" s="125"/>
      <c r="I37" s="125"/>
      <c r="J37" s="125"/>
      <c r="K37" s="125"/>
      <c r="L37" s="125">
        <v>0</v>
      </c>
      <c r="M37" s="119">
        <f>SUM(G37)</f>
        <v>371723</v>
      </c>
    </row>
    <row r="38" spans="1:13" ht="15.75" hidden="1" customHeight="1" thickBot="1" x14ac:dyDescent="0.25">
      <c r="A38" s="117" t="s">
        <v>894</v>
      </c>
      <c r="B38" s="125">
        <f t="shared" ref="B38:C38" si="23">SUM(B46)</f>
        <v>58263</v>
      </c>
      <c r="C38" s="125">
        <f t="shared" si="23"/>
        <v>223855</v>
      </c>
      <c r="D38" s="125">
        <f>SUM(D48)</f>
        <v>0</v>
      </c>
      <c r="E38" s="125">
        <f t="shared" ref="E38:G38" si="24">SUM(E46)</f>
        <v>79958</v>
      </c>
      <c r="F38" s="125">
        <f t="shared" si="24"/>
        <v>8100</v>
      </c>
      <c r="G38" s="125">
        <f t="shared" si="24"/>
        <v>370176</v>
      </c>
      <c r="H38" s="125"/>
      <c r="I38" s="125"/>
      <c r="J38" s="125"/>
      <c r="K38" s="125"/>
      <c r="L38" s="125">
        <v>0</v>
      </c>
      <c r="M38" s="119">
        <f t="shared" ref="M38:M43" si="25">SUM(G38)</f>
        <v>370176</v>
      </c>
    </row>
    <row r="39" spans="1:13" ht="15.75" hidden="1" customHeight="1" thickBot="1" x14ac:dyDescent="0.25">
      <c r="A39" s="117" t="s">
        <v>935</v>
      </c>
      <c r="B39" s="125" t="e">
        <f t="shared" ref="B39:C39" si="26">SUM(B47)</f>
        <v>#REF!</v>
      </c>
      <c r="C39" s="125">
        <f t="shared" si="26"/>
        <v>166555</v>
      </c>
      <c r="D39" s="125">
        <f>SUM(D50)</f>
        <v>0</v>
      </c>
      <c r="E39" s="125">
        <f t="shared" ref="E39:G39" si="27">SUM(E47)</f>
        <v>79958</v>
      </c>
      <c r="F39" s="125">
        <f t="shared" si="27"/>
        <v>2047</v>
      </c>
      <c r="G39" s="125" t="e">
        <f t="shared" si="27"/>
        <v>#REF!</v>
      </c>
      <c r="H39" s="125"/>
      <c r="I39" s="125"/>
      <c r="J39" s="125"/>
      <c r="K39" s="125"/>
      <c r="L39" s="125"/>
      <c r="M39" s="119" t="e">
        <f t="shared" si="25"/>
        <v>#REF!</v>
      </c>
    </row>
    <row r="40" spans="1:13" ht="15.75" hidden="1" customHeight="1" thickBot="1" x14ac:dyDescent="0.25">
      <c r="A40" s="117" t="s">
        <v>973</v>
      </c>
      <c r="B40" s="125">
        <f t="shared" ref="B40:C41" si="28">SUM(B48)</f>
        <v>3550</v>
      </c>
      <c r="C40" s="125">
        <f t="shared" si="28"/>
        <v>166555</v>
      </c>
      <c r="D40" s="125">
        <f>SUM(D51)</f>
        <v>0</v>
      </c>
      <c r="E40" s="125">
        <f t="shared" ref="E40:G41" si="29">SUM(E48)</f>
        <v>-172152</v>
      </c>
      <c r="F40" s="125">
        <f t="shared" si="29"/>
        <v>2047</v>
      </c>
      <c r="G40" s="125">
        <f t="shared" si="29"/>
        <v>0</v>
      </c>
      <c r="H40" s="125"/>
      <c r="I40" s="125"/>
      <c r="J40" s="125"/>
      <c r="K40" s="125"/>
      <c r="L40" s="125"/>
      <c r="M40" s="119">
        <f t="shared" si="25"/>
        <v>0</v>
      </c>
    </row>
    <row r="41" spans="1:13" ht="15.75" hidden="1" customHeight="1" thickBot="1" x14ac:dyDescent="0.25">
      <c r="A41" s="117" t="s">
        <v>1014</v>
      </c>
      <c r="B41" s="125">
        <f t="shared" si="28"/>
        <v>3550</v>
      </c>
      <c r="C41" s="125">
        <f t="shared" si="28"/>
        <v>166555</v>
      </c>
      <c r="D41" s="125">
        <f>SUM(D52)</f>
        <v>0</v>
      </c>
      <c r="E41" s="125">
        <f t="shared" si="29"/>
        <v>-172152</v>
      </c>
      <c r="F41" s="125">
        <f t="shared" si="29"/>
        <v>2047</v>
      </c>
      <c r="G41" s="125">
        <f t="shared" si="29"/>
        <v>0</v>
      </c>
      <c r="H41" s="125"/>
      <c r="I41" s="125"/>
      <c r="J41" s="125"/>
      <c r="K41" s="125"/>
      <c r="L41" s="125"/>
      <c r="M41" s="119">
        <f t="shared" ref="M41" si="30">SUM(G41)</f>
        <v>0</v>
      </c>
    </row>
    <row r="42" spans="1:13" ht="15.75" hidden="1" customHeight="1" thickBot="1" x14ac:dyDescent="0.25">
      <c r="A42" s="117"/>
      <c r="B42" s="125" t="e">
        <f t="shared" ref="B42:C42" si="31">SUM(B50)</f>
        <v>#REF!</v>
      </c>
      <c r="C42" s="125">
        <f t="shared" si="31"/>
        <v>0</v>
      </c>
      <c r="D42" s="125">
        <f t="shared" ref="D42:D43" si="32">SUM(D52)</f>
        <v>0</v>
      </c>
      <c r="E42" s="125">
        <f t="shared" ref="E42:G42" si="33">SUM(E50)</f>
        <v>0</v>
      </c>
      <c r="F42" s="125">
        <f t="shared" si="33"/>
        <v>0</v>
      </c>
      <c r="G42" s="125" t="e">
        <f t="shared" si="33"/>
        <v>#REF!</v>
      </c>
      <c r="H42" s="125"/>
      <c r="I42" s="125"/>
      <c r="J42" s="125"/>
      <c r="K42" s="125"/>
      <c r="L42" s="125"/>
      <c r="M42" s="119" t="e">
        <f t="shared" si="25"/>
        <v>#REF!</v>
      </c>
    </row>
    <row r="43" spans="1:13" ht="15.75" hidden="1" customHeight="1" thickBot="1" x14ac:dyDescent="0.25">
      <c r="A43" s="117" t="s">
        <v>1015</v>
      </c>
      <c r="B43" s="125">
        <f t="shared" ref="B43:C43" si="34">SUM(B51)</f>
        <v>52814</v>
      </c>
      <c r="C43" s="125">
        <f t="shared" si="34"/>
        <v>173276</v>
      </c>
      <c r="D43" s="125">
        <f t="shared" si="32"/>
        <v>0</v>
      </c>
      <c r="E43" s="125">
        <f t="shared" ref="E43:G43" si="35">SUM(E51)</f>
        <v>73512</v>
      </c>
      <c r="F43" s="125">
        <f t="shared" si="35"/>
        <v>2047</v>
      </c>
      <c r="G43" s="125">
        <f t="shared" si="35"/>
        <v>301649</v>
      </c>
      <c r="H43" s="125"/>
      <c r="I43" s="125"/>
      <c r="J43" s="125"/>
      <c r="K43" s="125"/>
      <c r="L43" s="125"/>
      <c r="M43" s="119">
        <f t="shared" si="25"/>
        <v>301649</v>
      </c>
    </row>
    <row r="44" spans="1:13" s="602" customFormat="1" ht="15.75" customHeight="1" x14ac:dyDescent="0.2">
      <c r="A44" s="608" t="str">
        <f t="shared" ref="A44:A49" si="36">A18</f>
        <v xml:space="preserve">       Kötelező teljesítés 2025.12.31.</v>
      </c>
      <c r="B44" s="604">
        <v>52814</v>
      </c>
      <c r="C44" s="604">
        <v>166555</v>
      </c>
      <c r="D44" s="604"/>
      <c r="E44" s="604">
        <v>73512</v>
      </c>
      <c r="F44" s="604">
        <v>2047</v>
      </c>
      <c r="G44" s="604">
        <f>SUM(B44:F44)</f>
        <v>294928</v>
      </c>
      <c r="H44" s="609"/>
      <c r="I44" s="609"/>
      <c r="J44" s="609"/>
      <c r="K44" s="609"/>
      <c r="L44" s="609">
        <v>0</v>
      </c>
      <c r="M44" s="607">
        <f>G44+L44</f>
        <v>294928</v>
      </c>
    </row>
    <row r="45" spans="1:13" ht="18.75" customHeight="1" x14ac:dyDescent="0.2">
      <c r="A45" s="372" t="str">
        <f t="shared" si="36"/>
        <v xml:space="preserve">       Kötelező (eredeti előirányzat 2026. év)</v>
      </c>
      <c r="B45" s="79">
        <f>SUM('7.finanszírozás.'!D10)</f>
        <v>59810</v>
      </c>
      <c r="C45" s="79">
        <f>SUM('7.finanszírozás.'!D51)</f>
        <v>223855</v>
      </c>
      <c r="D45" s="79"/>
      <c r="E45" s="79">
        <f>SUM('7.finanszírozás.'!D60)</f>
        <v>79958</v>
      </c>
      <c r="F45" s="79">
        <f>SUM('7.finanszírozás.'!D37)</f>
        <v>8100</v>
      </c>
      <c r="G45" s="79">
        <f t="shared" ref="G45:G53" si="37">SUM(B45:F45)</f>
        <v>371723</v>
      </c>
      <c r="H45" s="123"/>
      <c r="I45" s="123"/>
      <c r="J45" s="123"/>
      <c r="K45" s="123"/>
      <c r="L45" s="123">
        <v>0</v>
      </c>
      <c r="M45" s="276">
        <f t="shared" ref="M45:M53" si="38">SUM(G45)</f>
        <v>371723</v>
      </c>
    </row>
    <row r="46" spans="1:13" ht="15.75" hidden="1" customHeight="1" x14ac:dyDescent="0.2">
      <c r="A46" s="372" t="str">
        <f t="shared" si="36"/>
        <v xml:space="preserve">       Kötelező (módosított előirányzat 2025.06. havi)</v>
      </c>
      <c r="B46" s="79">
        <f>SUM('7.finanszírozás.'!D11)</f>
        <v>58263</v>
      </c>
      <c r="C46" s="79">
        <f>SUM('7.finanszírozás.'!D52)</f>
        <v>223855</v>
      </c>
      <c r="D46" s="79"/>
      <c r="E46" s="79">
        <f>SUM('7.finanszírozás.'!D61)</f>
        <v>79958</v>
      </c>
      <c r="F46" s="79">
        <f>SUM('7.finanszírozás.'!D38)</f>
        <v>8100</v>
      </c>
      <c r="G46" s="79">
        <f t="shared" si="37"/>
        <v>370176</v>
      </c>
      <c r="H46" s="123"/>
      <c r="I46" s="123"/>
      <c r="J46" s="123"/>
      <c r="K46" s="123"/>
      <c r="L46" s="123">
        <v>0</v>
      </c>
      <c r="M46" s="276">
        <f t="shared" si="38"/>
        <v>370176</v>
      </c>
    </row>
    <row r="47" spans="1:13" ht="15.75" hidden="1" customHeight="1" x14ac:dyDescent="0.2">
      <c r="A47" s="372" t="str">
        <f t="shared" si="36"/>
        <v xml:space="preserve">       Kötelező (módosított előirányzat 2025.09.havi)</v>
      </c>
      <c r="B47" s="79" t="e">
        <f>SUM('7.finanszírozás.'!D12)</f>
        <v>#REF!</v>
      </c>
      <c r="C47" s="79">
        <f>SUM('7.finanszírozás.'!D53)</f>
        <v>166555</v>
      </c>
      <c r="D47" s="79"/>
      <c r="E47" s="79">
        <f>SUM('7.finanszírozás.'!E61)</f>
        <v>79958</v>
      </c>
      <c r="F47" s="79">
        <f>SUM('7.finanszírozás.'!D39)</f>
        <v>2047</v>
      </c>
      <c r="G47" s="79" t="e">
        <f t="shared" si="37"/>
        <v>#REF!</v>
      </c>
      <c r="H47" s="123"/>
      <c r="I47" s="123"/>
      <c r="J47" s="123"/>
      <c r="K47" s="123"/>
      <c r="L47" s="123">
        <v>0</v>
      </c>
      <c r="M47" s="276" t="e">
        <f t="shared" si="38"/>
        <v>#REF!</v>
      </c>
    </row>
    <row r="48" spans="1:13" ht="15.75" hidden="1" customHeight="1" x14ac:dyDescent="0.2">
      <c r="A48" s="372" t="str">
        <f t="shared" si="36"/>
        <v xml:space="preserve">       Kötelező (módosított előirányzat 2025.12.havi)</v>
      </c>
      <c r="B48" s="79">
        <f>SUM('7.finanszírozás.'!D13)</f>
        <v>3550</v>
      </c>
      <c r="C48" s="79">
        <f>SUM('7.finanszírozás.'!D54)</f>
        <v>166555</v>
      </c>
      <c r="D48" s="79"/>
      <c r="E48" s="79">
        <f>SUM('7.finanszírozás.'!D63)</f>
        <v>-172152</v>
      </c>
      <c r="F48" s="79">
        <f>SUM('7.finanszírozás.'!D40)</f>
        <v>2047</v>
      </c>
      <c r="G48" s="79">
        <f t="shared" si="37"/>
        <v>0</v>
      </c>
      <c r="H48" s="123"/>
      <c r="I48" s="123"/>
      <c r="J48" s="123"/>
      <c r="K48" s="123"/>
      <c r="L48" s="123">
        <v>0</v>
      </c>
      <c r="M48" s="276">
        <f t="shared" si="38"/>
        <v>0</v>
      </c>
    </row>
    <row r="49" spans="1:15" ht="15.75" hidden="1" customHeight="1" x14ac:dyDescent="0.2">
      <c r="A49" s="372" t="str">
        <f t="shared" si="36"/>
        <v xml:space="preserve">       Kötelező (módosított előirányzat 2025.12.31)</v>
      </c>
      <c r="B49" s="79">
        <f>SUM('7.finanszírozás.'!D14)</f>
        <v>3550</v>
      </c>
      <c r="C49" s="79">
        <f>SUM('7.finanszírozás.'!D55)</f>
        <v>166555</v>
      </c>
      <c r="D49" s="79"/>
      <c r="E49" s="79">
        <f>SUM('7.finanszírozás.'!D64)</f>
        <v>-172152</v>
      </c>
      <c r="F49" s="79">
        <f>SUM('7.finanszírozás.'!D41)</f>
        <v>2047</v>
      </c>
      <c r="G49" s="79">
        <f t="shared" ref="G49" si="39">SUM(B49:F49)</f>
        <v>0</v>
      </c>
      <c r="H49" s="123"/>
      <c r="I49" s="123"/>
      <c r="J49" s="123"/>
      <c r="K49" s="123"/>
      <c r="L49" s="123">
        <v>0</v>
      </c>
      <c r="M49" s="276">
        <f t="shared" ref="M49" si="40">SUM(G49)</f>
        <v>0</v>
      </c>
    </row>
    <row r="50" spans="1:15" ht="15.75" hidden="1" customHeight="1" x14ac:dyDescent="0.2">
      <c r="A50" s="372"/>
      <c r="B50" s="79" t="e">
        <f>SUM('7.finanszírozás.'!D15)</f>
        <v>#REF!</v>
      </c>
      <c r="C50" s="79">
        <f>SUM('7.finanszírozás.'!D56)</f>
        <v>0</v>
      </c>
      <c r="D50" s="79"/>
      <c r="E50" s="79">
        <f>SUM('7.finanszírozás.'!D65)</f>
        <v>0</v>
      </c>
      <c r="F50" s="79">
        <f>SUM('7.finanszírozás.'!D42)</f>
        <v>0</v>
      </c>
      <c r="G50" s="79" t="e">
        <f t="shared" si="37"/>
        <v>#REF!</v>
      </c>
      <c r="H50" s="123"/>
      <c r="I50" s="123"/>
      <c r="J50" s="123"/>
      <c r="K50" s="123"/>
      <c r="L50" s="123"/>
      <c r="M50" s="276" t="e">
        <f t="shared" si="38"/>
        <v>#REF!</v>
      </c>
    </row>
    <row r="51" spans="1:15" ht="15.75" hidden="1" customHeight="1" x14ac:dyDescent="0.2">
      <c r="A51" s="372" t="str">
        <f>A25</f>
        <v xml:space="preserve">       Teljesítés 2025.12.31.</v>
      </c>
      <c r="B51" s="79">
        <f>SUM('7.finanszírozás.'!D16)</f>
        <v>52814</v>
      </c>
      <c r="C51" s="79">
        <f>SUM('7.finanszírozás.'!D57)</f>
        <v>173276</v>
      </c>
      <c r="D51" s="79"/>
      <c r="E51" s="79">
        <f>SUM('7.finanszírozás.'!D66)</f>
        <v>73512</v>
      </c>
      <c r="F51" s="79">
        <f>SUM('7.finanszírozás.'!D43)</f>
        <v>2047</v>
      </c>
      <c r="G51" s="79">
        <f t="shared" si="37"/>
        <v>301649</v>
      </c>
      <c r="H51" s="123"/>
      <c r="I51" s="123"/>
      <c r="J51" s="123"/>
      <c r="K51" s="123"/>
      <c r="L51" s="123"/>
      <c r="M51" s="276">
        <f t="shared" si="38"/>
        <v>301649</v>
      </c>
    </row>
    <row r="52" spans="1:15" ht="16.5" customHeight="1" x14ac:dyDescent="0.2">
      <c r="A52" s="275" t="str">
        <f>A28</f>
        <v xml:space="preserve">       Önként vállalt (eredeti előirányzat 2026. év)</v>
      </c>
      <c r="B52" s="79"/>
      <c r="C52" s="79"/>
      <c r="D52" s="79"/>
      <c r="E52" s="79"/>
      <c r="F52" s="79"/>
      <c r="G52" s="79">
        <f t="shared" si="37"/>
        <v>0</v>
      </c>
      <c r="H52" s="79"/>
      <c r="I52" s="79"/>
      <c r="J52" s="79"/>
      <c r="K52" s="79"/>
      <c r="L52" s="79">
        <v>0</v>
      </c>
      <c r="M52" s="276">
        <f t="shared" si="38"/>
        <v>0</v>
      </c>
    </row>
    <row r="53" spans="1:15" ht="16.5" customHeight="1" thickBot="1" x14ac:dyDescent="0.25">
      <c r="A53" s="370" t="s">
        <v>1120</v>
      </c>
      <c r="B53" s="79"/>
      <c r="C53" s="79"/>
      <c r="D53" s="79"/>
      <c r="E53" s="79"/>
      <c r="F53" s="79"/>
      <c r="G53" s="79">
        <f t="shared" si="37"/>
        <v>0</v>
      </c>
      <c r="H53" s="79"/>
      <c r="I53" s="79"/>
      <c r="J53" s="79"/>
      <c r="K53" s="79"/>
      <c r="L53" s="79">
        <v>0</v>
      </c>
      <c r="M53" s="276">
        <f t="shared" si="38"/>
        <v>0</v>
      </c>
    </row>
    <row r="54" spans="1:15" s="602" customFormat="1" ht="16.5" thickBot="1" x14ac:dyDescent="0.25">
      <c r="A54" s="610" t="s">
        <v>1019</v>
      </c>
      <c r="B54" s="611">
        <f>B10+B36</f>
        <v>1559929</v>
      </c>
      <c r="C54" s="611">
        <f t="shared" ref="C54:L54" si="41">C10+C36</f>
        <v>166555</v>
      </c>
      <c r="D54" s="611">
        <f t="shared" si="41"/>
        <v>29805</v>
      </c>
      <c r="E54" s="611">
        <f t="shared" si="41"/>
        <v>101088</v>
      </c>
      <c r="F54" s="611">
        <f t="shared" si="41"/>
        <v>321764</v>
      </c>
      <c r="G54" s="611">
        <f t="shared" si="41"/>
        <v>2179141</v>
      </c>
      <c r="H54" s="611">
        <f t="shared" si="41"/>
        <v>394384</v>
      </c>
      <c r="I54" s="611">
        <f t="shared" si="41"/>
        <v>11501</v>
      </c>
      <c r="J54" s="611">
        <f t="shared" si="41"/>
        <v>38889</v>
      </c>
      <c r="K54" s="611">
        <f t="shared" si="41"/>
        <v>0</v>
      </c>
      <c r="L54" s="611">
        <f t="shared" si="41"/>
        <v>444774</v>
      </c>
      <c r="M54" s="612">
        <f>M10+M36</f>
        <v>2623915</v>
      </c>
      <c r="O54" s="602">
        <v>240067</v>
      </c>
    </row>
    <row r="55" spans="1:15" ht="16.5" thickBot="1" x14ac:dyDescent="0.25">
      <c r="A55" s="373" t="s">
        <v>1122</v>
      </c>
      <c r="B55" s="127">
        <f t="shared" ref="B55:L55" si="42">SUM(B11+B37)</f>
        <v>1987268</v>
      </c>
      <c r="C55" s="127">
        <f t="shared" si="42"/>
        <v>223855</v>
      </c>
      <c r="D55" s="127">
        <f t="shared" si="42"/>
        <v>30000</v>
      </c>
      <c r="E55" s="127">
        <f t="shared" si="42"/>
        <v>79958</v>
      </c>
      <c r="F55" s="127">
        <f t="shared" si="42"/>
        <v>197190</v>
      </c>
      <c r="G55" s="127">
        <f t="shared" si="42"/>
        <v>2518271</v>
      </c>
      <c r="H55" s="127">
        <f t="shared" si="42"/>
        <v>526642</v>
      </c>
      <c r="I55" s="127">
        <f t="shared" si="42"/>
        <v>40295</v>
      </c>
      <c r="J55" s="127">
        <f t="shared" si="42"/>
        <v>298423</v>
      </c>
      <c r="K55" s="127">
        <f t="shared" si="42"/>
        <v>0</v>
      </c>
      <c r="L55" s="127">
        <f t="shared" si="42"/>
        <v>865360</v>
      </c>
      <c r="M55" s="128">
        <f>SUM(L55,G55)</f>
        <v>3383631</v>
      </c>
      <c r="O55" s="366">
        <f>M54-O54</f>
        <v>2383848</v>
      </c>
    </row>
    <row r="56" spans="1:15" ht="16.5" hidden="1" thickBot="1" x14ac:dyDescent="0.25">
      <c r="A56" s="373" t="s">
        <v>895</v>
      </c>
      <c r="B56" s="127">
        <f t="shared" ref="B56:L56" si="43">SUM(B12+B38)</f>
        <v>1854968</v>
      </c>
      <c r="C56" s="127">
        <f t="shared" si="43"/>
        <v>223855</v>
      </c>
      <c r="D56" s="127">
        <f t="shared" si="43"/>
        <v>30000</v>
      </c>
      <c r="E56" s="127">
        <f t="shared" si="43"/>
        <v>79958</v>
      </c>
      <c r="F56" s="127">
        <f t="shared" si="43"/>
        <v>197190</v>
      </c>
      <c r="G56" s="127">
        <f t="shared" si="43"/>
        <v>2385971</v>
      </c>
      <c r="H56" s="127">
        <f t="shared" si="43"/>
        <v>548867</v>
      </c>
      <c r="I56" s="127">
        <f t="shared" si="43"/>
        <v>10295</v>
      </c>
      <c r="J56" s="127">
        <f t="shared" si="43"/>
        <v>298423</v>
      </c>
      <c r="K56" s="127">
        <f t="shared" si="43"/>
        <v>0</v>
      </c>
      <c r="L56" s="127">
        <f t="shared" si="43"/>
        <v>857585</v>
      </c>
      <c r="M56" s="128">
        <f t="shared" ref="M56:M61" si="44">SUM(L56,G56)</f>
        <v>3243556</v>
      </c>
    </row>
    <row r="57" spans="1:15" ht="16.5" hidden="1" customHeight="1" thickBot="1" x14ac:dyDescent="0.25">
      <c r="A57" s="373" t="s">
        <v>936</v>
      </c>
      <c r="B57" s="127" t="e">
        <f t="shared" ref="B57:L57" si="45">SUM(B13+B39)</f>
        <v>#REF!</v>
      </c>
      <c r="C57" s="127">
        <f t="shared" si="45"/>
        <v>166555</v>
      </c>
      <c r="D57" s="127">
        <f t="shared" si="45"/>
        <v>0</v>
      </c>
      <c r="E57" s="127">
        <f t="shared" si="45"/>
        <v>79958</v>
      </c>
      <c r="F57" s="127">
        <f t="shared" si="45"/>
        <v>0</v>
      </c>
      <c r="G57" s="127" t="e">
        <f t="shared" si="45"/>
        <v>#REF!</v>
      </c>
      <c r="H57" s="127">
        <f t="shared" si="45"/>
        <v>0</v>
      </c>
      <c r="I57" s="127">
        <f t="shared" si="45"/>
        <v>0</v>
      </c>
      <c r="J57" s="127">
        <f t="shared" si="45"/>
        <v>0</v>
      </c>
      <c r="K57" s="127">
        <f t="shared" si="45"/>
        <v>0</v>
      </c>
      <c r="L57" s="127">
        <f t="shared" si="45"/>
        <v>0</v>
      </c>
      <c r="M57" s="128" t="e">
        <f t="shared" si="44"/>
        <v>#REF!</v>
      </c>
    </row>
    <row r="58" spans="1:15" ht="16.5" hidden="1" thickBot="1" x14ac:dyDescent="0.25">
      <c r="A58" s="373" t="s">
        <v>974</v>
      </c>
      <c r="B58" s="127">
        <f t="shared" ref="B58:L59" si="46">SUM(B14+B40)</f>
        <v>0</v>
      </c>
      <c r="C58" s="127">
        <f t="shared" si="46"/>
        <v>166555</v>
      </c>
      <c r="D58" s="127">
        <f t="shared" si="46"/>
        <v>0</v>
      </c>
      <c r="E58" s="127">
        <f t="shared" si="46"/>
        <v>-172152</v>
      </c>
      <c r="F58" s="127">
        <f t="shared" si="46"/>
        <v>0</v>
      </c>
      <c r="G58" s="127">
        <f t="shared" si="46"/>
        <v>-5597</v>
      </c>
      <c r="H58" s="127">
        <f t="shared" si="46"/>
        <v>0</v>
      </c>
      <c r="I58" s="127">
        <f t="shared" si="46"/>
        <v>0</v>
      </c>
      <c r="J58" s="127">
        <f t="shared" si="46"/>
        <v>0</v>
      </c>
      <c r="K58" s="127">
        <f t="shared" si="46"/>
        <v>0</v>
      </c>
      <c r="L58" s="127">
        <f t="shared" si="46"/>
        <v>0</v>
      </c>
      <c r="M58" s="128">
        <f t="shared" si="44"/>
        <v>-5597</v>
      </c>
    </row>
    <row r="59" spans="1:15" ht="16.5" hidden="1" thickBot="1" x14ac:dyDescent="0.25">
      <c r="A59" s="373" t="s">
        <v>1018</v>
      </c>
      <c r="B59" s="127">
        <f t="shared" si="46"/>
        <v>0</v>
      </c>
      <c r="C59" s="127">
        <f t="shared" si="46"/>
        <v>166555</v>
      </c>
      <c r="D59" s="127">
        <f t="shared" si="46"/>
        <v>0</v>
      </c>
      <c r="E59" s="127">
        <f t="shared" si="46"/>
        <v>-172152</v>
      </c>
      <c r="F59" s="127">
        <f t="shared" si="46"/>
        <v>0</v>
      </c>
      <c r="G59" s="127">
        <f t="shared" si="46"/>
        <v>-5597</v>
      </c>
      <c r="H59" s="127">
        <f t="shared" si="46"/>
        <v>0</v>
      </c>
      <c r="I59" s="127">
        <f t="shared" si="46"/>
        <v>0</v>
      </c>
      <c r="J59" s="127">
        <f t="shared" si="46"/>
        <v>0</v>
      </c>
      <c r="K59" s="127">
        <f t="shared" si="46"/>
        <v>0</v>
      </c>
      <c r="L59" s="127">
        <f t="shared" si="46"/>
        <v>0</v>
      </c>
      <c r="M59" s="128">
        <f t="shared" ref="M59" si="47">SUM(L59,G59)</f>
        <v>-5597</v>
      </c>
    </row>
    <row r="60" spans="1:15" ht="16.5" hidden="1" thickBot="1" x14ac:dyDescent="0.25">
      <c r="A60" s="373"/>
      <c r="B60" s="127" t="e">
        <f t="shared" ref="B60:L60" si="48">SUM(B16+B42)</f>
        <v>#REF!</v>
      </c>
      <c r="C60" s="127">
        <f t="shared" si="48"/>
        <v>0</v>
      </c>
      <c r="D60" s="127">
        <f t="shared" si="48"/>
        <v>0</v>
      </c>
      <c r="E60" s="127">
        <f t="shared" si="48"/>
        <v>0</v>
      </c>
      <c r="F60" s="127">
        <f t="shared" si="48"/>
        <v>0</v>
      </c>
      <c r="G60" s="127" t="e">
        <f t="shared" si="48"/>
        <v>#REF!</v>
      </c>
      <c r="H60" s="127">
        <f t="shared" si="48"/>
        <v>0</v>
      </c>
      <c r="I60" s="127">
        <f t="shared" si="48"/>
        <v>10295</v>
      </c>
      <c r="J60" s="127">
        <f t="shared" si="48"/>
        <v>0</v>
      </c>
      <c r="K60" s="127">
        <f t="shared" si="48"/>
        <v>0</v>
      </c>
      <c r="L60" s="127">
        <f t="shared" si="48"/>
        <v>10295</v>
      </c>
      <c r="M60" s="128" t="e">
        <f t="shared" si="44"/>
        <v>#REF!</v>
      </c>
    </row>
    <row r="61" spans="1:15" ht="16.5" hidden="1" thickBot="1" x14ac:dyDescent="0.25">
      <c r="A61" s="373" t="s">
        <v>1019</v>
      </c>
      <c r="B61" s="127">
        <f t="shared" ref="B61:L61" si="49">SUM(B17+B43)</f>
        <v>0</v>
      </c>
      <c r="C61" s="127">
        <f t="shared" si="49"/>
        <v>173276</v>
      </c>
      <c r="D61" s="127">
        <f t="shared" si="49"/>
        <v>0</v>
      </c>
      <c r="E61" s="127">
        <f t="shared" si="49"/>
        <v>73512</v>
      </c>
      <c r="F61" s="127">
        <f t="shared" si="49"/>
        <v>0</v>
      </c>
      <c r="G61" s="127">
        <f t="shared" si="49"/>
        <v>246788</v>
      </c>
      <c r="H61" s="127">
        <f t="shared" si="49"/>
        <v>0</v>
      </c>
      <c r="I61" s="127">
        <f t="shared" si="49"/>
        <v>0</v>
      </c>
      <c r="J61" s="127">
        <f t="shared" si="49"/>
        <v>0</v>
      </c>
      <c r="K61" s="127">
        <f t="shared" si="49"/>
        <v>0</v>
      </c>
      <c r="L61" s="127">
        <f t="shared" si="49"/>
        <v>0</v>
      </c>
      <c r="M61" s="128">
        <f t="shared" si="44"/>
        <v>246788</v>
      </c>
    </row>
    <row r="62" spans="1:15" ht="12.95" customHeight="1" x14ac:dyDescent="0.2">
      <c r="A62" s="66" t="s">
        <v>372</v>
      </c>
      <c r="M62" s="366">
        <f>SUM('7.finanszírozás.'!F85)</f>
        <v>-303813</v>
      </c>
      <c r="O62" s="366">
        <f>'1.Bev-kiad.'!C65</f>
        <v>2383848</v>
      </c>
    </row>
    <row r="63" spans="1:15" ht="12.95" customHeight="1" x14ac:dyDescent="0.2">
      <c r="A63" s="66" t="s">
        <v>375</v>
      </c>
      <c r="M63" s="367">
        <f>SUM(M55+M62)</f>
        <v>3079818</v>
      </c>
    </row>
    <row r="64" spans="1:15" x14ac:dyDescent="0.2">
      <c r="O64" s="366"/>
    </row>
  </sheetData>
  <mergeCells count="16">
    <mergeCell ref="L8:L9"/>
    <mergeCell ref="A1:M1"/>
    <mergeCell ref="A5:M5"/>
    <mergeCell ref="A7:A9"/>
    <mergeCell ref="B7:G7"/>
    <mergeCell ref="H7:L7"/>
    <mergeCell ref="M7:M9"/>
    <mergeCell ref="B8:B9"/>
    <mergeCell ref="C8:D8"/>
    <mergeCell ref="E8:E9"/>
    <mergeCell ref="F8:F9"/>
    <mergeCell ref="G8:G9"/>
    <mergeCell ref="H8:H9"/>
    <mergeCell ref="I8:I9"/>
    <mergeCell ref="J8:J9"/>
    <mergeCell ref="K8:K9"/>
  </mergeCells>
  <pageMargins left="0.31496062992125984" right="0.31496062992125984" top="0.74803149606299213" bottom="0.74803149606299213" header="0.31496062992125984" footer="0.31496062992125984"/>
  <pageSetup paperSize="9"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8EFEE-B7E6-4EAA-B838-6B1694A6A60F}">
  <dimension ref="A1:AD71"/>
  <sheetViews>
    <sheetView zoomScale="80" zoomScaleNormal="80" zoomScaleSheetLayoutView="100" workbookViewId="0">
      <selection activeCell="A6" sqref="A6:A8"/>
    </sheetView>
  </sheetViews>
  <sheetFormatPr defaultRowHeight="12.75" x14ac:dyDescent="0.2"/>
  <cols>
    <col min="1" max="1" width="44.5703125" style="68" customWidth="1"/>
    <col min="2" max="2" width="10" style="63" bestFit="1" customWidth="1"/>
    <col min="3" max="3" width="9.42578125" style="63" bestFit="1" customWidth="1"/>
    <col min="4" max="4" width="10" style="63" bestFit="1" customWidth="1"/>
    <col min="5" max="6" width="9.42578125" style="63" bestFit="1" customWidth="1"/>
    <col min="7" max="7" width="10.28515625" style="63" customWidth="1"/>
    <col min="8" max="8" width="11.42578125" style="63" customWidth="1"/>
    <col min="9" max="9" width="10" style="63" customWidth="1"/>
    <col min="10" max="10" width="11.42578125" style="63" customWidth="1"/>
    <col min="11" max="11" width="9.42578125" style="63" bestFit="1" customWidth="1"/>
    <col min="12" max="15" width="11.5703125" style="63" customWidth="1"/>
    <col min="16" max="16" width="12.140625" style="63" customWidth="1"/>
    <col min="17" max="17" width="4.7109375" style="62" customWidth="1"/>
    <col min="18" max="18" width="4" style="62" customWidth="1"/>
    <col min="19" max="19" width="6.85546875" style="62" customWidth="1"/>
    <col min="20" max="21" width="4.42578125" style="62" customWidth="1"/>
    <col min="22" max="22" width="4.140625" style="62" customWidth="1"/>
    <col min="23" max="25" width="4" style="62" customWidth="1"/>
    <col min="26" max="26" width="5.7109375" style="62" customWidth="1"/>
    <col min="27" max="27" width="0" style="62" hidden="1" customWidth="1"/>
    <col min="28" max="16384" width="9.140625" style="62"/>
  </cols>
  <sheetData>
    <row r="1" spans="1:30" ht="15" customHeight="1" x14ac:dyDescent="0.2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6" t="s">
        <v>242</v>
      </c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30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62" t="str">
        <f>'1.Bev-kiad.'!F2</f>
        <v>a 12/2026.(X.2.) önkormányzati rendelethez</v>
      </c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30" ht="15" customHeight="1" x14ac:dyDescent="0.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362" t="s">
        <v>1140</v>
      </c>
      <c r="Q3" s="61"/>
      <c r="R3" s="61"/>
      <c r="S3" s="61"/>
      <c r="T3" s="61"/>
      <c r="U3" s="61"/>
      <c r="V3" s="61"/>
      <c r="W3" s="63"/>
      <c r="X3" s="63"/>
      <c r="Y3" s="63"/>
      <c r="Z3" s="63"/>
    </row>
    <row r="4" spans="1:30" ht="38.25" customHeight="1" x14ac:dyDescent="0.2">
      <c r="A4" s="806" t="s">
        <v>1027</v>
      </c>
      <c r="B4" s="807"/>
      <c r="C4" s="807"/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807"/>
      <c r="Q4" s="61"/>
      <c r="R4" s="61"/>
      <c r="S4" s="61"/>
      <c r="T4" s="61"/>
      <c r="U4" s="61"/>
      <c r="V4" s="61"/>
    </row>
    <row r="5" spans="1:30" ht="13.5" customHeight="1" thickBot="1" x14ac:dyDescent="0.25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77" t="s">
        <v>418</v>
      </c>
    </row>
    <row r="6" spans="1:30" s="66" customFormat="1" ht="14.25" customHeight="1" x14ac:dyDescent="0.2">
      <c r="A6" s="808"/>
      <c r="B6" s="784" t="s">
        <v>31</v>
      </c>
      <c r="C6" s="785"/>
      <c r="D6" s="785"/>
      <c r="E6" s="785"/>
      <c r="F6" s="785"/>
      <c r="G6" s="786"/>
      <c r="H6" s="811" t="s">
        <v>32</v>
      </c>
      <c r="I6" s="784" t="s">
        <v>33</v>
      </c>
      <c r="J6" s="785"/>
      <c r="K6" s="786"/>
      <c r="L6" s="776" t="s">
        <v>11</v>
      </c>
      <c r="M6" s="776" t="s">
        <v>7</v>
      </c>
      <c r="N6" s="802" t="s">
        <v>53</v>
      </c>
      <c r="O6" s="803"/>
      <c r="P6" s="814" t="s">
        <v>51</v>
      </c>
      <c r="Q6" s="798" t="s">
        <v>911</v>
      </c>
      <c r="R6" s="798" t="s">
        <v>913</v>
      </c>
      <c r="S6" s="795" t="s">
        <v>914</v>
      </c>
      <c r="T6" s="795" t="s">
        <v>923</v>
      </c>
      <c r="U6" s="798" t="s">
        <v>912</v>
      </c>
      <c r="V6" s="798" t="s">
        <v>922</v>
      </c>
      <c r="W6" s="795" t="s">
        <v>915</v>
      </c>
      <c r="X6" s="795" t="s">
        <v>916</v>
      </c>
      <c r="Y6" s="795" t="s">
        <v>917</v>
      </c>
    </row>
    <row r="7" spans="1:30" s="66" customFormat="1" ht="26.25" customHeight="1" x14ac:dyDescent="0.2">
      <c r="A7" s="809"/>
      <c r="B7" s="790" t="s">
        <v>34</v>
      </c>
      <c r="C7" s="790" t="s">
        <v>93</v>
      </c>
      <c r="D7" s="790" t="s">
        <v>35</v>
      </c>
      <c r="E7" s="790" t="s">
        <v>392</v>
      </c>
      <c r="F7" s="790" t="s">
        <v>36</v>
      </c>
      <c r="G7" s="790" t="s">
        <v>330</v>
      </c>
      <c r="H7" s="812"/>
      <c r="I7" s="790" t="s">
        <v>37</v>
      </c>
      <c r="J7" s="790" t="s">
        <v>38</v>
      </c>
      <c r="K7" s="790" t="s">
        <v>39</v>
      </c>
      <c r="L7" s="777"/>
      <c r="M7" s="777"/>
      <c r="N7" s="804"/>
      <c r="O7" s="805"/>
      <c r="P7" s="815"/>
      <c r="Q7" s="799"/>
      <c r="R7" s="799"/>
      <c r="S7" s="796"/>
      <c r="T7" s="796"/>
      <c r="U7" s="799"/>
      <c r="V7" s="799"/>
      <c r="W7" s="796"/>
      <c r="X7" s="796"/>
      <c r="Y7" s="796"/>
    </row>
    <row r="8" spans="1:30" ht="90.75" customHeight="1" thickBot="1" x14ac:dyDescent="0.25">
      <c r="A8" s="810"/>
      <c r="B8" s="801"/>
      <c r="C8" s="801"/>
      <c r="D8" s="801"/>
      <c r="E8" s="801"/>
      <c r="F8" s="801"/>
      <c r="G8" s="801"/>
      <c r="H8" s="813"/>
      <c r="I8" s="801"/>
      <c r="J8" s="801"/>
      <c r="K8" s="801"/>
      <c r="L8" s="778"/>
      <c r="M8" s="778"/>
      <c r="N8" s="210" t="s">
        <v>381</v>
      </c>
      <c r="O8" s="210" t="s">
        <v>1288</v>
      </c>
      <c r="P8" s="816"/>
      <c r="Q8" s="800"/>
      <c r="R8" s="800"/>
      <c r="S8" s="797"/>
      <c r="T8" s="797"/>
      <c r="U8" s="800"/>
      <c r="V8" s="800"/>
      <c r="W8" s="797"/>
      <c r="X8" s="797"/>
      <c r="Y8" s="797"/>
      <c r="Z8" s="66"/>
      <c r="AA8" s="66"/>
      <c r="AB8" s="66"/>
      <c r="AC8" s="66"/>
      <c r="AD8" s="66"/>
    </row>
    <row r="9" spans="1:30" s="602" customFormat="1" ht="17.25" customHeight="1" thickBot="1" x14ac:dyDescent="0.25">
      <c r="A9" s="613" t="s">
        <v>1017</v>
      </c>
      <c r="B9" s="614">
        <f>B17+B25</f>
        <v>77514</v>
      </c>
      <c r="C9" s="614">
        <f t="shared" ref="C9:K16" si="0">C17+C25</f>
        <v>8688</v>
      </c>
      <c r="D9" s="614">
        <f t="shared" si="0"/>
        <v>324888</v>
      </c>
      <c r="E9" s="614">
        <f t="shared" si="0"/>
        <v>6186</v>
      </c>
      <c r="F9" s="614">
        <f t="shared" si="0"/>
        <v>707464</v>
      </c>
      <c r="G9" s="614">
        <f t="shared" si="0"/>
        <v>0</v>
      </c>
      <c r="H9" s="614">
        <f t="shared" si="0"/>
        <v>1124740</v>
      </c>
      <c r="I9" s="614">
        <f t="shared" si="0"/>
        <v>188134</v>
      </c>
      <c r="J9" s="614">
        <f t="shared" si="0"/>
        <v>172659</v>
      </c>
      <c r="K9" s="614">
        <f t="shared" si="0"/>
        <v>0</v>
      </c>
      <c r="L9" s="614">
        <f>I9+J9+K9</f>
        <v>360793</v>
      </c>
      <c r="M9" s="614">
        <f>H9+L9</f>
        <v>1485533</v>
      </c>
      <c r="N9" s="614">
        <f>N17+N25</f>
        <v>240067</v>
      </c>
      <c r="O9" s="614">
        <f>O17+O25</f>
        <v>115874</v>
      </c>
      <c r="P9" s="615">
        <f>M9+N9+O9</f>
        <v>1841474</v>
      </c>
      <c r="Q9" s="738">
        <f t="shared" ref="Q9:Y16" si="1">Q17</f>
        <v>12</v>
      </c>
      <c r="R9" s="738">
        <f t="shared" si="1"/>
        <v>1</v>
      </c>
      <c r="S9" s="738">
        <f t="shared" si="1"/>
        <v>2</v>
      </c>
      <c r="T9" s="738">
        <f t="shared" si="1"/>
        <v>4</v>
      </c>
      <c r="U9" s="738">
        <f t="shared" si="1"/>
        <v>3</v>
      </c>
      <c r="V9" s="738">
        <f t="shared" si="1"/>
        <v>2</v>
      </c>
      <c r="W9" s="738">
        <f t="shared" si="1"/>
        <v>0</v>
      </c>
      <c r="X9" s="738">
        <f t="shared" si="1"/>
        <v>0</v>
      </c>
      <c r="Y9" s="738">
        <f t="shared" si="1"/>
        <v>0</v>
      </c>
      <c r="Z9" s="66"/>
      <c r="AA9" s="66"/>
      <c r="AB9" s="66"/>
      <c r="AC9" s="66"/>
      <c r="AD9" s="66"/>
    </row>
    <row r="10" spans="1:30" ht="21.75" customHeight="1" thickBot="1" x14ac:dyDescent="0.25">
      <c r="A10" s="274" t="str">
        <f>'5.Bev.össz_'!A11</f>
        <v>Önkormányzat (eredeti előirányzat 2026. év)</v>
      </c>
      <c r="B10" s="120">
        <f t="shared" ref="B10:G16" si="2">B18+B26</f>
        <v>74011</v>
      </c>
      <c r="C10" s="120">
        <f t="shared" si="2"/>
        <v>8811</v>
      </c>
      <c r="D10" s="120">
        <f t="shared" si="2"/>
        <v>591960</v>
      </c>
      <c r="E10" s="120">
        <f t="shared" si="2"/>
        <v>20000</v>
      </c>
      <c r="F10" s="120">
        <f t="shared" si="2"/>
        <v>741989</v>
      </c>
      <c r="G10" s="120">
        <f t="shared" si="2"/>
        <v>76000</v>
      </c>
      <c r="H10" s="120">
        <f>B10+C10+D10+E10+F10+G10</f>
        <v>1512771</v>
      </c>
      <c r="I10" s="120">
        <f t="shared" si="0"/>
        <v>743862</v>
      </c>
      <c r="J10" s="120">
        <f t="shared" si="0"/>
        <v>329676</v>
      </c>
      <c r="K10" s="120">
        <f t="shared" si="0"/>
        <v>0</v>
      </c>
      <c r="L10" s="120">
        <f>I10+J10+K10</f>
        <v>1073538</v>
      </c>
      <c r="M10" s="120">
        <f>H10+L10</f>
        <v>2586309</v>
      </c>
      <c r="N10" s="120">
        <f t="shared" ref="N10:O16" si="3">N18+N26</f>
        <v>303813</v>
      </c>
      <c r="O10" s="120">
        <f t="shared" si="3"/>
        <v>121786</v>
      </c>
      <c r="P10" s="121">
        <f>H10+L10+N10+O10</f>
        <v>3011908</v>
      </c>
      <c r="Q10" s="733">
        <f t="shared" si="1"/>
        <v>12</v>
      </c>
      <c r="R10" s="733">
        <f t="shared" si="1"/>
        <v>1</v>
      </c>
      <c r="S10" s="733">
        <f t="shared" si="1"/>
        <v>2</v>
      </c>
      <c r="T10" s="733">
        <f t="shared" si="1"/>
        <v>4</v>
      </c>
      <c r="U10" s="733">
        <f t="shared" si="1"/>
        <v>3</v>
      </c>
      <c r="V10" s="733">
        <f t="shared" si="1"/>
        <v>2</v>
      </c>
      <c r="W10" s="733">
        <f t="shared" si="1"/>
        <v>0</v>
      </c>
      <c r="X10" s="733">
        <f t="shared" si="1"/>
        <v>0</v>
      </c>
      <c r="Y10" s="733">
        <f t="shared" si="1"/>
        <v>0</v>
      </c>
      <c r="Z10" s="66"/>
      <c r="AA10" s="66"/>
      <c r="AB10" s="66"/>
      <c r="AC10" s="66"/>
      <c r="AD10" s="66"/>
    </row>
    <row r="11" spans="1:30" ht="30" customHeight="1" thickBot="1" x14ac:dyDescent="0.25">
      <c r="A11" s="274" t="str">
        <f>'5.Bev.össz'!A12</f>
        <v>Önkormányzat (módosított előirányzat 2026.10.havi)</v>
      </c>
      <c r="B11" s="120">
        <f t="shared" si="2"/>
        <v>74385</v>
      </c>
      <c r="C11" s="120">
        <f t="shared" si="2"/>
        <v>8881</v>
      </c>
      <c r="D11" s="120">
        <f t="shared" si="2"/>
        <v>444667</v>
      </c>
      <c r="E11" s="120">
        <f t="shared" si="2"/>
        <v>20000</v>
      </c>
      <c r="F11" s="120">
        <f t="shared" si="2"/>
        <v>754719</v>
      </c>
      <c r="G11" s="120">
        <f t="shared" si="2"/>
        <v>161402</v>
      </c>
      <c r="H11" s="120">
        <f t="shared" ref="H11:H16" si="4">B11+C11+D11+E11+F11+N11+O11+G11</f>
        <v>1897108</v>
      </c>
      <c r="I11" s="120">
        <f t="shared" si="0"/>
        <v>744640</v>
      </c>
      <c r="J11" s="120">
        <f t="shared" si="0"/>
        <v>276343</v>
      </c>
      <c r="K11" s="120">
        <f t="shared" si="0"/>
        <v>22225</v>
      </c>
      <c r="L11" s="120">
        <f>I11+J11+K11</f>
        <v>1043208</v>
      </c>
      <c r="M11" s="120">
        <f t="shared" ref="M11:M16" si="5">E11+I11</f>
        <v>764640</v>
      </c>
      <c r="N11" s="120">
        <f t="shared" si="3"/>
        <v>303813</v>
      </c>
      <c r="O11" s="120">
        <f t="shared" si="3"/>
        <v>129241</v>
      </c>
      <c r="P11" s="121">
        <f t="shared" ref="P11:P16" si="6">H11+L11</f>
        <v>2940316</v>
      </c>
      <c r="Q11" s="733">
        <f t="shared" si="1"/>
        <v>11</v>
      </c>
      <c r="R11" s="733">
        <f t="shared" si="1"/>
        <v>1</v>
      </c>
      <c r="S11" s="733">
        <f t="shared" si="1"/>
        <v>2</v>
      </c>
      <c r="T11" s="733">
        <f t="shared" si="1"/>
        <v>4</v>
      </c>
      <c r="U11" s="733">
        <f t="shared" si="1"/>
        <v>2</v>
      </c>
      <c r="V11" s="733">
        <f t="shared" si="1"/>
        <v>2</v>
      </c>
      <c r="W11" s="733">
        <f t="shared" si="1"/>
        <v>0</v>
      </c>
      <c r="X11" s="733">
        <f t="shared" si="1"/>
        <v>0</v>
      </c>
      <c r="Y11" s="733">
        <f t="shared" si="1"/>
        <v>0</v>
      </c>
      <c r="Z11" s="66"/>
      <c r="AA11" s="66"/>
      <c r="AB11" s="66"/>
      <c r="AC11" s="66"/>
      <c r="AD11" s="66"/>
    </row>
    <row r="12" spans="1:30" ht="27.75" hidden="1" customHeight="1" thickBot="1" x14ac:dyDescent="0.25">
      <c r="A12" s="274" t="str">
        <f>'5.Bev.össz_'!A13</f>
        <v>Önkormányzat (módosított előirányzat 2025.09.havi)</v>
      </c>
      <c r="B12" s="120">
        <f t="shared" si="2"/>
        <v>0</v>
      </c>
      <c r="C12" s="120">
        <f t="shared" si="2"/>
        <v>0</v>
      </c>
      <c r="D12" s="120">
        <f t="shared" si="2"/>
        <v>0</v>
      </c>
      <c r="E12" s="120">
        <f t="shared" si="2"/>
        <v>0</v>
      </c>
      <c r="F12" s="120">
        <f t="shared" si="2"/>
        <v>0</v>
      </c>
      <c r="G12" s="120">
        <f t="shared" si="2"/>
        <v>0</v>
      </c>
      <c r="H12" s="120">
        <f t="shared" si="4"/>
        <v>-5597</v>
      </c>
      <c r="I12" s="120">
        <f t="shared" si="0"/>
        <v>0</v>
      </c>
      <c r="J12" s="120">
        <f t="shared" si="0"/>
        <v>0</v>
      </c>
      <c r="K12" s="120">
        <f t="shared" si="0"/>
        <v>0</v>
      </c>
      <c r="L12" s="120">
        <f>I12+J12+K12</f>
        <v>0</v>
      </c>
      <c r="M12" s="120">
        <f t="shared" si="5"/>
        <v>0</v>
      </c>
      <c r="N12" s="120">
        <f t="shared" si="3"/>
        <v>-5597</v>
      </c>
      <c r="O12" s="120">
        <f t="shared" si="3"/>
        <v>0</v>
      </c>
      <c r="P12" s="121">
        <f t="shared" si="6"/>
        <v>-5597</v>
      </c>
      <c r="Q12" s="733">
        <f t="shared" si="1"/>
        <v>12</v>
      </c>
      <c r="R12" s="733">
        <f t="shared" si="1"/>
        <v>1</v>
      </c>
      <c r="S12" s="733">
        <f t="shared" si="1"/>
        <v>2</v>
      </c>
      <c r="T12" s="733">
        <f t="shared" si="1"/>
        <v>4</v>
      </c>
      <c r="U12" s="733">
        <f t="shared" si="1"/>
        <v>3</v>
      </c>
      <c r="V12" s="733">
        <f t="shared" si="1"/>
        <v>2</v>
      </c>
      <c r="W12" s="733">
        <f t="shared" si="1"/>
        <v>0</v>
      </c>
      <c r="X12" s="733">
        <f t="shared" si="1"/>
        <v>0</v>
      </c>
      <c r="Y12" s="733">
        <f t="shared" si="1"/>
        <v>0</v>
      </c>
      <c r="Z12" s="66"/>
      <c r="AA12" s="66"/>
      <c r="AB12" s="66"/>
      <c r="AC12" s="66"/>
      <c r="AD12" s="66"/>
    </row>
    <row r="13" spans="1:30" ht="21.75" hidden="1" customHeight="1" thickBot="1" x14ac:dyDescent="0.25">
      <c r="A13" s="274" t="str">
        <f>'5.Bev.össz_'!A14</f>
        <v>Önkormányzat (módosított előirányzat 2025.12.havi)</v>
      </c>
      <c r="B13" s="120">
        <f t="shared" si="2"/>
        <v>0</v>
      </c>
      <c r="C13" s="120">
        <f t="shared" si="2"/>
        <v>0</v>
      </c>
      <c r="D13" s="120">
        <f t="shared" si="2"/>
        <v>0</v>
      </c>
      <c r="E13" s="120">
        <f t="shared" si="2"/>
        <v>0</v>
      </c>
      <c r="F13" s="120">
        <f t="shared" si="2"/>
        <v>0</v>
      </c>
      <c r="G13" s="120">
        <f t="shared" si="2"/>
        <v>0</v>
      </c>
      <c r="H13" s="120">
        <f t="shared" si="4"/>
        <v>-5597</v>
      </c>
      <c r="I13" s="120">
        <f t="shared" si="0"/>
        <v>0</v>
      </c>
      <c r="J13" s="120">
        <f t="shared" si="0"/>
        <v>0</v>
      </c>
      <c r="K13" s="120">
        <f t="shared" si="0"/>
        <v>0</v>
      </c>
      <c r="L13" s="120">
        <f t="shared" ref="L13:L16" si="7">I13+J13+K13</f>
        <v>0</v>
      </c>
      <c r="M13" s="120">
        <f t="shared" si="5"/>
        <v>0</v>
      </c>
      <c r="N13" s="120">
        <f t="shared" si="3"/>
        <v>-5597</v>
      </c>
      <c r="O13" s="120">
        <f t="shared" si="3"/>
        <v>0</v>
      </c>
      <c r="P13" s="121">
        <f t="shared" si="6"/>
        <v>-5597</v>
      </c>
      <c r="Q13" s="733">
        <f t="shared" si="1"/>
        <v>12</v>
      </c>
      <c r="R13" s="733">
        <f t="shared" si="1"/>
        <v>1</v>
      </c>
      <c r="S13" s="733">
        <f t="shared" si="1"/>
        <v>2</v>
      </c>
      <c r="T13" s="733">
        <f t="shared" si="1"/>
        <v>4</v>
      </c>
      <c r="U13" s="733">
        <f t="shared" si="1"/>
        <v>3</v>
      </c>
      <c r="V13" s="733">
        <f t="shared" si="1"/>
        <v>2</v>
      </c>
      <c r="W13" s="733">
        <f t="shared" si="1"/>
        <v>0</v>
      </c>
      <c r="X13" s="733">
        <f t="shared" si="1"/>
        <v>0</v>
      </c>
      <c r="Y13" s="733">
        <f t="shared" si="1"/>
        <v>0</v>
      </c>
      <c r="Z13" s="66"/>
      <c r="AA13" s="66"/>
      <c r="AB13" s="66"/>
      <c r="AC13" s="66"/>
      <c r="AD13" s="66"/>
    </row>
    <row r="14" spans="1:30" ht="21.75" hidden="1" customHeight="1" thickBot="1" x14ac:dyDescent="0.25">
      <c r="A14" s="274" t="str">
        <f>'5.Bev.össz_'!A15</f>
        <v>Önkormányzat (módosított előirányzat 2025.12.31)</v>
      </c>
      <c r="B14" s="120">
        <f t="shared" si="2"/>
        <v>0</v>
      </c>
      <c r="C14" s="120">
        <f t="shared" si="2"/>
        <v>0</v>
      </c>
      <c r="D14" s="120">
        <f t="shared" si="2"/>
        <v>0</v>
      </c>
      <c r="E14" s="120">
        <f t="shared" si="2"/>
        <v>0</v>
      </c>
      <c r="F14" s="120">
        <f t="shared" si="2"/>
        <v>0</v>
      </c>
      <c r="G14" s="120">
        <f t="shared" si="2"/>
        <v>0</v>
      </c>
      <c r="H14" s="120">
        <f t="shared" si="4"/>
        <v>-5597</v>
      </c>
      <c r="I14" s="120">
        <f t="shared" si="0"/>
        <v>0</v>
      </c>
      <c r="J14" s="120">
        <f t="shared" si="0"/>
        <v>0</v>
      </c>
      <c r="K14" s="120">
        <f t="shared" si="0"/>
        <v>0</v>
      </c>
      <c r="L14" s="120">
        <f t="shared" si="7"/>
        <v>0</v>
      </c>
      <c r="M14" s="120">
        <f t="shared" si="5"/>
        <v>0</v>
      </c>
      <c r="N14" s="120">
        <f t="shared" si="3"/>
        <v>-5597</v>
      </c>
      <c r="O14" s="120">
        <f t="shared" si="3"/>
        <v>0</v>
      </c>
      <c r="P14" s="121">
        <f t="shared" si="6"/>
        <v>-5597</v>
      </c>
      <c r="Q14" s="733">
        <f t="shared" si="1"/>
        <v>12</v>
      </c>
      <c r="R14" s="733">
        <f t="shared" si="1"/>
        <v>1</v>
      </c>
      <c r="S14" s="733">
        <f t="shared" si="1"/>
        <v>2</v>
      </c>
      <c r="T14" s="733">
        <f t="shared" si="1"/>
        <v>4</v>
      </c>
      <c r="U14" s="733">
        <f t="shared" si="1"/>
        <v>3</v>
      </c>
      <c r="V14" s="733">
        <f t="shared" si="1"/>
        <v>2</v>
      </c>
      <c r="W14" s="733">
        <f t="shared" si="1"/>
        <v>0</v>
      </c>
      <c r="X14" s="733">
        <f t="shared" si="1"/>
        <v>0</v>
      </c>
      <c r="Y14" s="733">
        <f t="shared" si="1"/>
        <v>0</v>
      </c>
      <c r="Z14" s="66"/>
      <c r="AA14" s="66"/>
      <c r="AB14" s="66"/>
      <c r="AC14" s="66"/>
      <c r="AD14" s="66"/>
    </row>
    <row r="15" spans="1:30" ht="21.75" hidden="1" customHeight="1" thickBot="1" x14ac:dyDescent="0.25">
      <c r="A15" s="274">
        <f>'5.Bev.össz_'!A16</f>
        <v>0</v>
      </c>
      <c r="B15" s="120">
        <f t="shared" si="2"/>
        <v>0</v>
      </c>
      <c r="C15" s="120">
        <f t="shared" si="2"/>
        <v>0</v>
      </c>
      <c r="D15" s="120">
        <f t="shared" si="2"/>
        <v>0</v>
      </c>
      <c r="E15" s="120">
        <f t="shared" si="2"/>
        <v>0</v>
      </c>
      <c r="F15" s="120">
        <f t="shared" si="2"/>
        <v>0</v>
      </c>
      <c r="G15" s="120">
        <f t="shared" si="2"/>
        <v>0</v>
      </c>
      <c r="H15" s="120">
        <f t="shared" si="4"/>
        <v>0</v>
      </c>
      <c r="I15" s="120">
        <f t="shared" si="0"/>
        <v>0</v>
      </c>
      <c r="J15" s="120">
        <f t="shared" si="0"/>
        <v>0</v>
      </c>
      <c r="K15" s="120">
        <f t="shared" si="0"/>
        <v>0</v>
      </c>
      <c r="L15" s="120">
        <f t="shared" si="7"/>
        <v>0</v>
      </c>
      <c r="M15" s="120">
        <f t="shared" si="5"/>
        <v>0</v>
      </c>
      <c r="N15" s="120">
        <f t="shared" si="3"/>
        <v>0</v>
      </c>
      <c r="O15" s="120">
        <f t="shared" si="3"/>
        <v>0</v>
      </c>
      <c r="P15" s="121">
        <f t="shared" si="6"/>
        <v>0</v>
      </c>
      <c r="Q15" s="733">
        <f t="shared" si="1"/>
        <v>0</v>
      </c>
      <c r="R15" s="733"/>
      <c r="S15" s="733"/>
      <c r="T15" s="733"/>
      <c r="U15" s="733"/>
      <c r="V15" s="733"/>
      <c r="W15" s="733"/>
      <c r="X15" s="733"/>
      <c r="Y15" s="733"/>
      <c r="Z15" s="66"/>
      <c r="AA15" s="66"/>
      <c r="AB15" s="66"/>
      <c r="AC15" s="66"/>
      <c r="AD15" s="66"/>
    </row>
    <row r="16" spans="1:30" ht="15" hidden="1" customHeight="1" thickBot="1" x14ac:dyDescent="0.25">
      <c r="A16" s="274" t="str">
        <f>'5.Bev.össz_'!A17</f>
        <v>Önkormányzat: Teljesítés 2025.12.31.</v>
      </c>
      <c r="B16" s="120">
        <f t="shared" si="2"/>
        <v>0</v>
      </c>
      <c r="C16" s="120">
        <f t="shared" si="2"/>
        <v>0</v>
      </c>
      <c r="D16" s="120">
        <f t="shared" si="2"/>
        <v>0</v>
      </c>
      <c r="E16" s="120">
        <f t="shared" si="2"/>
        <v>0</v>
      </c>
      <c r="F16" s="120">
        <f t="shared" si="2"/>
        <v>0</v>
      </c>
      <c r="G16" s="120">
        <f t="shared" si="2"/>
        <v>0</v>
      </c>
      <c r="H16" s="120">
        <f t="shared" si="4"/>
        <v>246788</v>
      </c>
      <c r="I16" s="120">
        <f t="shared" si="0"/>
        <v>0</v>
      </c>
      <c r="J16" s="120">
        <f t="shared" si="0"/>
        <v>0</v>
      </c>
      <c r="K16" s="120">
        <f t="shared" si="0"/>
        <v>0</v>
      </c>
      <c r="L16" s="120">
        <f t="shared" si="7"/>
        <v>0</v>
      </c>
      <c r="M16" s="120">
        <f t="shared" si="5"/>
        <v>0</v>
      </c>
      <c r="N16" s="120">
        <f t="shared" si="3"/>
        <v>246788</v>
      </c>
      <c r="O16" s="120">
        <f t="shared" si="3"/>
        <v>0</v>
      </c>
      <c r="P16" s="121">
        <f t="shared" si="6"/>
        <v>246788</v>
      </c>
      <c r="Q16" s="733">
        <f t="shared" si="1"/>
        <v>0</v>
      </c>
      <c r="R16" s="733"/>
      <c r="S16" s="733"/>
      <c r="T16" s="733"/>
      <c r="U16" s="733"/>
      <c r="V16" s="733"/>
      <c r="W16" s="733"/>
      <c r="X16" s="733"/>
      <c r="Y16" s="733"/>
      <c r="Z16" s="66"/>
      <c r="AA16" s="66"/>
      <c r="AB16" s="66"/>
      <c r="AC16" s="66"/>
      <c r="AD16" s="66"/>
    </row>
    <row r="17" spans="1:30" s="602" customFormat="1" ht="18.75" customHeight="1" x14ac:dyDescent="0.2">
      <c r="A17" s="616" t="s">
        <v>1123</v>
      </c>
      <c r="B17" s="617">
        <f>'2.működés'!C126</f>
        <v>77514</v>
      </c>
      <c r="C17" s="617">
        <f>'2.működés'!C129</f>
        <v>8688</v>
      </c>
      <c r="D17" s="617">
        <f>'2.működés'!C132</f>
        <v>324888</v>
      </c>
      <c r="E17" s="617">
        <f>'2.működés'!C134</f>
        <v>6186</v>
      </c>
      <c r="F17" s="617">
        <f>'4. Átadott p.eszk.'!B9+'4. Átadott p.eszk.'!B37+'4. Átadott p.eszk.'!B58+'4. Átadott p.eszk.'!B61+'2.működés'!C138+'2.működés'!C139+'2.működés'!C140</f>
        <v>700299</v>
      </c>
      <c r="G17" s="617">
        <v>0</v>
      </c>
      <c r="H17" s="618">
        <f t="shared" ref="H17:H24" si="8">SUM(B17:G17)</f>
        <v>1117575</v>
      </c>
      <c r="I17" s="617">
        <v>188134</v>
      </c>
      <c r="J17" s="617">
        <v>172659</v>
      </c>
      <c r="K17" s="617"/>
      <c r="L17" s="618">
        <f t="shared" ref="L17:L22" si="9">SUM(I17:K17)</f>
        <v>360793</v>
      </c>
      <c r="M17" s="618">
        <f>H17+L17</f>
        <v>1478368</v>
      </c>
      <c r="N17" s="617">
        <v>240067</v>
      </c>
      <c r="O17" s="617">
        <v>115874</v>
      </c>
      <c r="P17" s="619">
        <f>H17+L17+N17+O17</f>
        <v>1834309</v>
      </c>
      <c r="Q17" s="734">
        <f>SUM(R17:Y17)</f>
        <v>12</v>
      </c>
      <c r="R17" s="734">
        <v>1</v>
      </c>
      <c r="S17" s="734">
        <v>2</v>
      </c>
      <c r="T17" s="734">
        <v>4</v>
      </c>
      <c r="U17" s="734">
        <v>3</v>
      </c>
      <c r="V17" s="734">
        <v>2</v>
      </c>
      <c r="W17" s="734">
        <v>0</v>
      </c>
      <c r="X17" s="734">
        <v>0</v>
      </c>
      <c r="Y17" s="734">
        <v>0</v>
      </c>
      <c r="Z17" s="66"/>
      <c r="AA17" s="66"/>
      <c r="AB17" s="66"/>
      <c r="AC17" s="66"/>
      <c r="AD17" s="66"/>
    </row>
    <row r="18" spans="1:30" ht="18" customHeight="1" x14ac:dyDescent="0.2">
      <c r="A18" s="279" t="str">
        <f>'5.Bev.össz_'!A19</f>
        <v xml:space="preserve">       Kötelező (eredeti előirányzat 2026. év)</v>
      </c>
      <c r="B18" s="122">
        <f>SUM('7.finanszírozás.'!C110)</f>
        <v>74011</v>
      </c>
      <c r="C18" s="122">
        <f>SUM('7.finanszírozás.'!C118)</f>
        <v>8811</v>
      </c>
      <c r="D18" s="122">
        <f>SUM('7.finanszírozás.'!C126)</f>
        <v>591960</v>
      </c>
      <c r="E18" s="122">
        <f>'2.működés'!D134</f>
        <v>20000</v>
      </c>
      <c r="F18" s="122">
        <f>SUM('4. Átadott p.eszk.'!C68-'4. Átadott p.eszk.'!C62-'4. Átadott p.eszk.'!C63)+'2.működés'!D138+'2.működés'!D139+'2.működés'!D140</f>
        <v>732739</v>
      </c>
      <c r="G18" s="122">
        <f>SUM('2.működés'!D137)</f>
        <v>76000</v>
      </c>
      <c r="H18" s="130">
        <f t="shared" si="8"/>
        <v>1503521</v>
      </c>
      <c r="I18" s="122">
        <f>SUM('3.felh'!D48)</f>
        <v>743862</v>
      </c>
      <c r="J18" s="122">
        <f>SUM('3.felh'!D74)</f>
        <v>329676</v>
      </c>
      <c r="K18" s="122">
        <f>SUM('3.felh'!D96)</f>
        <v>0</v>
      </c>
      <c r="L18" s="130">
        <f t="shared" si="9"/>
        <v>1073538</v>
      </c>
      <c r="M18" s="130">
        <f>SUM(H18+L18)</f>
        <v>2577059</v>
      </c>
      <c r="N18" s="122">
        <f>SUM('7.finanszírozás.'!F60+'7.finanszírozás.'!F51)</f>
        <v>303813</v>
      </c>
      <c r="O18" s="122">
        <f>SUM('1.Bev-kiad.'!D84)</f>
        <v>121786</v>
      </c>
      <c r="P18" s="280">
        <f>SUM(H18+L18)+N18+O18</f>
        <v>3002658</v>
      </c>
      <c r="Q18" s="735">
        <f>SUM(R18:Y18)</f>
        <v>12</v>
      </c>
      <c r="R18" s="735">
        <v>1</v>
      </c>
      <c r="S18" s="735">
        <v>2</v>
      </c>
      <c r="T18" s="735">
        <v>4</v>
      </c>
      <c r="U18" s="735">
        <v>3</v>
      </c>
      <c r="V18" s="735">
        <v>2</v>
      </c>
      <c r="W18" s="735">
        <v>0</v>
      </c>
      <c r="X18" s="735">
        <v>0</v>
      </c>
      <c r="Y18" s="735">
        <v>0</v>
      </c>
      <c r="Z18" s="66"/>
      <c r="AA18" s="66"/>
      <c r="AB18" s="66"/>
      <c r="AC18" s="66"/>
      <c r="AD18" s="66"/>
    </row>
    <row r="19" spans="1:30" ht="18" customHeight="1" x14ac:dyDescent="0.2">
      <c r="A19" s="279" t="str">
        <f>'5.Bev.össz'!A20</f>
        <v xml:space="preserve">       Kötelező (módosított előirányzat 2026.10. havi)</v>
      </c>
      <c r="B19" s="122">
        <f>SUM('7.finanszírozás.'!C111)</f>
        <v>74385</v>
      </c>
      <c r="C19" s="122">
        <f>SUM('7.finanszírozás.'!C119)</f>
        <v>8881</v>
      </c>
      <c r="D19" s="122">
        <f>SUM('7.finanszírozás.'!C127)</f>
        <v>444667</v>
      </c>
      <c r="E19" s="122">
        <f>SUM('7.finanszírozás.'!C143)</f>
        <v>20000</v>
      </c>
      <c r="F19" s="122">
        <f>SUM('4. Átadott p.eszk.'!E68-'4. Átadott p.eszk.'!E62-'4. Átadott p.eszk.'!E63)+'2.működés'!F138+'2.működés'!F139+'2.működés'!F140</f>
        <v>745469</v>
      </c>
      <c r="G19" s="122">
        <f>SUM('2.működés'!F137)</f>
        <v>161402</v>
      </c>
      <c r="H19" s="130">
        <f t="shared" si="8"/>
        <v>1454804</v>
      </c>
      <c r="I19" s="122">
        <f>SUM('3.felh'!F48)</f>
        <v>744640</v>
      </c>
      <c r="J19" s="122">
        <f>SUM('3.felh'!F74)</f>
        <v>276343</v>
      </c>
      <c r="K19" s="122">
        <f>'3.felh'!F96</f>
        <v>22225</v>
      </c>
      <c r="L19" s="130">
        <f t="shared" si="9"/>
        <v>1043208</v>
      </c>
      <c r="M19" s="130">
        <f t="shared" ref="M19:M24" si="10">SUM(E19+I19)</f>
        <v>764640</v>
      </c>
      <c r="N19" s="122">
        <f>SUM('7.finanszírozás.'!E52+'7.finanszírozás.'!E61)</f>
        <v>303813</v>
      </c>
      <c r="O19" s="122">
        <f>SUM('1.Bev-kiad.'!F84)</f>
        <v>129241</v>
      </c>
      <c r="P19" s="280">
        <f t="shared" ref="P19:P24" si="11">SUM(H19+L19)</f>
        <v>2498012</v>
      </c>
      <c r="Q19" s="735">
        <f t="shared" ref="Q19:Q24" si="12">SUM(R19:Y19)</f>
        <v>11</v>
      </c>
      <c r="R19" s="735">
        <v>1</v>
      </c>
      <c r="S19" s="735">
        <v>2</v>
      </c>
      <c r="T19" s="735">
        <v>4</v>
      </c>
      <c r="U19" s="735">
        <v>2</v>
      </c>
      <c r="V19" s="735">
        <v>2</v>
      </c>
      <c r="W19" s="735">
        <v>0</v>
      </c>
      <c r="X19" s="735">
        <v>0</v>
      </c>
      <c r="Y19" s="735">
        <v>0</v>
      </c>
      <c r="Z19" s="66"/>
      <c r="AA19" s="66"/>
      <c r="AB19" s="66"/>
      <c r="AC19" s="66"/>
      <c r="AD19" s="66"/>
    </row>
    <row r="20" spans="1:30" ht="15.75" hidden="1" customHeight="1" x14ac:dyDescent="0.2">
      <c r="A20" s="279" t="str">
        <f>'5.Bev.össz_'!A21</f>
        <v xml:space="preserve">       Kötelező (módosított előirányzat 2025.09.havi)</v>
      </c>
      <c r="B20" s="122">
        <f>SUM('7.finanszírozás.'!C112)</f>
        <v>0</v>
      </c>
      <c r="C20" s="122">
        <f>SUM('7.finanszírozás.'!C120)</f>
        <v>0</v>
      </c>
      <c r="D20" s="122">
        <f>SUM('7.finanszírozás.'!C128)</f>
        <v>0</v>
      </c>
      <c r="E20" s="122">
        <f>SUM('7.finanszírozás.'!C144)</f>
        <v>0</v>
      </c>
      <c r="F20" s="122">
        <f>SUM('4. Átadott p.eszk.'!G68-'4. Átadott p.eszk.'!G62-'4. Átadott p.eszk.'!G63)+'2.működés'!H138+'2.működés'!H139+'2.működés'!H140</f>
        <v>0</v>
      </c>
      <c r="G20" s="122">
        <f>SUM('2.működés'!H137)</f>
        <v>0</v>
      </c>
      <c r="H20" s="130">
        <f t="shared" si="8"/>
        <v>0</v>
      </c>
      <c r="I20" s="122">
        <f>SUM('3.felh'!H48)</f>
        <v>0</v>
      </c>
      <c r="J20" s="122">
        <f>SUM('3.felh'!H74)</f>
        <v>0</v>
      </c>
      <c r="K20" s="122">
        <f>'3.felh'!H96</f>
        <v>0</v>
      </c>
      <c r="L20" s="130">
        <f t="shared" si="9"/>
        <v>0</v>
      </c>
      <c r="M20" s="130">
        <f t="shared" si="10"/>
        <v>0</v>
      </c>
      <c r="N20" s="122">
        <f>SUM('7.finanszírozás.'!E53+'7.finanszírozás.'!E62)</f>
        <v>-5597</v>
      </c>
      <c r="O20" s="122">
        <f>SUM('1.Bev-kiad.'!H84)</f>
        <v>0</v>
      </c>
      <c r="P20" s="280">
        <f t="shared" si="11"/>
        <v>0</v>
      </c>
      <c r="Q20" s="735">
        <f t="shared" si="12"/>
        <v>12</v>
      </c>
      <c r="R20" s="735">
        <v>1</v>
      </c>
      <c r="S20" s="735">
        <v>2</v>
      </c>
      <c r="T20" s="735">
        <v>4</v>
      </c>
      <c r="U20" s="735">
        <v>3</v>
      </c>
      <c r="V20" s="735">
        <v>2</v>
      </c>
      <c r="W20" s="735">
        <v>0</v>
      </c>
      <c r="X20" s="735">
        <v>0</v>
      </c>
      <c r="Y20" s="735">
        <v>0</v>
      </c>
      <c r="Z20" s="66"/>
      <c r="AA20" s="66"/>
      <c r="AB20" s="66"/>
      <c r="AC20" s="66"/>
      <c r="AD20" s="66"/>
    </row>
    <row r="21" spans="1:30" ht="15" hidden="1" customHeight="1" x14ac:dyDescent="0.2">
      <c r="A21" s="279" t="str">
        <f>'5.Bev.össz_'!A22</f>
        <v xml:space="preserve">       Kötelező (módosított előirányzat 2025.12.havi)</v>
      </c>
      <c r="B21" s="122">
        <f>SUM('7.finanszírozás.'!C113)</f>
        <v>0</v>
      </c>
      <c r="C21" s="122">
        <f>SUM('7.finanszírozás.'!C121)</f>
        <v>0</v>
      </c>
      <c r="D21" s="122">
        <f>SUM('7.finanszírozás.'!C129)</f>
        <v>0</v>
      </c>
      <c r="E21" s="122">
        <f>SUM('7.finanszírozás.'!C145)</f>
        <v>0</v>
      </c>
      <c r="F21" s="122">
        <f>SUM('4. Átadott p.eszk.'!I68-'4. Átadott p.eszk.'!I62-'4. Átadott p.eszk.'!I63)+'2.működés'!J138+'2.működés'!J139+'2.működés'!J140</f>
        <v>0</v>
      </c>
      <c r="G21" s="122">
        <f>SUM('2.működés'!J137)</f>
        <v>0</v>
      </c>
      <c r="H21" s="130">
        <f t="shared" si="8"/>
        <v>0</v>
      </c>
      <c r="I21" s="122">
        <f>SUM('3.felh'!J48)</f>
        <v>0</v>
      </c>
      <c r="J21" s="122">
        <f>SUM('3.felh'!J74)</f>
        <v>0</v>
      </c>
      <c r="K21" s="122">
        <f>'3.felh'!J96</f>
        <v>0</v>
      </c>
      <c r="L21" s="130">
        <f t="shared" si="9"/>
        <v>0</v>
      </c>
      <c r="M21" s="130">
        <f t="shared" si="10"/>
        <v>0</v>
      </c>
      <c r="N21" s="122">
        <f>SUM('7.finanszírozás.'!E54+'7.finanszírozás.'!E63)</f>
        <v>-5597</v>
      </c>
      <c r="O21" s="122">
        <f>SUM('1.Bev-kiad.'!J84)</f>
        <v>0</v>
      </c>
      <c r="P21" s="280">
        <f t="shared" si="11"/>
        <v>0</v>
      </c>
      <c r="Q21" s="735">
        <f t="shared" ref="Q21" si="13">SUM(R21:Y21)</f>
        <v>12</v>
      </c>
      <c r="R21" s="735">
        <v>1</v>
      </c>
      <c r="S21" s="735">
        <v>2</v>
      </c>
      <c r="T21" s="735">
        <v>4</v>
      </c>
      <c r="U21" s="735">
        <v>3</v>
      </c>
      <c r="V21" s="735">
        <v>2</v>
      </c>
      <c r="W21" s="735">
        <v>0</v>
      </c>
      <c r="X21" s="735">
        <v>0</v>
      </c>
      <c r="Y21" s="735">
        <v>0</v>
      </c>
      <c r="Z21" s="66"/>
      <c r="AA21" s="66"/>
      <c r="AB21" s="66"/>
      <c r="AC21" s="66"/>
      <c r="AD21" s="66"/>
    </row>
    <row r="22" spans="1:30" ht="15" hidden="1" customHeight="1" x14ac:dyDescent="0.2">
      <c r="A22" s="279" t="str">
        <f>'5.Bev.össz_'!A23</f>
        <v xml:space="preserve">       Kötelező (módosított előirányzat 2025.12.31)</v>
      </c>
      <c r="B22" s="122">
        <f>SUM('7.finanszírozás.'!C114)</f>
        <v>0</v>
      </c>
      <c r="C22" s="122">
        <f>SUM('7.finanszírozás.'!C122)</f>
        <v>0</v>
      </c>
      <c r="D22" s="122">
        <f>SUM('7.finanszírozás.'!C130)</f>
        <v>0</v>
      </c>
      <c r="E22" s="122">
        <f>SUM('7.finanszírozás.'!C146)</f>
        <v>0</v>
      </c>
      <c r="F22" s="122">
        <f>SUM('4. Átadott p.eszk.'!K68-'4. Átadott p.eszk.'!K62-'4. Átadott p.eszk.'!K63)+'2.működés'!L138+'2.működés'!L139+'2.működés'!L140</f>
        <v>0</v>
      </c>
      <c r="G22" s="122">
        <f>SUM('2.működés'!L137)</f>
        <v>0</v>
      </c>
      <c r="H22" s="130">
        <f t="shared" si="8"/>
        <v>0</v>
      </c>
      <c r="I22" s="122">
        <f>SUM('3.felh'!L48)</f>
        <v>0</v>
      </c>
      <c r="J22" s="122">
        <f>SUM('3.felh'!L74)</f>
        <v>0</v>
      </c>
      <c r="K22" s="122">
        <f>'3.felh'!J97</f>
        <v>0</v>
      </c>
      <c r="L22" s="130">
        <f t="shared" si="9"/>
        <v>0</v>
      </c>
      <c r="M22" s="130">
        <f t="shared" si="10"/>
        <v>0</v>
      </c>
      <c r="N22" s="122">
        <f>SUM('7.finanszírozás.'!E55+'7.finanszírozás.'!E64)</f>
        <v>-5597</v>
      </c>
      <c r="O22" s="122">
        <f>SUM('1.Bev-kiad.'!L84)</f>
        <v>0</v>
      </c>
      <c r="P22" s="280">
        <f t="shared" si="11"/>
        <v>0</v>
      </c>
      <c r="Q22" s="735">
        <f t="shared" ref="Q22" si="14">SUM(R22:Y22)</f>
        <v>12</v>
      </c>
      <c r="R22" s="735">
        <v>1</v>
      </c>
      <c r="S22" s="735">
        <v>2</v>
      </c>
      <c r="T22" s="735">
        <v>4</v>
      </c>
      <c r="U22" s="735">
        <v>3</v>
      </c>
      <c r="V22" s="735">
        <v>2</v>
      </c>
      <c r="W22" s="735">
        <v>0</v>
      </c>
      <c r="X22" s="735">
        <v>0</v>
      </c>
      <c r="Y22" s="735">
        <v>0</v>
      </c>
      <c r="Z22" s="66"/>
      <c r="AA22" s="66"/>
      <c r="AB22" s="66"/>
      <c r="AC22" s="66"/>
      <c r="AD22" s="66"/>
    </row>
    <row r="23" spans="1:30" ht="15" hidden="1" customHeight="1" x14ac:dyDescent="0.2">
      <c r="A23" s="279">
        <f>'5.Bev.össz_'!A24</f>
        <v>0</v>
      </c>
      <c r="B23" s="122"/>
      <c r="C23" s="122"/>
      <c r="D23" s="122"/>
      <c r="E23" s="122"/>
      <c r="F23" s="122">
        <f>SUM('4. Átadott p.eszk.'!K69-'4. Átadott p.eszk.'!K63-'4. Átadott p.eszk.'!K64)+'2.működés'!L139+'2.működés'!L140+'2.működés'!L141</f>
        <v>0</v>
      </c>
      <c r="G23" s="122"/>
      <c r="H23" s="130">
        <f t="shared" si="8"/>
        <v>0</v>
      </c>
      <c r="I23" s="122">
        <f>SUM('3.felh'!L49)</f>
        <v>0</v>
      </c>
      <c r="J23" s="122">
        <f>SUM('3.felh'!L75)</f>
        <v>0</v>
      </c>
      <c r="K23" s="122">
        <f>'3.felh'!J98</f>
        <v>0</v>
      </c>
      <c r="L23" s="130">
        <f t="shared" ref="L23:L32" si="15">SUM(I23:K23)</f>
        <v>0</v>
      </c>
      <c r="M23" s="130">
        <f t="shared" si="10"/>
        <v>0</v>
      </c>
      <c r="N23" s="122"/>
      <c r="O23" s="122"/>
      <c r="P23" s="280">
        <f t="shared" si="11"/>
        <v>0</v>
      </c>
      <c r="Q23" s="735">
        <f t="shared" si="12"/>
        <v>0</v>
      </c>
      <c r="R23" s="735"/>
      <c r="S23" s="735"/>
      <c r="T23" s="735"/>
      <c r="U23" s="735"/>
      <c r="V23" s="735"/>
      <c r="W23" s="735"/>
      <c r="X23" s="735"/>
      <c r="Y23" s="735"/>
      <c r="Z23" s="66"/>
      <c r="AA23" s="66"/>
      <c r="AB23" s="66"/>
      <c r="AC23" s="66"/>
      <c r="AD23" s="66"/>
    </row>
    <row r="24" spans="1:30" ht="15" hidden="1" customHeight="1" x14ac:dyDescent="0.2">
      <c r="A24" s="279" t="str">
        <f>'5.Bev.össz_'!A25</f>
        <v xml:space="preserve">       Teljesítés 2025.12.31.</v>
      </c>
      <c r="B24" s="122">
        <f>SUM('7.finanszírozás.'!C116)</f>
        <v>0</v>
      </c>
      <c r="C24" s="122">
        <f>SUM('7.finanszírozás.'!C124)</f>
        <v>0</v>
      </c>
      <c r="D24" s="122">
        <f>SUM('7.finanszírozás.'!C132)</f>
        <v>0</v>
      </c>
      <c r="E24" s="122">
        <f>SUM('7.finanszírozás.'!C148)</f>
        <v>0</v>
      </c>
      <c r="F24" s="122">
        <f>SUM('4. Átadott p.eszk.'!L68-'4. Átadott p.eszk.'!L62-'4. Átadott p.eszk.'!L63)+'2.működés'!M138+'2.működés'!M139+'2.működés'!M140</f>
        <v>0</v>
      </c>
      <c r="G24" s="122">
        <f>SUM('2.működés'!M137)</f>
        <v>0</v>
      </c>
      <c r="H24" s="130">
        <f t="shared" si="8"/>
        <v>0</v>
      </c>
      <c r="I24" s="122">
        <f>SUM('3.felh'!M48)</f>
        <v>0</v>
      </c>
      <c r="J24" s="122">
        <f>SUM('3.felh'!M74)</f>
        <v>0</v>
      </c>
      <c r="K24" s="122">
        <f>'3.felh'!J99</f>
        <v>0</v>
      </c>
      <c r="L24" s="130">
        <f t="shared" si="15"/>
        <v>0</v>
      </c>
      <c r="M24" s="130">
        <f t="shared" si="10"/>
        <v>0</v>
      </c>
      <c r="N24" s="122">
        <f>SUM('7.finanszírozás.'!E57+'7.finanszírozás.'!E66)</f>
        <v>246788</v>
      </c>
      <c r="O24" s="122">
        <f>SUM('1.Bev-kiad.'!M84)</f>
        <v>0</v>
      </c>
      <c r="P24" s="280">
        <f t="shared" si="11"/>
        <v>0</v>
      </c>
      <c r="Q24" s="735">
        <f t="shared" si="12"/>
        <v>0</v>
      </c>
      <c r="R24" s="735"/>
      <c r="S24" s="735"/>
      <c r="T24" s="735"/>
      <c r="U24" s="735"/>
      <c r="V24" s="735"/>
      <c r="W24" s="735"/>
      <c r="X24" s="735"/>
      <c r="Y24" s="735"/>
      <c r="Z24" s="66"/>
      <c r="AA24" s="66"/>
      <c r="AB24" s="66"/>
      <c r="AC24" s="66"/>
      <c r="AD24" s="66"/>
    </row>
    <row r="25" spans="1:30" s="602" customFormat="1" ht="21" customHeight="1" x14ac:dyDescent="0.2">
      <c r="A25" s="616" t="s">
        <v>1124</v>
      </c>
      <c r="B25" s="620"/>
      <c r="C25" s="620"/>
      <c r="D25" s="620"/>
      <c r="E25" s="620"/>
      <c r="F25" s="621">
        <f>'4. Átadott p.eszk.'!B62+'4. Átadott p.eszk.'!B63</f>
        <v>7165</v>
      </c>
      <c r="G25" s="620"/>
      <c r="H25" s="618">
        <f>F25</f>
        <v>7165</v>
      </c>
      <c r="I25" s="621">
        <v>0</v>
      </c>
      <c r="J25" s="621">
        <v>0</v>
      </c>
      <c r="K25" s="621">
        <v>0</v>
      </c>
      <c r="L25" s="618">
        <v>0</v>
      </c>
      <c r="M25" s="618">
        <f>H25+L25</f>
        <v>7165</v>
      </c>
      <c r="N25" s="620"/>
      <c r="O25" s="620"/>
      <c r="P25" s="619">
        <f>H25+L25</f>
        <v>7165</v>
      </c>
      <c r="Q25" s="739">
        <f t="shared" ref="Q25" si="16">SUM(R25:W25)</f>
        <v>0</v>
      </c>
      <c r="R25" s="734">
        <v>0</v>
      </c>
      <c r="S25" s="734">
        <v>0</v>
      </c>
      <c r="T25" s="734">
        <v>0</v>
      </c>
      <c r="U25" s="734">
        <v>0</v>
      </c>
      <c r="V25" s="734">
        <v>0</v>
      </c>
      <c r="W25" s="734">
        <v>0</v>
      </c>
      <c r="X25" s="734">
        <v>0</v>
      </c>
      <c r="Y25" s="734">
        <v>0</v>
      </c>
      <c r="Z25" s="66"/>
      <c r="AA25" s="66"/>
      <c r="AB25" s="66"/>
      <c r="AC25" s="66"/>
      <c r="AD25" s="66"/>
    </row>
    <row r="26" spans="1:30" ht="20.25" customHeight="1" x14ac:dyDescent="0.2">
      <c r="A26" s="279" t="str">
        <f>'5.Bev.össz_'!A28</f>
        <v xml:space="preserve">       Önként vállalt (eredeti előirányzat 2026. év)</v>
      </c>
      <c r="B26" s="67"/>
      <c r="C26" s="67"/>
      <c r="D26" s="67"/>
      <c r="E26" s="67"/>
      <c r="F26" s="65">
        <f>SUM('4. Átadott p.eszk.'!C62+'4. Átadott p.eszk.'!C63)</f>
        <v>9250</v>
      </c>
      <c r="G26" s="65"/>
      <c r="H26" s="130">
        <f t="shared" ref="H26:H32" si="17">SUM(B26:G26)</f>
        <v>9250</v>
      </c>
      <c r="I26" s="122"/>
      <c r="J26" s="122"/>
      <c r="K26" s="122"/>
      <c r="L26" s="130">
        <f>SUM(I26:K26)</f>
        <v>0</v>
      </c>
      <c r="M26" s="130">
        <f>SUM(H26+L26)</f>
        <v>9250</v>
      </c>
      <c r="N26" s="65"/>
      <c r="O26" s="65"/>
      <c r="P26" s="280">
        <f t="shared" ref="P26:P32" si="18">SUM(H26+L26)</f>
        <v>9250</v>
      </c>
      <c r="Q26" s="735">
        <f>SUM(R26:Y26)</f>
        <v>0</v>
      </c>
      <c r="R26" s="735">
        <v>0</v>
      </c>
      <c r="S26" s="735">
        <v>0</v>
      </c>
      <c r="T26" s="735">
        <v>0</v>
      </c>
      <c r="U26" s="735">
        <v>0</v>
      </c>
      <c r="V26" s="735">
        <v>0</v>
      </c>
      <c r="W26" s="735">
        <v>0</v>
      </c>
      <c r="X26" s="735">
        <v>0</v>
      </c>
      <c r="Y26" s="735">
        <v>0</v>
      </c>
      <c r="Z26" s="66"/>
      <c r="AA26" s="66"/>
      <c r="AB26" s="66"/>
      <c r="AC26" s="66"/>
      <c r="AD26" s="66"/>
    </row>
    <row r="27" spans="1:30" ht="20.25" customHeight="1" x14ac:dyDescent="0.2">
      <c r="A27" s="279" t="str">
        <f>'5.Bev.össz'!A29</f>
        <v xml:space="preserve">       Önként vállalt (módosított előirányzat 2026.10. havi)</v>
      </c>
      <c r="B27" s="65"/>
      <c r="C27" s="65"/>
      <c r="D27" s="65"/>
      <c r="E27" s="65"/>
      <c r="F27" s="65">
        <f>'4. Átadott p.eszk.'!E62+'4. Átadott p.eszk.'!E63</f>
        <v>9250</v>
      </c>
      <c r="G27" s="65"/>
      <c r="H27" s="130">
        <f t="shared" si="17"/>
        <v>9250</v>
      </c>
      <c r="I27" s="122"/>
      <c r="J27" s="122"/>
      <c r="K27" s="122"/>
      <c r="L27" s="130">
        <v>0</v>
      </c>
      <c r="M27" s="130">
        <f>SUM(H27+L27)</f>
        <v>9250</v>
      </c>
      <c r="N27" s="65"/>
      <c r="O27" s="65"/>
      <c r="P27" s="280">
        <f t="shared" si="18"/>
        <v>9250</v>
      </c>
      <c r="Q27" s="735">
        <f t="shared" ref="Q27:Q30" si="19">SUM(R27:Y27)</f>
        <v>0</v>
      </c>
      <c r="R27" s="735">
        <v>0</v>
      </c>
      <c r="S27" s="735">
        <v>0</v>
      </c>
      <c r="T27" s="735">
        <v>0</v>
      </c>
      <c r="U27" s="735">
        <v>0</v>
      </c>
      <c r="V27" s="735">
        <v>0</v>
      </c>
      <c r="W27" s="735">
        <v>0</v>
      </c>
      <c r="X27" s="735">
        <v>0</v>
      </c>
      <c r="Y27" s="735">
        <v>0</v>
      </c>
      <c r="Z27" s="66"/>
      <c r="AA27" s="66"/>
      <c r="AB27" s="66"/>
      <c r="AC27" s="66"/>
      <c r="AD27" s="66"/>
    </row>
    <row r="28" spans="1:30" ht="21" hidden="1" customHeight="1" x14ac:dyDescent="0.2">
      <c r="A28" s="279" t="str">
        <f>'5.Bev.össz_'!A30</f>
        <v xml:space="preserve">       Önként vállalt (módosított előirányzat 2025.09.havi)</v>
      </c>
      <c r="B28" s="67"/>
      <c r="C28" s="67"/>
      <c r="D28" s="67"/>
      <c r="E28" s="67"/>
      <c r="F28" s="65">
        <f>'4. Átadott p.eszk.'!G62+'4. Átadott p.eszk.'!G63</f>
        <v>0</v>
      </c>
      <c r="G28" s="65"/>
      <c r="H28" s="130">
        <f t="shared" si="17"/>
        <v>0</v>
      </c>
      <c r="I28" s="122"/>
      <c r="J28" s="122"/>
      <c r="K28" s="122"/>
      <c r="L28" s="130">
        <v>0</v>
      </c>
      <c r="M28" s="130">
        <f t="shared" ref="M28:M32" si="20">SUM(E28+I28)</f>
        <v>0</v>
      </c>
      <c r="N28" s="65"/>
      <c r="O28" s="65"/>
      <c r="P28" s="280">
        <f t="shared" si="18"/>
        <v>0</v>
      </c>
      <c r="Q28" s="735">
        <f t="shared" si="19"/>
        <v>0</v>
      </c>
      <c r="R28" s="735">
        <v>0</v>
      </c>
      <c r="S28" s="735">
        <v>0</v>
      </c>
      <c r="T28" s="735">
        <v>0</v>
      </c>
      <c r="U28" s="735">
        <v>0</v>
      </c>
      <c r="V28" s="735">
        <v>0</v>
      </c>
      <c r="W28" s="735">
        <v>0</v>
      </c>
      <c r="X28" s="735">
        <v>0</v>
      </c>
      <c r="Y28" s="735">
        <v>0</v>
      </c>
      <c r="Z28" s="66"/>
      <c r="AA28" s="66"/>
      <c r="AB28" s="66"/>
      <c r="AC28" s="66"/>
      <c r="AD28" s="66"/>
    </row>
    <row r="29" spans="1:30" ht="17.25" hidden="1" customHeight="1" x14ac:dyDescent="0.2">
      <c r="A29" s="279" t="str">
        <f>'5.Bev.össz_'!A31</f>
        <v xml:space="preserve">       Önként vállalt (módosított előirányzat 2025.12.havi)</v>
      </c>
      <c r="B29" s="67"/>
      <c r="C29" s="67"/>
      <c r="D29" s="67"/>
      <c r="E29" s="67"/>
      <c r="F29" s="65">
        <f>'4. Átadott p.eszk.'!I62+'4. Átadott p.eszk.'!I63</f>
        <v>0</v>
      </c>
      <c r="G29" s="65"/>
      <c r="H29" s="130">
        <f t="shared" si="17"/>
        <v>0</v>
      </c>
      <c r="I29" s="122"/>
      <c r="J29" s="122"/>
      <c r="K29" s="122"/>
      <c r="L29" s="130">
        <f t="shared" si="15"/>
        <v>0</v>
      </c>
      <c r="M29" s="130">
        <f t="shared" si="20"/>
        <v>0</v>
      </c>
      <c r="N29" s="65"/>
      <c r="O29" s="65"/>
      <c r="P29" s="280">
        <f t="shared" si="18"/>
        <v>0</v>
      </c>
      <c r="Q29" s="735">
        <f t="shared" si="19"/>
        <v>0</v>
      </c>
      <c r="R29" s="735">
        <v>0</v>
      </c>
      <c r="S29" s="735">
        <v>0</v>
      </c>
      <c r="T29" s="735">
        <v>0</v>
      </c>
      <c r="U29" s="735">
        <v>0</v>
      </c>
      <c r="V29" s="735">
        <v>0</v>
      </c>
      <c r="W29" s="735">
        <v>0</v>
      </c>
      <c r="X29" s="735">
        <v>0</v>
      </c>
      <c r="Y29" s="735">
        <v>0</v>
      </c>
      <c r="Z29" s="66"/>
      <c r="AA29" s="66"/>
      <c r="AB29" s="66"/>
      <c r="AC29" s="66"/>
      <c r="AD29" s="66"/>
    </row>
    <row r="30" spans="1:30" ht="17.25" hidden="1" customHeight="1" x14ac:dyDescent="0.2">
      <c r="A30" s="279" t="str">
        <f>'5.Bev.össz_'!A32</f>
        <v xml:space="preserve">       Önként vállalt (módosított előirányzat 2025.12.31)</v>
      </c>
      <c r="B30" s="67"/>
      <c r="C30" s="67"/>
      <c r="D30" s="67"/>
      <c r="E30" s="67"/>
      <c r="F30" s="65">
        <f>'4. Átadott p.eszk.'!K62+'4. Átadott p.eszk.'!K63</f>
        <v>0</v>
      </c>
      <c r="G30" s="65"/>
      <c r="H30" s="130">
        <f t="shared" si="17"/>
        <v>0</v>
      </c>
      <c r="I30" s="122"/>
      <c r="J30" s="122"/>
      <c r="K30" s="122"/>
      <c r="L30" s="130">
        <f t="shared" ref="L30" si="21">SUM(I30:K30)</f>
        <v>0</v>
      </c>
      <c r="M30" s="130">
        <f t="shared" si="20"/>
        <v>0</v>
      </c>
      <c r="N30" s="65"/>
      <c r="O30" s="65"/>
      <c r="P30" s="280">
        <f t="shared" si="18"/>
        <v>0</v>
      </c>
      <c r="Q30" s="735">
        <f t="shared" si="19"/>
        <v>0</v>
      </c>
      <c r="R30" s="735">
        <v>0</v>
      </c>
      <c r="S30" s="735">
        <v>0</v>
      </c>
      <c r="T30" s="735">
        <v>0</v>
      </c>
      <c r="U30" s="735">
        <v>0</v>
      </c>
      <c r="V30" s="735">
        <v>0</v>
      </c>
      <c r="W30" s="735">
        <v>0</v>
      </c>
      <c r="X30" s="735">
        <v>0</v>
      </c>
      <c r="Y30" s="735">
        <v>0</v>
      </c>
      <c r="Z30" s="66"/>
      <c r="AA30" s="66"/>
      <c r="AB30" s="66"/>
      <c r="AC30" s="66"/>
      <c r="AD30" s="66"/>
    </row>
    <row r="31" spans="1:30" ht="15" hidden="1" customHeight="1" x14ac:dyDescent="0.2">
      <c r="A31" s="279">
        <f>'5.Bev.össz_'!A33</f>
        <v>0</v>
      </c>
      <c r="B31" s="67"/>
      <c r="C31" s="67"/>
      <c r="D31" s="67"/>
      <c r="E31" s="67"/>
      <c r="F31" s="65">
        <f>'4. Átadott p.eszk.'!K63+'4. Átadott p.eszk.'!K64</f>
        <v>0</v>
      </c>
      <c r="G31" s="65"/>
      <c r="H31" s="130">
        <f t="shared" si="17"/>
        <v>0</v>
      </c>
      <c r="I31" s="122"/>
      <c r="J31" s="122"/>
      <c r="K31" s="122"/>
      <c r="L31" s="130">
        <f t="shared" si="15"/>
        <v>0</v>
      </c>
      <c r="M31" s="130">
        <f t="shared" si="20"/>
        <v>0</v>
      </c>
      <c r="N31" s="65"/>
      <c r="O31" s="65"/>
      <c r="P31" s="280">
        <f t="shared" si="18"/>
        <v>0</v>
      </c>
      <c r="Q31" s="735"/>
      <c r="R31" s="735"/>
      <c r="S31" s="735"/>
      <c r="T31" s="735"/>
      <c r="U31" s="735"/>
      <c r="V31" s="735"/>
      <c r="W31" s="735"/>
      <c r="X31" s="735"/>
      <c r="Y31" s="735"/>
      <c r="Z31" s="66"/>
      <c r="AA31" s="66"/>
      <c r="AB31" s="66"/>
      <c r="AC31" s="66"/>
      <c r="AD31" s="66"/>
    </row>
    <row r="32" spans="1:30" ht="15" hidden="1" customHeight="1" x14ac:dyDescent="0.2">
      <c r="A32" s="279" t="str">
        <f>'5.Bev.össz_'!A34</f>
        <v xml:space="preserve">       Teljesítés 2025.12.31.</v>
      </c>
      <c r="B32" s="67"/>
      <c r="C32" s="67"/>
      <c r="D32" s="67"/>
      <c r="E32" s="67"/>
      <c r="F32" s="65">
        <f>'4. Átadott p.eszk.'!L62+'4. Átadott p.eszk.'!L63</f>
        <v>0</v>
      </c>
      <c r="G32" s="67"/>
      <c r="H32" s="130">
        <f t="shared" si="17"/>
        <v>0</v>
      </c>
      <c r="I32" s="354"/>
      <c r="J32" s="354"/>
      <c r="K32" s="354"/>
      <c r="L32" s="130">
        <f t="shared" si="15"/>
        <v>0</v>
      </c>
      <c r="M32" s="130">
        <f t="shared" si="20"/>
        <v>0</v>
      </c>
      <c r="N32" s="67"/>
      <c r="O32" s="67"/>
      <c r="P32" s="280">
        <f t="shared" si="18"/>
        <v>0</v>
      </c>
      <c r="Q32" s="735"/>
      <c r="R32" s="735"/>
      <c r="S32" s="735"/>
      <c r="T32" s="735"/>
      <c r="U32" s="735"/>
      <c r="V32" s="735"/>
      <c r="W32" s="735"/>
      <c r="X32" s="735"/>
      <c r="Y32" s="735"/>
      <c r="Z32" s="66"/>
      <c r="AA32" s="66"/>
      <c r="AB32" s="66"/>
      <c r="AC32" s="66"/>
      <c r="AD32" s="66"/>
    </row>
    <row r="33" spans="1:30" ht="20.25" customHeight="1" thickBot="1" x14ac:dyDescent="0.25">
      <c r="A33" s="281" t="str">
        <f>'5.Bev.össz_'!A35</f>
        <v xml:space="preserve">       Államigazgatási feladatok (eredeti előirányzat 2026. év)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280"/>
      <c r="Q33" s="735"/>
      <c r="R33" s="735"/>
      <c r="S33" s="735"/>
      <c r="T33" s="735"/>
      <c r="U33" s="735"/>
      <c r="V33" s="735"/>
      <c r="W33" s="735"/>
      <c r="X33" s="735"/>
      <c r="Y33" s="735"/>
      <c r="Z33" s="66"/>
      <c r="AA33" s="66"/>
      <c r="AB33" s="66"/>
      <c r="AC33" s="66"/>
      <c r="AD33" s="66"/>
    </row>
    <row r="34" spans="1:30" s="602" customFormat="1" ht="16.5" customHeight="1" thickBot="1" x14ac:dyDescent="0.25">
      <c r="A34" s="613" t="s">
        <v>1015</v>
      </c>
      <c r="B34" s="597">
        <f>B42</f>
        <v>231133</v>
      </c>
      <c r="C34" s="597">
        <f t="shared" ref="C34:L41" si="22">C42</f>
        <v>29666</v>
      </c>
      <c r="D34" s="597">
        <f t="shared" si="22"/>
        <v>25680</v>
      </c>
      <c r="E34" s="597">
        <f t="shared" si="22"/>
        <v>0</v>
      </c>
      <c r="F34" s="597">
        <f t="shared" si="22"/>
        <v>0</v>
      </c>
      <c r="G34" s="597">
        <f t="shared" si="22"/>
        <v>0</v>
      </c>
      <c r="H34" s="597">
        <f t="shared" si="22"/>
        <v>286479</v>
      </c>
      <c r="I34" s="597">
        <f t="shared" si="22"/>
        <v>349</v>
      </c>
      <c r="J34" s="597">
        <f t="shared" si="22"/>
        <v>0</v>
      </c>
      <c r="K34" s="597">
        <f t="shared" si="22"/>
        <v>0</v>
      </c>
      <c r="L34" s="597">
        <f t="shared" si="22"/>
        <v>349</v>
      </c>
      <c r="M34" s="597">
        <f>P42</f>
        <v>286828</v>
      </c>
      <c r="N34" s="597">
        <f>N42</f>
        <v>0</v>
      </c>
      <c r="O34" s="597">
        <f>O42</f>
        <v>0</v>
      </c>
      <c r="P34" s="615">
        <f>P42</f>
        <v>286828</v>
      </c>
      <c r="Q34" s="738">
        <f>Q42</f>
        <v>30</v>
      </c>
      <c r="R34" s="738">
        <f t="shared" ref="R34:Y39" si="23">R42</f>
        <v>0</v>
      </c>
      <c r="S34" s="738">
        <f t="shared" si="23"/>
        <v>0</v>
      </c>
      <c r="T34" s="738">
        <f t="shared" si="23"/>
        <v>0</v>
      </c>
      <c r="U34" s="738">
        <f t="shared" si="23"/>
        <v>0</v>
      </c>
      <c r="V34" s="738">
        <f t="shared" si="23"/>
        <v>3</v>
      </c>
      <c r="W34" s="738">
        <f t="shared" si="23"/>
        <v>0</v>
      </c>
      <c r="X34" s="738">
        <f t="shared" si="23"/>
        <v>26</v>
      </c>
      <c r="Y34" s="738">
        <f t="shared" si="23"/>
        <v>1</v>
      </c>
      <c r="Z34" s="66"/>
      <c r="AA34" s="66"/>
      <c r="AB34" s="66"/>
      <c r="AC34" s="66"/>
      <c r="AD34" s="66"/>
    </row>
    <row r="35" spans="1:30" s="66" customFormat="1" ht="21" customHeight="1" thickBot="1" x14ac:dyDescent="0.25">
      <c r="A35" s="274" t="str">
        <f>'5.Bev.össz_'!A37</f>
        <v>KÖH (eredeti előirányzat 2026. év)</v>
      </c>
      <c r="B35" s="125">
        <f t="shared" ref="B35:H35" si="24">SUM(B43)</f>
        <v>299331</v>
      </c>
      <c r="C35" s="125">
        <f t="shared" si="24"/>
        <v>40800</v>
      </c>
      <c r="D35" s="125">
        <f t="shared" si="24"/>
        <v>30892</v>
      </c>
      <c r="E35" s="125">
        <f t="shared" si="24"/>
        <v>0</v>
      </c>
      <c r="F35" s="125">
        <f t="shared" si="24"/>
        <v>0</v>
      </c>
      <c r="G35" s="125">
        <f t="shared" si="24"/>
        <v>0</v>
      </c>
      <c r="H35" s="118">
        <f t="shared" si="24"/>
        <v>371023</v>
      </c>
      <c r="I35" s="118">
        <f t="shared" si="22"/>
        <v>700</v>
      </c>
      <c r="J35" s="118">
        <f t="shared" si="22"/>
        <v>0</v>
      </c>
      <c r="K35" s="118">
        <f t="shared" si="22"/>
        <v>0</v>
      </c>
      <c r="L35" s="118">
        <f>I35+J35+K35</f>
        <v>700</v>
      </c>
      <c r="M35" s="118">
        <f>(H35+L35)</f>
        <v>371723</v>
      </c>
      <c r="N35" s="125">
        <f t="shared" ref="N35:O41" si="25">SUM(N43)</f>
        <v>0</v>
      </c>
      <c r="O35" s="125">
        <f t="shared" si="25"/>
        <v>0</v>
      </c>
      <c r="P35" s="131">
        <f t="shared" ref="P35:P41" si="26">(L35+H35)</f>
        <v>371723</v>
      </c>
      <c r="Q35" s="733">
        <f>Q43</f>
        <v>29</v>
      </c>
      <c r="R35" s="733">
        <f t="shared" si="23"/>
        <v>0</v>
      </c>
      <c r="S35" s="733">
        <f t="shared" si="23"/>
        <v>0</v>
      </c>
      <c r="T35" s="733">
        <f t="shared" si="23"/>
        <v>0</v>
      </c>
      <c r="U35" s="733">
        <f t="shared" si="23"/>
        <v>0</v>
      </c>
      <c r="V35" s="733">
        <f t="shared" si="23"/>
        <v>3</v>
      </c>
      <c r="W35" s="733">
        <f t="shared" si="23"/>
        <v>0</v>
      </c>
      <c r="X35" s="733">
        <f t="shared" si="23"/>
        <v>25</v>
      </c>
      <c r="Y35" s="733">
        <f t="shared" si="23"/>
        <v>1</v>
      </c>
    </row>
    <row r="36" spans="1:30" s="66" customFormat="1" ht="21" customHeight="1" thickBot="1" x14ac:dyDescent="0.25">
      <c r="A36" s="274" t="str">
        <f>'5.Bev.össz'!A38</f>
        <v>KÖH (módosított előirányzat 2026.10. havi)</v>
      </c>
      <c r="B36" s="125">
        <f t="shared" ref="B36:H41" si="27">SUM(B44)</f>
        <v>297759</v>
      </c>
      <c r="C36" s="125">
        <f t="shared" si="27"/>
        <v>40800</v>
      </c>
      <c r="D36" s="125">
        <f t="shared" si="27"/>
        <v>30917</v>
      </c>
      <c r="E36" s="125">
        <f t="shared" si="27"/>
        <v>0</v>
      </c>
      <c r="F36" s="125">
        <f t="shared" si="27"/>
        <v>0</v>
      </c>
      <c r="G36" s="125">
        <f t="shared" si="27"/>
        <v>0</v>
      </c>
      <c r="H36" s="118">
        <f t="shared" si="27"/>
        <v>369476</v>
      </c>
      <c r="I36" s="118">
        <f t="shared" si="22"/>
        <v>700</v>
      </c>
      <c r="J36" s="118">
        <f t="shared" si="22"/>
        <v>0</v>
      </c>
      <c r="K36" s="118">
        <f t="shared" si="22"/>
        <v>0</v>
      </c>
      <c r="L36" s="118">
        <f t="shared" ref="L36:L41" si="28">I36+J36+K36</f>
        <v>700</v>
      </c>
      <c r="M36" s="118">
        <f t="shared" ref="M36:M41" si="29">(I36+E36)</f>
        <v>700</v>
      </c>
      <c r="N36" s="125">
        <f t="shared" si="25"/>
        <v>0</v>
      </c>
      <c r="O36" s="125">
        <f t="shared" si="25"/>
        <v>0</v>
      </c>
      <c r="P36" s="131">
        <f t="shared" si="26"/>
        <v>370176</v>
      </c>
      <c r="Q36" s="733">
        <f t="shared" ref="Q36:X41" si="30">Q44</f>
        <v>29</v>
      </c>
      <c r="R36" s="733">
        <f t="shared" si="30"/>
        <v>0</v>
      </c>
      <c r="S36" s="733">
        <f t="shared" si="30"/>
        <v>0</v>
      </c>
      <c r="T36" s="733">
        <f t="shared" si="30"/>
        <v>0</v>
      </c>
      <c r="U36" s="733">
        <f t="shared" si="30"/>
        <v>0</v>
      </c>
      <c r="V36" s="733">
        <f t="shared" si="30"/>
        <v>3</v>
      </c>
      <c r="W36" s="733">
        <f t="shared" si="30"/>
        <v>0</v>
      </c>
      <c r="X36" s="733">
        <f t="shared" si="30"/>
        <v>25</v>
      </c>
      <c r="Y36" s="733">
        <f t="shared" si="23"/>
        <v>1</v>
      </c>
    </row>
    <row r="37" spans="1:30" s="66" customFormat="1" ht="21" hidden="1" customHeight="1" thickBot="1" x14ac:dyDescent="0.25">
      <c r="A37" s="274" t="str">
        <f>'5.Bev.össz_'!A39</f>
        <v>KÖH (módosított előirányzat 2025.09. havi)</v>
      </c>
      <c r="B37" s="125">
        <f t="shared" si="27"/>
        <v>0</v>
      </c>
      <c r="C37" s="125">
        <f t="shared" si="27"/>
        <v>0</v>
      </c>
      <c r="D37" s="125">
        <f t="shared" si="27"/>
        <v>0</v>
      </c>
      <c r="E37" s="125">
        <f t="shared" si="27"/>
        <v>0</v>
      </c>
      <c r="F37" s="125">
        <f t="shared" si="27"/>
        <v>0</v>
      </c>
      <c r="G37" s="125">
        <f t="shared" si="27"/>
        <v>0</v>
      </c>
      <c r="H37" s="118">
        <f t="shared" si="27"/>
        <v>0</v>
      </c>
      <c r="I37" s="118">
        <f t="shared" si="22"/>
        <v>0</v>
      </c>
      <c r="J37" s="118">
        <f t="shared" si="22"/>
        <v>0</v>
      </c>
      <c r="K37" s="118">
        <f t="shared" si="22"/>
        <v>0</v>
      </c>
      <c r="L37" s="118">
        <f t="shared" si="28"/>
        <v>0</v>
      </c>
      <c r="M37" s="118">
        <f t="shared" si="29"/>
        <v>0</v>
      </c>
      <c r="N37" s="125">
        <f t="shared" si="25"/>
        <v>0</v>
      </c>
      <c r="O37" s="125">
        <f t="shared" si="25"/>
        <v>0</v>
      </c>
      <c r="P37" s="131">
        <f t="shared" si="26"/>
        <v>0</v>
      </c>
      <c r="Q37" s="733">
        <f t="shared" si="30"/>
        <v>31</v>
      </c>
      <c r="R37" s="733">
        <f t="shared" si="30"/>
        <v>0</v>
      </c>
      <c r="S37" s="733">
        <f t="shared" si="30"/>
        <v>0</v>
      </c>
      <c r="T37" s="733">
        <f t="shared" si="30"/>
        <v>0</v>
      </c>
      <c r="U37" s="733">
        <f t="shared" si="30"/>
        <v>0</v>
      </c>
      <c r="V37" s="733">
        <f t="shared" si="30"/>
        <v>3</v>
      </c>
      <c r="W37" s="733">
        <f t="shared" si="30"/>
        <v>0</v>
      </c>
      <c r="X37" s="733">
        <f t="shared" si="30"/>
        <v>27</v>
      </c>
      <c r="Y37" s="733">
        <f t="shared" si="23"/>
        <v>1</v>
      </c>
    </row>
    <row r="38" spans="1:30" s="66" customFormat="1" ht="21" hidden="1" customHeight="1" thickBot="1" x14ac:dyDescent="0.25">
      <c r="A38" s="274" t="str">
        <f>'5.Bev.össz_'!A40</f>
        <v>KÖH (módosított előirányzat 2025.12. havi)</v>
      </c>
      <c r="B38" s="125">
        <f t="shared" si="27"/>
        <v>0</v>
      </c>
      <c r="C38" s="125">
        <f t="shared" si="27"/>
        <v>0</v>
      </c>
      <c r="D38" s="125">
        <f t="shared" si="27"/>
        <v>0</v>
      </c>
      <c r="E38" s="125">
        <f t="shared" si="27"/>
        <v>0</v>
      </c>
      <c r="F38" s="125">
        <f t="shared" si="27"/>
        <v>0</v>
      </c>
      <c r="G38" s="125">
        <f t="shared" si="27"/>
        <v>0</v>
      </c>
      <c r="H38" s="118">
        <f t="shared" si="27"/>
        <v>0</v>
      </c>
      <c r="I38" s="118">
        <f t="shared" si="22"/>
        <v>0</v>
      </c>
      <c r="J38" s="118">
        <f t="shared" si="22"/>
        <v>0</v>
      </c>
      <c r="K38" s="118">
        <f t="shared" si="22"/>
        <v>0</v>
      </c>
      <c r="L38" s="118">
        <f t="shared" si="28"/>
        <v>0</v>
      </c>
      <c r="M38" s="118">
        <f t="shared" si="29"/>
        <v>0</v>
      </c>
      <c r="N38" s="125">
        <f t="shared" si="25"/>
        <v>0</v>
      </c>
      <c r="O38" s="125">
        <f t="shared" si="25"/>
        <v>0</v>
      </c>
      <c r="P38" s="131">
        <f t="shared" si="26"/>
        <v>0</v>
      </c>
      <c r="Q38" s="733">
        <f t="shared" si="30"/>
        <v>30</v>
      </c>
      <c r="R38" s="733">
        <f t="shared" si="30"/>
        <v>0</v>
      </c>
      <c r="S38" s="733">
        <f t="shared" si="30"/>
        <v>0</v>
      </c>
      <c r="T38" s="733">
        <f t="shared" si="30"/>
        <v>0</v>
      </c>
      <c r="U38" s="733">
        <f t="shared" si="30"/>
        <v>0</v>
      </c>
      <c r="V38" s="733">
        <f t="shared" si="30"/>
        <v>4</v>
      </c>
      <c r="W38" s="733">
        <f t="shared" si="30"/>
        <v>0</v>
      </c>
      <c r="X38" s="733">
        <f t="shared" si="30"/>
        <v>25</v>
      </c>
      <c r="Y38" s="733">
        <f t="shared" si="23"/>
        <v>1</v>
      </c>
    </row>
    <row r="39" spans="1:30" s="66" customFormat="1" ht="21" hidden="1" customHeight="1" thickBot="1" x14ac:dyDescent="0.25">
      <c r="A39" s="274" t="str">
        <f>'5.Bev.össz_'!A41</f>
        <v>KÖH (módosított előirányzat 2025.12.31)</v>
      </c>
      <c r="B39" s="125">
        <f t="shared" si="27"/>
        <v>0</v>
      </c>
      <c r="C39" s="125">
        <f t="shared" si="27"/>
        <v>0</v>
      </c>
      <c r="D39" s="125">
        <f t="shared" si="27"/>
        <v>0</v>
      </c>
      <c r="E39" s="125">
        <f t="shared" si="27"/>
        <v>0</v>
      </c>
      <c r="F39" s="125">
        <f t="shared" si="27"/>
        <v>0</v>
      </c>
      <c r="G39" s="125">
        <f t="shared" si="27"/>
        <v>0</v>
      </c>
      <c r="H39" s="118">
        <f t="shared" si="27"/>
        <v>0</v>
      </c>
      <c r="I39" s="118">
        <f t="shared" si="22"/>
        <v>0</v>
      </c>
      <c r="J39" s="118">
        <f t="shared" si="22"/>
        <v>0</v>
      </c>
      <c r="K39" s="118">
        <f t="shared" si="22"/>
        <v>0</v>
      </c>
      <c r="L39" s="118">
        <f t="shared" si="28"/>
        <v>0</v>
      </c>
      <c r="M39" s="118">
        <f t="shared" si="29"/>
        <v>0</v>
      </c>
      <c r="N39" s="125">
        <f t="shared" si="25"/>
        <v>0</v>
      </c>
      <c r="O39" s="125">
        <f t="shared" si="25"/>
        <v>0</v>
      </c>
      <c r="P39" s="131">
        <f t="shared" si="26"/>
        <v>0</v>
      </c>
      <c r="Q39" s="733">
        <f t="shared" si="30"/>
        <v>30</v>
      </c>
      <c r="R39" s="733">
        <f t="shared" si="30"/>
        <v>0</v>
      </c>
      <c r="S39" s="733">
        <f t="shared" si="30"/>
        <v>0</v>
      </c>
      <c r="T39" s="733">
        <f t="shared" si="30"/>
        <v>0</v>
      </c>
      <c r="U39" s="733">
        <f t="shared" si="30"/>
        <v>0</v>
      </c>
      <c r="V39" s="733">
        <f t="shared" si="30"/>
        <v>4</v>
      </c>
      <c r="W39" s="733">
        <f t="shared" si="30"/>
        <v>0</v>
      </c>
      <c r="X39" s="733">
        <f t="shared" si="30"/>
        <v>25</v>
      </c>
      <c r="Y39" s="733">
        <f t="shared" si="23"/>
        <v>1</v>
      </c>
    </row>
    <row r="40" spans="1:30" s="66" customFormat="1" ht="15" hidden="1" customHeight="1" thickBot="1" x14ac:dyDescent="0.25">
      <c r="A40" s="274">
        <f>'5.Bev.össz_'!A42</f>
        <v>0</v>
      </c>
      <c r="B40" s="125">
        <f t="shared" si="27"/>
        <v>0</v>
      </c>
      <c r="C40" s="125">
        <f t="shared" si="27"/>
        <v>0</v>
      </c>
      <c r="D40" s="125">
        <f t="shared" si="27"/>
        <v>0</v>
      </c>
      <c r="E40" s="125">
        <f t="shared" si="27"/>
        <v>0</v>
      </c>
      <c r="F40" s="125">
        <f t="shared" si="27"/>
        <v>0</v>
      </c>
      <c r="G40" s="125">
        <f t="shared" si="27"/>
        <v>0</v>
      </c>
      <c r="H40" s="118">
        <f t="shared" si="27"/>
        <v>0</v>
      </c>
      <c r="I40" s="118">
        <f t="shared" si="22"/>
        <v>0</v>
      </c>
      <c r="J40" s="118">
        <f t="shared" si="22"/>
        <v>0</v>
      </c>
      <c r="K40" s="118">
        <f t="shared" si="22"/>
        <v>0</v>
      </c>
      <c r="L40" s="118">
        <f t="shared" si="28"/>
        <v>0</v>
      </c>
      <c r="M40" s="118">
        <f t="shared" si="29"/>
        <v>0</v>
      </c>
      <c r="N40" s="125">
        <f t="shared" si="25"/>
        <v>0</v>
      </c>
      <c r="O40" s="125">
        <f t="shared" si="25"/>
        <v>0</v>
      </c>
      <c r="P40" s="131">
        <f t="shared" si="26"/>
        <v>0</v>
      </c>
      <c r="Q40" s="737">
        <f t="shared" si="30"/>
        <v>0</v>
      </c>
      <c r="R40" s="737"/>
      <c r="S40" s="737"/>
      <c r="T40" s="737"/>
      <c r="U40" s="737"/>
      <c r="V40" s="737"/>
      <c r="W40" s="737"/>
      <c r="X40" s="737"/>
      <c r="Y40" s="737"/>
    </row>
    <row r="41" spans="1:30" s="66" customFormat="1" ht="15" hidden="1" customHeight="1" thickBot="1" x14ac:dyDescent="0.25">
      <c r="A41" s="274" t="str">
        <f>'5.Bev.össz_'!A43</f>
        <v>KÖH: Teljesítés 2025.12.31.</v>
      </c>
      <c r="B41" s="125">
        <f t="shared" si="27"/>
        <v>0</v>
      </c>
      <c r="C41" s="125">
        <f t="shared" si="27"/>
        <v>0</v>
      </c>
      <c r="D41" s="125">
        <f t="shared" si="27"/>
        <v>0</v>
      </c>
      <c r="E41" s="125">
        <f t="shared" si="27"/>
        <v>0</v>
      </c>
      <c r="F41" s="125">
        <f t="shared" si="27"/>
        <v>0</v>
      </c>
      <c r="G41" s="125">
        <f t="shared" si="27"/>
        <v>0</v>
      </c>
      <c r="H41" s="118">
        <f t="shared" si="27"/>
        <v>0</v>
      </c>
      <c r="I41" s="118">
        <f t="shared" si="22"/>
        <v>0</v>
      </c>
      <c r="J41" s="118">
        <f t="shared" si="22"/>
        <v>0</v>
      </c>
      <c r="K41" s="118">
        <f t="shared" si="22"/>
        <v>0</v>
      </c>
      <c r="L41" s="118">
        <f t="shared" si="28"/>
        <v>0</v>
      </c>
      <c r="M41" s="118">
        <f t="shared" si="29"/>
        <v>0</v>
      </c>
      <c r="N41" s="125">
        <f t="shared" si="25"/>
        <v>0</v>
      </c>
      <c r="O41" s="125">
        <f t="shared" si="25"/>
        <v>0</v>
      </c>
      <c r="P41" s="131">
        <f t="shared" si="26"/>
        <v>0</v>
      </c>
      <c r="Q41" s="737">
        <f t="shared" si="30"/>
        <v>0</v>
      </c>
      <c r="R41" s="737"/>
      <c r="S41" s="737"/>
      <c r="T41" s="737"/>
      <c r="U41" s="737"/>
      <c r="V41" s="737"/>
      <c r="W41" s="737"/>
      <c r="X41" s="737"/>
      <c r="Y41" s="737"/>
    </row>
    <row r="42" spans="1:30" s="602" customFormat="1" ht="18.75" customHeight="1" x14ac:dyDescent="0.2">
      <c r="A42" s="599" t="str">
        <f>A17</f>
        <v xml:space="preserve">       Kötelező teljesítés 2025.12.31.</v>
      </c>
      <c r="B42" s="621">
        <f>'2.működés'!C127</f>
        <v>231133</v>
      </c>
      <c r="C42" s="621">
        <f>'2.működés'!C130</f>
        <v>29666</v>
      </c>
      <c r="D42" s="621">
        <f>'2.működés'!C133</f>
        <v>25680</v>
      </c>
      <c r="E42" s="621"/>
      <c r="F42" s="621"/>
      <c r="G42" s="621"/>
      <c r="H42" s="622">
        <f t="shared" ref="H42:H49" si="31">SUM(B42:G42)</f>
        <v>286479</v>
      </c>
      <c r="I42" s="621">
        <f>'3.felh'!C72</f>
        <v>349</v>
      </c>
      <c r="J42" s="621"/>
      <c r="K42" s="621"/>
      <c r="L42" s="618">
        <f>SUM(I42:K42)</f>
        <v>349</v>
      </c>
      <c r="M42" s="618">
        <f>H42+L42</f>
        <v>286828</v>
      </c>
      <c r="N42" s="621"/>
      <c r="O42" s="621"/>
      <c r="P42" s="607">
        <f>H42+L42</f>
        <v>286828</v>
      </c>
      <c r="Q42" s="734">
        <f>SUM(R42:Y42)</f>
        <v>30</v>
      </c>
      <c r="R42" s="734">
        <v>0</v>
      </c>
      <c r="S42" s="734">
        <v>0</v>
      </c>
      <c r="T42" s="734">
        <v>0</v>
      </c>
      <c r="U42" s="734">
        <v>0</v>
      </c>
      <c r="V42" s="734">
        <v>3</v>
      </c>
      <c r="W42" s="734">
        <v>0</v>
      </c>
      <c r="X42" s="734">
        <v>26</v>
      </c>
      <c r="Y42" s="734">
        <v>1</v>
      </c>
      <c r="Z42" s="66"/>
      <c r="AA42" s="66"/>
      <c r="AB42" s="66"/>
      <c r="AC42" s="66"/>
      <c r="AD42" s="66"/>
    </row>
    <row r="43" spans="1:30" s="66" customFormat="1" ht="20.25" customHeight="1" x14ac:dyDescent="0.2">
      <c r="A43" s="275" t="str">
        <f>A18</f>
        <v xml:space="preserve">       Kötelező (eredeti előirányzat 2026. év)</v>
      </c>
      <c r="B43" s="65">
        <f>SUM('7.finanszírozás.'!D110)</f>
        <v>299331</v>
      </c>
      <c r="C43" s="65">
        <f>SUM('7.finanszírozás.'!D118)</f>
        <v>40800</v>
      </c>
      <c r="D43" s="65">
        <f>SUM('7.finanszírozás.'!D126)</f>
        <v>30892</v>
      </c>
      <c r="E43" s="65"/>
      <c r="F43" s="65"/>
      <c r="G43" s="65"/>
      <c r="H43" s="129">
        <f t="shared" si="31"/>
        <v>371023</v>
      </c>
      <c r="I43" s="65">
        <f>'7.finanszírozás.'!D134</f>
        <v>700</v>
      </c>
      <c r="J43" s="65"/>
      <c r="K43" s="65"/>
      <c r="L43" s="130">
        <f>SUM(I43:K43)</f>
        <v>700</v>
      </c>
      <c r="M43" s="130">
        <f>SUM(H43+L43)</f>
        <v>371723</v>
      </c>
      <c r="N43" s="65"/>
      <c r="O43" s="65"/>
      <c r="P43" s="276">
        <f t="shared" ref="P43:P49" si="32">SUM(H43+L43)</f>
        <v>371723</v>
      </c>
      <c r="Q43" s="735">
        <f>SUM(R43:Y43)</f>
        <v>29</v>
      </c>
      <c r="R43" s="735">
        <v>0</v>
      </c>
      <c r="S43" s="735">
        <v>0</v>
      </c>
      <c r="T43" s="735">
        <v>0</v>
      </c>
      <c r="U43" s="735">
        <v>0</v>
      </c>
      <c r="V43" s="735">
        <v>3</v>
      </c>
      <c r="W43" s="735">
        <v>0</v>
      </c>
      <c r="X43" s="735">
        <v>25</v>
      </c>
      <c r="Y43" s="735">
        <v>1</v>
      </c>
    </row>
    <row r="44" spans="1:30" s="66" customFormat="1" ht="19.5" customHeight="1" x14ac:dyDescent="0.2">
      <c r="A44" s="275" t="str">
        <f>'5.Bev.össz'!A46</f>
        <v xml:space="preserve">       Kötelező (módosított előirányzat 2026.10. havi)</v>
      </c>
      <c r="B44" s="65">
        <f>SUM('7.finanszírozás.'!D111)</f>
        <v>297759</v>
      </c>
      <c r="C44" s="65">
        <f>SUM('7.finanszírozás.'!D119)</f>
        <v>40800</v>
      </c>
      <c r="D44" s="65">
        <f>SUM('7.finanszírozás.'!D127)</f>
        <v>30917</v>
      </c>
      <c r="E44" s="65"/>
      <c r="F44" s="65"/>
      <c r="G44" s="65"/>
      <c r="H44" s="129">
        <f t="shared" si="31"/>
        <v>369476</v>
      </c>
      <c r="I44" s="65">
        <f>'7.finanszírozás.'!D135</f>
        <v>700</v>
      </c>
      <c r="J44" s="65"/>
      <c r="K44" s="65"/>
      <c r="L44" s="130">
        <f t="shared" ref="L44:L49" si="33">SUM(I44:K44)</f>
        <v>700</v>
      </c>
      <c r="M44" s="130">
        <f t="shared" ref="M44:M49" si="34">SUM(E44+I44)</f>
        <v>700</v>
      </c>
      <c r="N44" s="65"/>
      <c r="O44" s="65"/>
      <c r="P44" s="276">
        <f t="shared" si="32"/>
        <v>370176</v>
      </c>
      <c r="Q44" s="735">
        <f t="shared" ref="Q44:Q47" si="35">SUM(R44:Y44)</f>
        <v>29</v>
      </c>
      <c r="R44" s="735">
        <v>0</v>
      </c>
      <c r="S44" s="735">
        <v>0</v>
      </c>
      <c r="T44" s="735">
        <v>0</v>
      </c>
      <c r="U44" s="735">
        <v>0</v>
      </c>
      <c r="V44" s="735">
        <v>3</v>
      </c>
      <c r="W44" s="735">
        <v>0</v>
      </c>
      <c r="X44" s="735">
        <v>25</v>
      </c>
      <c r="Y44" s="735">
        <v>1</v>
      </c>
    </row>
    <row r="45" spans="1:30" s="66" customFormat="1" ht="15.75" hidden="1" customHeight="1" x14ac:dyDescent="0.2">
      <c r="A45" s="275" t="str">
        <f>'5.Bev.össz_'!A47</f>
        <v xml:space="preserve">       Kötelező (módosított előirányzat 2025.09.havi)</v>
      </c>
      <c r="B45" s="65">
        <f>SUM('7.finanszírozás.'!D112)</f>
        <v>0</v>
      </c>
      <c r="C45" s="65">
        <f>SUM('7.finanszírozás.'!D120)</f>
        <v>0</v>
      </c>
      <c r="D45" s="65">
        <f>SUM('7.finanszírozás.'!D128)</f>
        <v>0</v>
      </c>
      <c r="E45" s="65"/>
      <c r="F45" s="65"/>
      <c r="G45" s="65"/>
      <c r="H45" s="129">
        <f t="shared" si="31"/>
        <v>0</v>
      </c>
      <c r="I45" s="65">
        <f>'7.finanszírozás.'!D136</f>
        <v>0</v>
      </c>
      <c r="J45" s="65"/>
      <c r="K45" s="65"/>
      <c r="L45" s="130">
        <f t="shared" si="33"/>
        <v>0</v>
      </c>
      <c r="M45" s="130">
        <f t="shared" si="34"/>
        <v>0</v>
      </c>
      <c r="N45" s="65"/>
      <c r="O45" s="65"/>
      <c r="P45" s="276">
        <f t="shared" si="32"/>
        <v>0</v>
      </c>
      <c r="Q45" s="735">
        <f t="shared" si="35"/>
        <v>31</v>
      </c>
      <c r="R45" s="735">
        <v>0</v>
      </c>
      <c r="S45" s="735">
        <v>0</v>
      </c>
      <c r="T45" s="735">
        <v>0</v>
      </c>
      <c r="U45" s="735">
        <v>0</v>
      </c>
      <c r="V45" s="735">
        <v>3</v>
      </c>
      <c r="W45" s="735">
        <v>0</v>
      </c>
      <c r="X45" s="735">
        <v>27</v>
      </c>
      <c r="Y45" s="735">
        <v>1</v>
      </c>
    </row>
    <row r="46" spans="1:30" s="66" customFormat="1" ht="18" hidden="1" customHeight="1" x14ac:dyDescent="0.2">
      <c r="A46" s="275" t="str">
        <f>'5.Bev.össz_'!A48</f>
        <v xml:space="preserve">       Kötelező (módosított előirányzat 2025.12.havi)</v>
      </c>
      <c r="B46" s="65">
        <f>SUM('7.finanszírozás.'!D113)</f>
        <v>0</v>
      </c>
      <c r="C46" s="65">
        <f>SUM('7.finanszírozás.'!D121)</f>
        <v>0</v>
      </c>
      <c r="D46" s="65">
        <f>SUM('7.finanszírozás.'!D129)</f>
        <v>0</v>
      </c>
      <c r="E46" s="65"/>
      <c r="F46" s="65"/>
      <c r="G46" s="65"/>
      <c r="H46" s="129">
        <f t="shared" si="31"/>
        <v>0</v>
      </c>
      <c r="I46" s="65">
        <f>'7.finanszírozás.'!D137</f>
        <v>0</v>
      </c>
      <c r="J46" s="65"/>
      <c r="K46" s="65"/>
      <c r="L46" s="130">
        <f t="shared" si="33"/>
        <v>0</v>
      </c>
      <c r="M46" s="130">
        <f t="shared" si="34"/>
        <v>0</v>
      </c>
      <c r="N46" s="65"/>
      <c r="O46" s="65"/>
      <c r="P46" s="276">
        <f t="shared" si="32"/>
        <v>0</v>
      </c>
      <c r="Q46" s="735">
        <f t="shared" si="35"/>
        <v>30</v>
      </c>
      <c r="R46" s="735">
        <v>0</v>
      </c>
      <c r="S46" s="735">
        <v>0</v>
      </c>
      <c r="T46" s="735">
        <v>0</v>
      </c>
      <c r="U46" s="735">
        <v>0</v>
      </c>
      <c r="V46" s="735">
        <v>4</v>
      </c>
      <c r="W46" s="735">
        <v>0</v>
      </c>
      <c r="X46" s="735">
        <v>25</v>
      </c>
      <c r="Y46" s="735">
        <v>1</v>
      </c>
    </row>
    <row r="47" spans="1:30" s="66" customFormat="1" ht="18" hidden="1" customHeight="1" x14ac:dyDescent="0.2">
      <c r="A47" s="275" t="str">
        <f>'5.Bev.össz_'!A49</f>
        <v xml:space="preserve">       Kötelező (módosított előirányzat 2025.12.31)</v>
      </c>
      <c r="B47" s="65">
        <f>SUM('7.finanszírozás.'!D114)</f>
        <v>0</v>
      </c>
      <c r="C47" s="65">
        <f>SUM('7.finanszírozás.'!D122)</f>
        <v>0</v>
      </c>
      <c r="D47" s="65">
        <f>SUM('7.finanszírozás.'!D130)</f>
        <v>0</v>
      </c>
      <c r="E47" s="65"/>
      <c r="F47" s="65"/>
      <c r="G47" s="65"/>
      <c r="H47" s="129">
        <f t="shared" si="31"/>
        <v>0</v>
      </c>
      <c r="I47" s="65">
        <f>'7.finanszírozás.'!D138</f>
        <v>0</v>
      </c>
      <c r="J47" s="65"/>
      <c r="K47" s="65"/>
      <c r="L47" s="130">
        <f t="shared" si="33"/>
        <v>0</v>
      </c>
      <c r="M47" s="130">
        <f t="shared" si="34"/>
        <v>0</v>
      </c>
      <c r="N47" s="65"/>
      <c r="O47" s="65"/>
      <c r="P47" s="276">
        <f t="shared" si="32"/>
        <v>0</v>
      </c>
      <c r="Q47" s="735">
        <f t="shared" si="35"/>
        <v>30</v>
      </c>
      <c r="R47" s="735">
        <v>0</v>
      </c>
      <c r="S47" s="735">
        <v>0</v>
      </c>
      <c r="T47" s="735">
        <v>0</v>
      </c>
      <c r="U47" s="735">
        <v>0</v>
      </c>
      <c r="V47" s="735">
        <v>4</v>
      </c>
      <c r="W47" s="735">
        <v>0</v>
      </c>
      <c r="X47" s="735">
        <v>25</v>
      </c>
      <c r="Y47" s="735">
        <v>1</v>
      </c>
    </row>
    <row r="48" spans="1:30" s="66" customFormat="1" ht="15" hidden="1" customHeight="1" x14ac:dyDescent="0.2">
      <c r="A48" s="275">
        <f>'5.Bev.össz_'!A50</f>
        <v>0</v>
      </c>
      <c r="B48" s="65">
        <f>SUM('7.finanszírozás.'!D115)</f>
        <v>0</v>
      </c>
      <c r="C48" s="65">
        <f>SUM('7.finanszírozás.'!D123)</f>
        <v>0</v>
      </c>
      <c r="D48" s="65">
        <f>SUM('7.finanszírozás.'!D131)</f>
        <v>0</v>
      </c>
      <c r="E48" s="65"/>
      <c r="F48" s="65">
        <f>'7.finanszírozás.'!D155</f>
        <v>0</v>
      </c>
      <c r="G48" s="65"/>
      <c r="H48" s="129">
        <f t="shared" si="31"/>
        <v>0</v>
      </c>
      <c r="I48" s="65">
        <f>'7.finanszírozás.'!D139</f>
        <v>0</v>
      </c>
      <c r="J48" s="65"/>
      <c r="K48" s="65"/>
      <c r="L48" s="130">
        <f t="shared" si="33"/>
        <v>0</v>
      </c>
      <c r="M48" s="130">
        <f t="shared" si="34"/>
        <v>0</v>
      </c>
      <c r="N48" s="65"/>
      <c r="O48" s="65"/>
      <c r="P48" s="276">
        <f t="shared" si="32"/>
        <v>0</v>
      </c>
      <c r="Q48" s="735">
        <f t="shared" ref="Q48:Q49" si="36">SUM(R48:W48)</f>
        <v>0</v>
      </c>
      <c r="R48" s="735"/>
      <c r="S48" s="735"/>
      <c r="T48" s="735"/>
      <c r="U48" s="735"/>
      <c r="V48" s="735"/>
      <c r="W48" s="735"/>
      <c r="X48" s="735"/>
      <c r="Y48" s="735"/>
    </row>
    <row r="49" spans="1:30" s="66" customFormat="1" ht="15" hidden="1" customHeight="1" x14ac:dyDescent="0.2">
      <c r="A49" s="275" t="str">
        <f>'5.Bev.össz_'!A51</f>
        <v xml:space="preserve">       Teljesítés 2025.12.31.</v>
      </c>
      <c r="B49" s="65">
        <f>SUM('7.finanszírozás.'!D116)</f>
        <v>0</v>
      </c>
      <c r="C49" s="65">
        <f>SUM('7.finanszírozás.'!D124)</f>
        <v>0</v>
      </c>
      <c r="D49" s="65">
        <f>SUM('7.finanszírozás.'!D132)</f>
        <v>0</v>
      </c>
      <c r="E49" s="65"/>
      <c r="F49" s="65"/>
      <c r="G49" s="65"/>
      <c r="H49" s="129">
        <f t="shared" si="31"/>
        <v>0</v>
      </c>
      <c r="I49" s="65">
        <f>'7.finanszírozás.'!D140</f>
        <v>0</v>
      </c>
      <c r="J49" s="65"/>
      <c r="K49" s="65"/>
      <c r="L49" s="130">
        <f t="shared" si="33"/>
        <v>0</v>
      </c>
      <c r="M49" s="130">
        <f t="shared" si="34"/>
        <v>0</v>
      </c>
      <c r="N49" s="65"/>
      <c r="O49" s="65"/>
      <c r="P49" s="276">
        <f t="shared" si="32"/>
        <v>0</v>
      </c>
      <c r="Q49" s="735">
        <f t="shared" si="36"/>
        <v>0</v>
      </c>
      <c r="R49" s="735"/>
      <c r="S49" s="735"/>
      <c r="T49" s="735"/>
      <c r="U49" s="735"/>
      <c r="V49" s="735"/>
      <c r="W49" s="735"/>
      <c r="X49" s="735"/>
      <c r="Y49" s="735"/>
    </row>
    <row r="50" spans="1:30" s="66" customFormat="1" ht="18.75" customHeight="1" x14ac:dyDescent="0.2">
      <c r="A50" s="275" t="str">
        <f>'5.Bev.össz_'!A52</f>
        <v xml:space="preserve">       Önként vállalt (eredeti előirányzat 2026. év)</v>
      </c>
      <c r="B50" s="65"/>
      <c r="C50" s="65"/>
      <c r="D50" s="65"/>
      <c r="E50" s="65"/>
      <c r="F50" s="65"/>
      <c r="G50" s="65"/>
      <c r="H50" s="129"/>
      <c r="I50" s="65"/>
      <c r="J50" s="65"/>
      <c r="K50" s="65"/>
      <c r="L50" s="130"/>
      <c r="M50" s="130"/>
      <c r="N50" s="65"/>
      <c r="O50" s="65"/>
      <c r="P50" s="276"/>
      <c r="Q50" s="735"/>
      <c r="R50" s="735"/>
      <c r="S50" s="735"/>
      <c r="T50" s="735"/>
      <c r="U50" s="735"/>
      <c r="V50" s="735"/>
      <c r="W50" s="735"/>
      <c r="X50" s="735"/>
      <c r="Y50" s="735"/>
    </row>
    <row r="51" spans="1:30" s="66" customFormat="1" ht="18.75" customHeight="1" thickBot="1" x14ac:dyDescent="0.25">
      <c r="A51" s="275" t="str">
        <f>'5.Bev.össz_'!A53</f>
        <v xml:space="preserve">       Államigazgatási feladatok (eredeti előirányzat 2026. év)</v>
      </c>
      <c r="B51" s="354"/>
      <c r="C51" s="354"/>
      <c r="D51" s="354"/>
      <c r="E51" s="354"/>
      <c r="F51" s="354"/>
      <c r="G51" s="354"/>
      <c r="H51" s="353"/>
      <c r="I51" s="354"/>
      <c r="J51" s="354"/>
      <c r="K51" s="354"/>
      <c r="L51" s="353"/>
      <c r="M51" s="353"/>
      <c r="N51" s="354"/>
      <c r="O51" s="354"/>
      <c r="P51" s="352"/>
      <c r="Q51" s="735"/>
      <c r="R51" s="735"/>
      <c r="S51" s="735"/>
      <c r="T51" s="735"/>
      <c r="U51" s="735"/>
      <c r="V51" s="735"/>
      <c r="W51" s="735"/>
      <c r="X51" s="735"/>
      <c r="Y51" s="735"/>
    </row>
    <row r="52" spans="1:30" s="602" customFormat="1" ht="18" customHeight="1" thickBot="1" x14ac:dyDescent="0.25">
      <c r="A52" s="623" t="s">
        <v>1019</v>
      </c>
      <c r="B52" s="611">
        <f>B9+B34</f>
        <v>308647</v>
      </c>
      <c r="C52" s="611">
        <f t="shared" ref="C52:L52" si="37">C9+C34</f>
        <v>38354</v>
      </c>
      <c r="D52" s="611">
        <f t="shared" si="37"/>
        <v>350568</v>
      </c>
      <c r="E52" s="611">
        <f t="shared" si="37"/>
        <v>6186</v>
      </c>
      <c r="F52" s="611">
        <f t="shared" si="37"/>
        <v>707464</v>
      </c>
      <c r="G52" s="611">
        <f t="shared" si="37"/>
        <v>0</v>
      </c>
      <c r="H52" s="611">
        <f t="shared" si="37"/>
        <v>1411219</v>
      </c>
      <c r="I52" s="611">
        <f t="shared" si="37"/>
        <v>188483</v>
      </c>
      <c r="J52" s="611">
        <f t="shared" si="37"/>
        <v>172659</v>
      </c>
      <c r="K52" s="611">
        <f t="shared" si="37"/>
        <v>0</v>
      </c>
      <c r="L52" s="611">
        <f t="shared" si="37"/>
        <v>361142</v>
      </c>
      <c r="M52" s="611">
        <f>P9+P34</f>
        <v>2128302</v>
      </c>
      <c r="N52" s="611">
        <f>N9+N34</f>
        <v>240067</v>
      </c>
      <c r="O52" s="611">
        <f>O9+O34</f>
        <v>115874</v>
      </c>
      <c r="P52" s="612">
        <f>P9+P34</f>
        <v>2128302</v>
      </c>
      <c r="Q52" s="736">
        <f>Q9+Q34</f>
        <v>42</v>
      </c>
      <c r="R52" s="736">
        <f>R9+R34</f>
        <v>1</v>
      </c>
      <c r="S52" s="736">
        <f t="shared" ref="S52:Y52" si="38">S9+S34</f>
        <v>2</v>
      </c>
      <c r="T52" s="736">
        <f t="shared" si="38"/>
        <v>4</v>
      </c>
      <c r="U52" s="736">
        <f t="shared" si="38"/>
        <v>3</v>
      </c>
      <c r="V52" s="736">
        <f t="shared" si="38"/>
        <v>5</v>
      </c>
      <c r="W52" s="736">
        <f t="shared" si="38"/>
        <v>0</v>
      </c>
      <c r="X52" s="736">
        <f t="shared" si="38"/>
        <v>26</v>
      </c>
      <c r="Y52" s="736">
        <f t="shared" si="38"/>
        <v>1</v>
      </c>
      <c r="Z52" s="66"/>
      <c r="AA52" s="66">
        <v>240067</v>
      </c>
      <c r="AB52" s="66"/>
      <c r="AC52" s="66"/>
      <c r="AD52" s="66"/>
    </row>
    <row r="53" spans="1:30" s="66" customFormat="1" ht="23.25" customHeight="1" thickBot="1" x14ac:dyDescent="0.25">
      <c r="A53" s="126" t="str">
        <f>'5.Bev.össz_'!A55</f>
        <v>Önk.mindösszesen (eredeti előirányzat 2026. év)</v>
      </c>
      <c r="B53" s="127">
        <f t="shared" ref="B53:P59" si="39">SUM(B10+B35)</f>
        <v>373342</v>
      </c>
      <c r="C53" s="127">
        <f t="shared" si="39"/>
        <v>49611</v>
      </c>
      <c r="D53" s="127">
        <f t="shared" si="39"/>
        <v>622852</v>
      </c>
      <c r="E53" s="127">
        <f t="shared" si="39"/>
        <v>20000</v>
      </c>
      <c r="F53" s="127">
        <f t="shared" si="39"/>
        <v>741989</v>
      </c>
      <c r="G53" s="127">
        <f t="shared" si="39"/>
        <v>76000</v>
      </c>
      <c r="H53" s="127">
        <f t="shared" si="39"/>
        <v>1883794</v>
      </c>
      <c r="I53" s="127">
        <f t="shared" si="39"/>
        <v>744562</v>
      </c>
      <c r="J53" s="127">
        <f t="shared" si="39"/>
        <v>329676</v>
      </c>
      <c r="K53" s="127">
        <f t="shared" si="39"/>
        <v>0</v>
      </c>
      <c r="L53" s="127">
        <f t="shared" si="39"/>
        <v>1074238</v>
      </c>
      <c r="M53" s="127">
        <f>SUM(P10+P35)</f>
        <v>3383631</v>
      </c>
      <c r="N53" s="127">
        <f>SUM(N10+N35)</f>
        <v>303813</v>
      </c>
      <c r="O53" s="127">
        <f>SUM(O10+O35)</f>
        <v>121786</v>
      </c>
      <c r="P53" s="128">
        <f t="shared" si="39"/>
        <v>3383631</v>
      </c>
      <c r="Q53" s="737">
        <f t="shared" ref="Q53:Y59" si="40">Q10+Q35</f>
        <v>41</v>
      </c>
      <c r="R53" s="737">
        <f t="shared" si="40"/>
        <v>1</v>
      </c>
      <c r="S53" s="737">
        <f t="shared" si="40"/>
        <v>2</v>
      </c>
      <c r="T53" s="737">
        <f t="shared" si="40"/>
        <v>4</v>
      </c>
      <c r="U53" s="737">
        <f t="shared" si="40"/>
        <v>3</v>
      </c>
      <c r="V53" s="737">
        <f t="shared" si="40"/>
        <v>5</v>
      </c>
      <c r="W53" s="737">
        <f t="shared" si="40"/>
        <v>0</v>
      </c>
      <c r="X53" s="737">
        <f t="shared" si="40"/>
        <v>25</v>
      </c>
      <c r="Y53" s="737">
        <f t="shared" si="40"/>
        <v>1</v>
      </c>
      <c r="AA53" s="366">
        <f>P52-AA52</f>
        <v>1888235</v>
      </c>
    </row>
    <row r="54" spans="1:30" s="66" customFormat="1" ht="32.25" thickBot="1" x14ac:dyDescent="0.25">
      <c r="A54" s="126" t="str">
        <f>'5.Bev.össz'!A56</f>
        <v>Önk.mindösszesen (módosított ei. 2026.10. havi)</v>
      </c>
      <c r="B54" s="127">
        <f t="shared" si="39"/>
        <v>372144</v>
      </c>
      <c r="C54" s="127">
        <f t="shared" si="39"/>
        <v>49681</v>
      </c>
      <c r="D54" s="127">
        <f t="shared" si="39"/>
        <v>475584</v>
      </c>
      <c r="E54" s="127">
        <f t="shared" si="39"/>
        <v>20000</v>
      </c>
      <c r="F54" s="127">
        <f t="shared" si="39"/>
        <v>754719</v>
      </c>
      <c r="G54" s="127">
        <f t="shared" si="39"/>
        <v>161402</v>
      </c>
      <c r="H54" s="127">
        <f t="shared" si="39"/>
        <v>2266584</v>
      </c>
      <c r="I54" s="127">
        <f t="shared" si="39"/>
        <v>745340</v>
      </c>
      <c r="J54" s="127">
        <f t="shared" si="39"/>
        <v>276343</v>
      </c>
      <c r="K54" s="127">
        <f t="shared" si="39"/>
        <v>22225</v>
      </c>
      <c r="L54" s="127">
        <f t="shared" si="39"/>
        <v>1043908</v>
      </c>
      <c r="M54" s="127">
        <f>SUM(P11+P36)</f>
        <v>3310492</v>
      </c>
      <c r="N54" s="127">
        <f>SUM(N11+N36)</f>
        <v>303813</v>
      </c>
      <c r="O54" s="127">
        <f>SUM(O11+O36)</f>
        <v>129241</v>
      </c>
      <c r="P54" s="128">
        <f t="shared" si="39"/>
        <v>3310492</v>
      </c>
      <c r="Q54" s="278">
        <f t="shared" si="40"/>
        <v>40</v>
      </c>
      <c r="R54" s="278">
        <f t="shared" si="40"/>
        <v>1</v>
      </c>
      <c r="S54" s="278">
        <f t="shared" si="40"/>
        <v>2</v>
      </c>
      <c r="T54" s="278">
        <f t="shared" si="40"/>
        <v>4</v>
      </c>
      <c r="U54" s="278">
        <f t="shared" si="40"/>
        <v>2</v>
      </c>
      <c r="V54" s="278">
        <f t="shared" si="40"/>
        <v>5</v>
      </c>
      <c r="W54" s="278">
        <f t="shared" si="40"/>
        <v>0</v>
      </c>
      <c r="X54" s="278">
        <f t="shared" si="40"/>
        <v>25</v>
      </c>
      <c r="Y54" s="278">
        <f t="shared" si="40"/>
        <v>1</v>
      </c>
    </row>
    <row r="55" spans="1:30" s="66" customFormat="1" ht="29.25" hidden="1" customHeight="1" thickBot="1" x14ac:dyDescent="0.25">
      <c r="A55" s="126" t="str">
        <f>'5.Bev.össz_'!A57</f>
        <v>Önk.mindösszesen (módosított ei. 2025.09. havi)</v>
      </c>
      <c r="B55" s="127">
        <f t="shared" si="39"/>
        <v>0</v>
      </c>
      <c r="C55" s="127">
        <f t="shared" si="39"/>
        <v>0</v>
      </c>
      <c r="D55" s="127">
        <f t="shared" si="39"/>
        <v>0</v>
      </c>
      <c r="E55" s="127">
        <f t="shared" si="39"/>
        <v>0</v>
      </c>
      <c r="F55" s="127">
        <f t="shared" si="39"/>
        <v>0</v>
      </c>
      <c r="G55" s="127">
        <f t="shared" si="39"/>
        <v>0</v>
      </c>
      <c r="H55" s="127">
        <f t="shared" si="39"/>
        <v>-5597</v>
      </c>
      <c r="I55" s="127">
        <f t="shared" si="39"/>
        <v>0</v>
      </c>
      <c r="J55" s="127">
        <f t="shared" si="39"/>
        <v>0</v>
      </c>
      <c r="K55" s="127">
        <f t="shared" si="39"/>
        <v>0</v>
      </c>
      <c r="L55" s="127">
        <f t="shared" si="39"/>
        <v>0</v>
      </c>
      <c r="M55" s="744"/>
      <c r="N55" s="744"/>
      <c r="O55" s="744"/>
      <c r="P55" s="128">
        <f t="shared" si="39"/>
        <v>-5597</v>
      </c>
      <c r="Q55" s="278">
        <f t="shared" si="40"/>
        <v>43</v>
      </c>
      <c r="R55" s="278">
        <f t="shared" si="40"/>
        <v>1</v>
      </c>
      <c r="S55" s="278">
        <f t="shared" si="40"/>
        <v>2</v>
      </c>
      <c r="T55" s="278">
        <f t="shared" si="40"/>
        <v>4</v>
      </c>
      <c r="U55" s="278">
        <f t="shared" si="40"/>
        <v>3</v>
      </c>
      <c r="V55" s="278">
        <f t="shared" si="40"/>
        <v>5</v>
      </c>
      <c r="W55" s="278">
        <f t="shared" si="40"/>
        <v>0</v>
      </c>
      <c r="X55" s="278">
        <f t="shared" si="40"/>
        <v>27</v>
      </c>
      <c r="Y55" s="278">
        <f t="shared" si="40"/>
        <v>1</v>
      </c>
    </row>
    <row r="56" spans="1:30" s="66" customFormat="1" ht="24" hidden="1" customHeight="1" thickBot="1" x14ac:dyDescent="0.25">
      <c r="A56" s="126" t="str">
        <f>'5.Bev.össz_'!A58</f>
        <v>Önk.mindösszesen (módosított ei. 2025.12. havi)</v>
      </c>
      <c r="B56" s="127">
        <f t="shared" si="39"/>
        <v>0</v>
      </c>
      <c r="C56" s="127">
        <f t="shared" si="39"/>
        <v>0</v>
      </c>
      <c r="D56" s="127">
        <f t="shared" si="39"/>
        <v>0</v>
      </c>
      <c r="E56" s="127">
        <f t="shared" si="39"/>
        <v>0</v>
      </c>
      <c r="F56" s="127">
        <f t="shared" si="39"/>
        <v>0</v>
      </c>
      <c r="G56" s="127">
        <f t="shared" si="39"/>
        <v>0</v>
      </c>
      <c r="H56" s="127">
        <f t="shared" si="39"/>
        <v>-5597</v>
      </c>
      <c r="I56" s="127">
        <f t="shared" si="39"/>
        <v>0</v>
      </c>
      <c r="J56" s="127">
        <f t="shared" si="39"/>
        <v>0</v>
      </c>
      <c r="K56" s="127">
        <f t="shared" si="39"/>
        <v>0</v>
      </c>
      <c r="L56" s="127">
        <f t="shared" si="39"/>
        <v>0</v>
      </c>
      <c r="M56" s="744"/>
      <c r="N56" s="744"/>
      <c r="O56" s="744"/>
      <c r="P56" s="128">
        <f t="shared" si="39"/>
        <v>-5597</v>
      </c>
      <c r="Q56" s="278">
        <f t="shared" si="40"/>
        <v>42</v>
      </c>
      <c r="R56" s="278">
        <f t="shared" si="40"/>
        <v>1</v>
      </c>
      <c r="S56" s="278">
        <f t="shared" si="40"/>
        <v>2</v>
      </c>
      <c r="T56" s="278">
        <f t="shared" si="40"/>
        <v>4</v>
      </c>
      <c r="U56" s="278">
        <f t="shared" si="40"/>
        <v>3</v>
      </c>
      <c r="V56" s="278">
        <f t="shared" si="40"/>
        <v>6</v>
      </c>
      <c r="W56" s="278">
        <f t="shared" si="40"/>
        <v>0</v>
      </c>
      <c r="X56" s="278">
        <f t="shared" si="40"/>
        <v>25</v>
      </c>
      <c r="Y56" s="278">
        <f t="shared" si="40"/>
        <v>1</v>
      </c>
    </row>
    <row r="57" spans="1:30" s="66" customFormat="1" ht="24" hidden="1" customHeight="1" thickBot="1" x14ac:dyDescent="0.25">
      <c r="A57" s="126" t="str">
        <f>'5.Bev.össz_'!A59</f>
        <v>Önk.mindösszesen (módosított ei. 2025.12.31)</v>
      </c>
      <c r="B57" s="127">
        <f t="shared" si="39"/>
        <v>0</v>
      </c>
      <c r="C57" s="127">
        <f t="shared" si="39"/>
        <v>0</v>
      </c>
      <c r="D57" s="127">
        <f t="shared" si="39"/>
        <v>0</v>
      </c>
      <c r="E57" s="127">
        <f t="shared" si="39"/>
        <v>0</v>
      </c>
      <c r="F57" s="127">
        <f t="shared" si="39"/>
        <v>0</v>
      </c>
      <c r="G57" s="127">
        <f t="shared" si="39"/>
        <v>0</v>
      </c>
      <c r="H57" s="127">
        <f t="shared" si="39"/>
        <v>-5597</v>
      </c>
      <c r="I57" s="127">
        <f t="shared" si="39"/>
        <v>0</v>
      </c>
      <c r="J57" s="127">
        <f t="shared" si="39"/>
        <v>0</v>
      </c>
      <c r="K57" s="127">
        <f t="shared" si="39"/>
        <v>0</v>
      </c>
      <c r="L57" s="127">
        <f t="shared" si="39"/>
        <v>0</v>
      </c>
      <c r="M57" s="744"/>
      <c r="N57" s="744"/>
      <c r="O57" s="744"/>
      <c r="P57" s="128">
        <f t="shared" si="39"/>
        <v>-5597</v>
      </c>
      <c r="Q57" s="278">
        <f t="shared" si="40"/>
        <v>42</v>
      </c>
      <c r="R57" s="278">
        <f t="shared" si="40"/>
        <v>1</v>
      </c>
      <c r="S57" s="278">
        <f t="shared" si="40"/>
        <v>2</v>
      </c>
      <c r="T57" s="278">
        <f t="shared" si="40"/>
        <v>4</v>
      </c>
      <c r="U57" s="278">
        <f t="shared" si="40"/>
        <v>3</v>
      </c>
      <c r="V57" s="278">
        <f t="shared" si="40"/>
        <v>6</v>
      </c>
      <c r="W57" s="278">
        <f t="shared" si="40"/>
        <v>0</v>
      </c>
      <c r="X57" s="278">
        <f t="shared" si="40"/>
        <v>25</v>
      </c>
      <c r="Y57" s="278">
        <f t="shared" si="40"/>
        <v>1</v>
      </c>
    </row>
    <row r="58" spans="1:30" s="66" customFormat="1" ht="24" hidden="1" customHeight="1" thickBot="1" x14ac:dyDescent="0.25">
      <c r="A58" s="126">
        <f>'5.Bev.össz_'!A60</f>
        <v>0</v>
      </c>
      <c r="B58" s="127">
        <f t="shared" si="39"/>
        <v>0</v>
      </c>
      <c r="C58" s="127">
        <f t="shared" si="39"/>
        <v>0</v>
      </c>
      <c r="D58" s="127">
        <f t="shared" si="39"/>
        <v>0</v>
      </c>
      <c r="E58" s="127">
        <f t="shared" si="39"/>
        <v>0</v>
      </c>
      <c r="F58" s="127">
        <f t="shared" si="39"/>
        <v>0</v>
      </c>
      <c r="G58" s="127">
        <f t="shared" si="39"/>
        <v>0</v>
      </c>
      <c r="H58" s="127">
        <f t="shared" si="39"/>
        <v>0</v>
      </c>
      <c r="I58" s="127">
        <f t="shared" si="39"/>
        <v>0</v>
      </c>
      <c r="J58" s="127">
        <f t="shared" si="39"/>
        <v>0</v>
      </c>
      <c r="K58" s="127">
        <f t="shared" si="39"/>
        <v>0</v>
      </c>
      <c r="L58" s="127">
        <f t="shared" si="39"/>
        <v>0</v>
      </c>
      <c r="M58" s="744"/>
      <c r="N58" s="744"/>
      <c r="O58" s="744"/>
      <c r="P58" s="128">
        <f t="shared" si="39"/>
        <v>0</v>
      </c>
      <c r="Q58" s="278">
        <f t="shared" si="40"/>
        <v>0</v>
      </c>
      <c r="R58" s="278">
        <f t="shared" si="40"/>
        <v>0</v>
      </c>
      <c r="S58" s="278">
        <f t="shared" si="40"/>
        <v>0</v>
      </c>
      <c r="T58" s="278">
        <f t="shared" si="40"/>
        <v>0</v>
      </c>
      <c r="U58" s="278">
        <f t="shared" si="40"/>
        <v>0</v>
      </c>
      <c r="V58" s="278">
        <f t="shared" si="40"/>
        <v>0</v>
      </c>
      <c r="W58" s="278">
        <f t="shared" si="40"/>
        <v>0</v>
      </c>
      <c r="X58" s="278">
        <f t="shared" si="40"/>
        <v>0</v>
      </c>
      <c r="Y58" s="278">
        <f t="shared" si="40"/>
        <v>0</v>
      </c>
    </row>
    <row r="59" spans="1:30" s="66" customFormat="1" ht="15.75" hidden="1" customHeight="1" thickBot="1" x14ac:dyDescent="0.25">
      <c r="A59" s="126" t="str">
        <f>'5.Bev.össz_'!A61</f>
        <v>Önk.mindösszesen (Teljesítés 2025.12.31.)</v>
      </c>
      <c r="B59" s="127">
        <f t="shared" si="39"/>
        <v>0</v>
      </c>
      <c r="C59" s="127">
        <f t="shared" si="39"/>
        <v>0</v>
      </c>
      <c r="D59" s="127">
        <f t="shared" si="39"/>
        <v>0</v>
      </c>
      <c r="E59" s="127">
        <f t="shared" si="39"/>
        <v>0</v>
      </c>
      <c r="F59" s="127">
        <f t="shared" si="39"/>
        <v>0</v>
      </c>
      <c r="G59" s="127">
        <f t="shared" si="39"/>
        <v>0</v>
      </c>
      <c r="H59" s="127">
        <f t="shared" si="39"/>
        <v>246788</v>
      </c>
      <c r="I59" s="127">
        <f t="shared" si="39"/>
        <v>0</v>
      </c>
      <c r="J59" s="127">
        <f t="shared" si="39"/>
        <v>0</v>
      </c>
      <c r="K59" s="127">
        <f t="shared" si="39"/>
        <v>0</v>
      </c>
      <c r="L59" s="127">
        <f t="shared" si="39"/>
        <v>0</v>
      </c>
      <c r="M59" s="744"/>
      <c r="N59" s="744"/>
      <c r="O59" s="744"/>
      <c r="P59" s="128">
        <f t="shared" si="39"/>
        <v>246788</v>
      </c>
      <c r="Q59" s="278">
        <f t="shared" si="40"/>
        <v>0</v>
      </c>
      <c r="R59" s="278">
        <f t="shared" si="40"/>
        <v>0</v>
      </c>
      <c r="S59" s="278">
        <f t="shared" si="40"/>
        <v>0</v>
      </c>
      <c r="T59" s="278">
        <f t="shared" si="40"/>
        <v>0</v>
      </c>
      <c r="U59" s="278">
        <f t="shared" si="40"/>
        <v>0</v>
      </c>
      <c r="V59" s="278">
        <f t="shared" si="40"/>
        <v>0</v>
      </c>
      <c r="W59" s="278">
        <f t="shared" si="40"/>
        <v>0</v>
      </c>
      <c r="X59" s="278">
        <f t="shared" si="40"/>
        <v>0</v>
      </c>
      <c r="Y59" s="278">
        <f t="shared" si="40"/>
        <v>0</v>
      </c>
    </row>
    <row r="60" spans="1:30" x14ac:dyDescent="0.2">
      <c r="A60" s="68" t="s">
        <v>372</v>
      </c>
      <c r="P60" s="63">
        <f>SUM('7.finanszírozás.'!F102)</f>
        <v>-303813</v>
      </c>
      <c r="Z60" s="66"/>
      <c r="AA60" s="366">
        <f>'1.Bev-kiad.'!C91</f>
        <v>1888235</v>
      </c>
      <c r="AB60" s="66"/>
      <c r="AC60" s="66"/>
      <c r="AD60" s="66"/>
    </row>
    <row r="61" spans="1:30" x14ac:dyDescent="0.2">
      <c r="A61" s="68" t="s">
        <v>376</v>
      </c>
      <c r="P61" s="367">
        <f>SUM(P54+P60)</f>
        <v>3006679</v>
      </c>
      <c r="Z61" s="66"/>
      <c r="AA61" s="66"/>
      <c r="AB61" s="66"/>
      <c r="AC61" s="66"/>
      <c r="AD61" s="66"/>
    </row>
    <row r="62" spans="1:30" x14ac:dyDescent="0.2">
      <c r="Z62" s="66"/>
      <c r="AA62" s="66"/>
      <c r="AB62" s="66"/>
      <c r="AC62" s="66"/>
      <c r="AD62" s="66"/>
    </row>
    <row r="63" spans="1:30" hidden="1" x14ac:dyDescent="0.2">
      <c r="P63" s="63">
        <f>P61-'5.Bev.össz_'!M63</f>
        <v>-73139</v>
      </c>
      <c r="Z63" s="66"/>
      <c r="AA63" s="66"/>
      <c r="AB63" s="66"/>
      <c r="AC63" s="66"/>
      <c r="AD63" s="66"/>
    </row>
    <row r="64" spans="1:30" x14ac:dyDescent="0.2">
      <c r="Z64" s="66"/>
      <c r="AA64" s="66"/>
      <c r="AB64" s="66"/>
      <c r="AC64" s="66"/>
      <c r="AD64" s="66"/>
    </row>
    <row r="65" spans="4:30" x14ac:dyDescent="0.2">
      <c r="Z65" s="66"/>
      <c r="AA65" s="66"/>
      <c r="AB65" s="66"/>
      <c r="AC65" s="66"/>
      <c r="AD65" s="66"/>
    </row>
    <row r="66" spans="4:30" x14ac:dyDescent="0.2">
      <c r="Z66" s="66"/>
      <c r="AA66" s="66"/>
      <c r="AB66" s="66"/>
      <c r="AC66" s="66"/>
      <c r="AD66" s="66"/>
    </row>
    <row r="67" spans="4:30" x14ac:dyDescent="0.2">
      <c r="Z67" s="66"/>
      <c r="AA67" s="66"/>
      <c r="AB67" s="66"/>
      <c r="AC67" s="66"/>
      <c r="AD67" s="66"/>
    </row>
    <row r="68" spans="4:30" x14ac:dyDescent="0.2">
      <c r="Z68" s="66"/>
      <c r="AA68" s="66"/>
      <c r="AB68" s="66"/>
      <c r="AC68" s="66"/>
      <c r="AD68" s="66"/>
    </row>
    <row r="69" spans="4:30" x14ac:dyDescent="0.2">
      <c r="Z69" s="66"/>
      <c r="AA69" s="66"/>
      <c r="AB69" s="66"/>
      <c r="AC69" s="66"/>
      <c r="AD69" s="66"/>
    </row>
    <row r="70" spans="4:30" x14ac:dyDescent="0.2">
      <c r="Z70" s="66"/>
      <c r="AA70" s="66"/>
      <c r="AB70" s="66"/>
      <c r="AC70" s="66"/>
      <c r="AD70" s="66"/>
    </row>
    <row r="71" spans="4:30" x14ac:dyDescent="0.2">
      <c r="D71" s="63" t="s">
        <v>498</v>
      </c>
      <c r="Z71" s="66"/>
      <c r="AA71" s="66"/>
      <c r="AB71" s="66"/>
      <c r="AC71" s="66"/>
      <c r="AD71" s="66"/>
    </row>
  </sheetData>
  <mergeCells count="27">
    <mergeCell ref="A4:P4"/>
    <mergeCell ref="A6:A8"/>
    <mergeCell ref="B6:G6"/>
    <mergeCell ref="H6:H8"/>
    <mergeCell ref="P6:P8"/>
    <mergeCell ref="I7:I8"/>
    <mergeCell ref="J7:J8"/>
    <mergeCell ref="K7:K8"/>
    <mergeCell ref="G7:G8"/>
    <mergeCell ref="Q6:Q8"/>
    <mergeCell ref="R6:R8"/>
    <mergeCell ref="S6:S8"/>
    <mergeCell ref="T6:T8"/>
    <mergeCell ref="B7:B8"/>
    <mergeCell ref="C7:C8"/>
    <mergeCell ref="D7:D8"/>
    <mergeCell ref="E7:E8"/>
    <mergeCell ref="F7:F8"/>
    <mergeCell ref="N6:O7"/>
    <mergeCell ref="M6:M8"/>
    <mergeCell ref="I6:K6"/>
    <mergeCell ref="L6:L8"/>
    <mergeCell ref="W6:W8"/>
    <mergeCell ref="X6:X8"/>
    <mergeCell ref="Y6:Y8"/>
    <mergeCell ref="U6:U8"/>
    <mergeCell ref="V6:V8"/>
  </mergeCells>
  <printOptions horizontalCentered="1"/>
  <pageMargins left="0.15748031496062992" right="0.15748031496062992" top="0.15748031496062992" bottom="0.15748031496062992" header="0.15748031496062992" footer="0.11811023622047245"/>
  <pageSetup paperSize="9" scale="6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71"/>
  <sheetViews>
    <sheetView zoomScale="90" zoomScaleNormal="90" zoomScaleSheetLayoutView="100" workbookViewId="0">
      <selection activeCell="O6" sqref="O6:O8"/>
    </sheetView>
  </sheetViews>
  <sheetFormatPr defaultRowHeight="12.75" x14ac:dyDescent="0.2"/>
  <cols>
    <col min="1" max="1" width="47.140625" style="68" customWidth="1"/>
    <col min="2" max="2" width="10" style="63" bestFit="1" customWidth="1"/>
    <col min="3" max="3" width="9.42578125" style="63" bestFit="1" customWidth="1"/>
    <col min="4" max="4" width="10" style="63" bestFit="1" customWidth="1"/>
    <col min="5" max="6" width="9.42578125" style="63" bestFit="1" customWidth="1"/>
    <col min="7" max="7" width="11.28515625" style="63" customWidth="1"/>
    <col min="8" max="8" width="12" style="63" customWidth="1"/>
    <col min="9" max="9" width="10.28515625" style="63" customWidth="1"/>
    <col min="10" max="10" width="11.42578125" style="63" customWidth="1"/>
    <col min="11" max="11" width="10" style="63" customWidth="1"/>
    <col min="12" max="12" width="11.42578125" style="63" customWidth="1"/>
    <col min="13" max="13" width="9.42578125" style="63" bestFit="1" customWidth="1"/>
    <col min="14" max="14" width="11.5703125" style="63" customWidth="1"/>
    <col min="15" max="15" width="12.140625" style="63" customWidth="1"/>
    <col min="16" max="16" width="4.7109375" style="62" customWidth="1"/>
    <col min="17" max="17" width="4" style="62" customWidth="1"/>
    <col min="18" max="18" width="6.85546875" style="62" customWidth="1"/>
    <col min="19" max="20" width="4.42578125" style="62" customWidth="1"/>
    <col min="21" max="21" width="4.140625" style="62" customWidth="1"/>
    <col min="22" max="24" width="4" style="62" customWidth="1"/>
    <col min="25" max="25" width="5.7109375" style="62" customWidth="1"/>
    <col min="26" max="26" width="0" style="62" hidden="1" customWidth="1"/>
    <col min="27" max="16384" width="9.140625" style="62"/>
  </cols>
  <sheetData>
    <row r="1" spans="1:29" ht="15" customHeight="1" x14ac:dyDescent="0.2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6" t="s">
        <v>242</v>
      </c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9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362" t="str">
        <f>'1.Bev-kiad.'!F2</f>
        <v>a 12/2026.(X.2.) önkormányzati rendelethez</v>
      </c>
      <c r="P2" s="61"/>
      <c r="Q2" s="61"/>
      <c r="R2" s="61"/>
      <c r="S2" s="61"/>
      <c r="T2" s="61"/>
      <c r="U2" s="61"/>
      <c r="V2" s="61"/>
      <c r="W2" s="61"/>
      <c r="X2" s="61"/>
      <c r="Y2" s="61"/>
    </row>
    <row r="3" spans="1:29" ht="15" customHeight="1" x14ac:dyDescent="0.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362" t="s">
        <v>1140</v>
      </c>
      <c r="P3" s="61"/>
      <c r="Q3" s="61"/>
      <c r="R3" s="61"/>
      <c r="S3" s="61"/>
      <c r="T3" s="61"/>
      <c r="U3" s="61"/>
      <c r="V3" s="63"/>
      <c r="W3" s="63"/>
      <c r="X3" s="63"/>
      <c r="Y3" s="63"/>
    </row>
    <row r="4" spans="1:29" ht="38.25" customHeight="1" x14ac:dyDescent="0.2">
      <c r="A4" s="806" t="s">
        <v>1027</v>
      </c>
      <c r="B4" s="807"/>
      <c r="C4" s="807"/>
      <c r="D4" s="807"/>
      <c r="E4" s="807"/>
      <c r="F4" s="807"/>
      <c r="G4" s="807"/>
      <c r="H4" s="807"/>
      <c r="I4" s="807"/>
      <c r="J4" s="807"/>
      <c r="K4" s="807"/>
      <c r="L4" s="807"/>
      <c r="M4" s="807"/>
      <c r="N4" s="807"/>
      <c r="O4" s="807"/>
      <c r="P4" s="61"/>
      <c r="Q4" s="61"/>
      <c r="R4" s="61"/>
      <c r="S4" s="61"/>
      <c r="T4" s="61"/>
      <c r="U4" s="61"/>
    </row>
    <row r="5" spans="1:29" ht="13.5" customHeight="1" thickBot="1" x14ac:dyDescent="0.25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77" t="s">
        <v>418</v>
      </c>
    </row>
    <row r="6" spans="1:29" s="66" customFormat="1" ht="14.25" customHeight="1" x14ac:dyDescent="0.2">
      <c r="A6" s="808"/>
      <c r="B6" s="784" t="s">
        <v>31</v>
      </c>
      <c r="C6" s="785"/>
      <c r="D6" s="785"/>
      <c r="E6" s="785"/>
      <c r="F6" s="785"/>
      <c r="G6" s="785"/>
      <c r="H6" s="785"/>
      <c r="I6" s="786"/>
      <c r="J6" s="811" t="s">
        <v>32</v>
      </c>
      <c r="K6" s="811" t="s">
        <v>33</v>
      </c>
      <c r="L6" s="811"/>
      <c r="M6" s="811"/>
      <c r="N6" s="811"/>
      <c r="O6" s="814" t="s">
        <v>7</v>
      </c>
      <c r="P6" s="798" t="s">
        <v>911</v>
      </c>
      <c r="Q6" s="798" t="s">
        <v>913</v>
      </c>
      <c r="R6" s="795" t="s">
        <v>914</v>
      </c>
      <c r="S6" s="795" t="s">
        <v>923</v>
      </c>
      <c r="T6" s="798" t="s">
        <v>912</v>
      </c>
      <c r="U6" s="798" t="s">
        <v>922</v>
      </c>
      <c r="V6" s="795" t="s">
        <v>915</v>
      </c>
      <c r="W6" s="795" t="s">
        <v>916</v>
      </c>
      <c r="X6" s="795" t="s">
        <v>917</v>
      </c>
    </row>
    <row r="7" spans="1:29" s="66" customFormat="1" ht="63.75" customHeight="1" x14ac:dyDescent="0.2">
      <c r="A7" s="809"/>
      <c r="B7" s="790" t="s">
        <v>34</v>
      </c>
      <c r="C7" s="790" t="s">
        <v>93</v>
      </c>
      <c r="D7" s="790" t="s">
        <v>35</v>
      </c>
      <c r="E7" s="790" t="s">
        <v>392</v>
      </c>
      <c r="F7" s="790" t="s">
        <v>36</v>
      </c>
      <c r="G7" s="817" t="s">
        <v>53</v>
      </c>
      <c r="H7" s="818"/>
      <c r="I7" s="790" t="s">
        <v>330</v>
      </c>
      <c r="J7" s="812"/>
      <c r="K7" s="790" t="s">
        <v>37</v>
      </c>
      <c r="L7" s="790" t="s">
        <v>38</v>
      </c>
      <c r="M7" s="790" t="s">
        <v>39</v>
      </c>
      <c r="N7" s="812" t="s">
        <v>11</v>
      </c>
      <c r="O7" s="815"/>
      <c r="P7" s="799"/>
      <c r="Q7" s="799"/>
      <c r="R7" s="796"/>
      <c r="S7" s="796"/>
      <c r="T7" s="799"/>
      <c r="U7" s="799"/>
      <c r="V7" s="796"/>
      <c r="W7" s="796"/>
      <c r="X7" s="796"/>
    </row>
    <row r="8" spans="1:29" ht="35.25" customHeight="1" thickBot="1" x14ac:dyDescent="0.25">
      <c r="A8" s="810"/>
      <c r="B8" s="801"/>
      <c r="C8" s="801"/>
      <c r="D8" s="801"/>
      <c r="E8" s="801"/>
      <c r="F8" s="801"/>
      <c r="G8" s="210" t="s">
        <v>381</v>
      </c>
      <c r="H8" s="210" t="s">
        <v>382</v>
      </c>
      <c r="I8" s="801"/>
      <c r="J8" s="813"/>
      <c r="K8" s="801"/>
      <c r="L8" s="801"/>
      <c r="M8" s="801"/>
      <c r="N8" s="813"/>
      <c r="O8" s="816"/>
      <c r="P8" s="800"/>
      <c r="Q8" s="800"/>
      <c r="R8" s="797"/>
      <c r="S8" s="797"/>
      <c r="T8" s="800"/>
      <c r="U8" s="800"/>
      <c r="V8" s="797"/>
      <c r="W8" s="797"/>
      <c r="X8" s="797"/>
      <c r="Y8" s="66"/>
      <c r="Z8" s="66"/>
      <c r="AA8" s="66"/>
      <c r="AB8" s="66"/>
      <c r="AC8" s="66"/>
    </row>
    <row r="9" spans="1:29" s="602" customFormat="1" ht="17.25" customHeight="1" thickBot="1" x14ac:dyDescent="0.25">
      <c r="A9" s="613" t="s">
        <v>1017</v>
      </c>
      <c r="B9" s="614">
        <f>B17+B25</f>
        <v>77514</v>
      </c>
      <c r="C9" s="614">
        <f t="shared" ref="C9:N9" si="0">C17+C25</f>
        <v>8688</v>
      </c>
      <c r="D9" s="614">
        <f t="shared" si="0"/>
        <v>324888</v>
      </c>
      <c r="E9" s="614">
        <f t="shared" si="0"/>
        <v>6186</v>
      </c>
      <c r="F9" s="614">
        <f t="shared" si="0"/>
        <v>707464</v>
      </c>
      <c r="G9" s="614">
        <f t="shared" si="0"/>
        <v>240067</v>
      </c>
      <c r="H9" s="614">
        <f t="shared" si="0"/>
        <v>115874</v>
      </c>
      <c r="I9" s="614">
        <f t="shared" si="0"/>
        <v>0</v>
      </c>
      <c r="J9" s="614">
        <f t="shared" si="0"/>
        <v>1480681</v>
      </c>
      <c r="K9" s="614">
        <f t="shared" si="0"/>
        <v>188134</v>
      </c>
      <c r="L9" s="614">
        <f t="shared" si="0"/>
        <v>172659</v>
      </c>
      <c r="M9" s="614">
        <f t="shared" si="0"/>
        <v>0</v>
      </c>
      <c r="N9" s="614">
        <f t="shared" si="0"/>
        <v>360793</v>
      </c>
      <c r="O9" s="615">
        <f>O17+O25</f>
        <v>1841474</v>
      </c>
      <c r="P9" s="738">
        <f t="shared" ref="P9:P14" si="1">P17</f>
        <v>12</v>
      </c>
      <c r="Q9" s="738">
        <f t="shared" ref="Q9:W10" si="2">Q17</f>
        <v>1</v>
      </c>
      <c r="R9" s="738">
        <f t="shared" si="2"/>
        <v>2</v>
      </c>
      <c r="S9" s="738">
        <f t="shared" si="2"/>
        <v>4</v>
      </c>
      <c r="T9" s="738">
        <f t="shared" si="2"/>
        <v>3</v>
      </c>
      <c r="U9" s="738">
        <f t="shared" si="2"/>
        <v>2</v>
      </c>
      <c r="V9" s="738">
        <f t="shared" si="2"/>
        <v>0</v>
      </c>
      <c r="W9" s="738">
        <f t="shared" si="2"/>
        <v>0</v>
      </c>
      <c r="X9" s="738">
        <f t="shared" ref="X9:X10" si="3">X17</f>
        <v>0</v>
      </c>
      <c r="Y9" s="66"/>
      <c r="Z9" s="66"/>
      <c r="AA9" s="66"/>
      <c r="AB9" s="66"/>
      <c r="AC9" s="66"/>
    </row>
    <row r="10" spans="1:29" ht="21.75" customHeight="1" thickBot="1" x14ac:dyDescent="0.25">
      <c r="A10" s="274" t="str">
        <f>'5.Bev.össz_'!A11</f>
        <v>Önkormányzat (eredeti előirányzat 2026. év)</v>
      </c>
      <c r="B10" s="120">
        <f t="shared" ref="B10:I10" si="4">B18+B26</f>
        <v>74011</v>
      </c>
      <c r="C10" s="120">
        <f t="shared" si="4"/>
        <v>8811</v>
      </c>
      <c r="D10" s="120">
        <f t="shared" si="4"/>
        <v>591960</v>
      </c>
      <c r="E10" s="120">
        <f t="shared" si="4"/>
        <v>20000</v>
      </c>
      <c r="F10" s="120">
        <f t="shared" si="4"/>
        <v>741989</v>
      </c>
      <c r="G10" s="120">
        <f t="shared" si="4"/>
        <v>303813</v>
      </c>
      <c r="H10" s="120">
        <f t="shared" si="4"/>
        <v>121786</v>
      </c>
      <c r="I10" s="120">
        <f t="shared" si="4"/>
        <v>76000</v>
      </c>
      <c r="J10" s="120">
        <f>B10+C10+D10+E10+F10+G10+H10+I10</f>
        <v>1938370</v>
      </c>
      <c r="K10" s="120">
        <f t="shared" ref="K10:M16" si="5">K18+K26</f>
        <v>743862</v>
      </c>
      <c r="L10" s="120">
        <f t="shared" si="5"/>
        <v>329676</v>
      </c>
      <c r="M10" s="120">
        <f t="shared" si="5"/>
        <v>0</v>
      </c>
      <c r="N10" s="120">
        <f>K10+L10+M10</f>
        <v>1073538</v>
      </c>
      <c r="O10" s="121">
        <f>J10+N10</f>
        <v>3011908</v>
      </c>
      <c r="P10" s="733">
        <f t="shared" si="1"/>
        <v>12</v>
      </c>
      <c r="Q10" s="733">
        <f t="shared" si="2"/>
        <v>1</v>
      </c>
      <c r="R10" s="733">
        <f t="shared" si="2"/>
        <v>2</v>
      </c>
      <c r="S10" s="733">
        <f t="shared" si="2"/>
        <v>4</v>
      </c>
      <c r="T10" s="733">
        <f t="shared" si="2"/>
        <v>3</v>
      </c>
      <c r="U10" s="733">
        <f t="shared" si="2"/>
        <v>2</v>
      </c>
      <c r="V10" s="733">
        <f t="shared" si="2"/>
        <v>0</v>
      </c>
      <c r="W10" s="733">
        <f t="shared" si="2"/>
        <v>0</v>
      </c>
      <c r="X10" s="733">
        <f t="shared" si="3"/>
        <v>0</v>
      </c>
      <c r="Y10" s="66"/>
      <c r="Z10" s="66"/>
      <c r="AA10" s="66"/>
      <c r="AB10" s="66"/>
      <c r="AC10" s="66"/>
    </row>
    <row r="11" spans="1:29" ht="30" hidden="1" customHeight="1" thickBot="1" x14ac:dyDescent="0.25">
      <c r="A11" s="274" t="str">
        <f>'5.Bev.össz_'!A12</f>
        <v>Önkormányzat (módosított előirányzat 2025.06.havi)</v>
      </c>
      <c r="B11" s="120">
        <f t="shared" ref="B11:I12" si="6">B19+B27</f>
        <v>74385</v>
      </c>
      <c r="C11" s="120">
        <f t="shared" si="6"/>
        <v>8881</v>
      </c>
      <c r="D11" s="120">
        <f t="shared" si="6"/>
        <v>444667</v>
      </c>
      <c r="E11" s="120">
        <f t="shared" si="6"/>
        <v>20000</v>
      </c>
      <c r="F11" s="120">
        <f t="shared" si="6"/>
        <v>754719</v>
      </c>
      <c r="G11" s="120">
        <f t="shared" si="6"/>
        <v>303813</v>
      </c>
      <c r="H11" s="120">
        <f t="shared" si="6"/>
        <v>129241</v>
      </c>
      <c r="I11" s="120">
        <f t="shared" si="6"/>
        <v>161402</v>
      </c>
      <c r="J11" s="120">
        <f t="shared" ref="J11:J16" si="7">B11+C11+D11+E11+F11+G11+H11+I11</f>
        <v>1897108</v>
      </c>
      <c r="K11" s="120">
        <f t="shared" si="5"/>
        <v>744640</v>
      </c>
      <c r="L11" s="120">
        <f t="shared" si="5"/>
        <v>276343</v>
      </c>
      <c r="M11" s="120">
        <f t="shared" si="5"/>
        <v>22225</v>
      </c>
      <c r="N11" s="120">
        <f>K11+L11+M11</f>
        <v>1043208</v>
      </c>
      <c r="O11" s="121">
        <f>J11+N11</f>
        <v>2940316</v>
      </c>
      <c r="P11" s="733">
        <f t="shared" si="1"/>
        <v>12</v>
      </c>
      <c r="Q11" s="733">
        <f t="shared" ref="Q11:W11" si="8">Q19</f>
        <v>1</v>
      </c>
      <c r="R11" s="733">
        <f t="shared" si="8"/>
        <v>2</v>
      </c>
      <c r="S11" s="733">
        <f t="shared" si="8"/>
        <v>4</v>
      </c>
      <c r="T11" s="733">
        <f t="shared" si="8"/>
        <v>3</v>
      </c>
      <c r="U11" s="733">
        <f t="shared" si="8"/>
        <v>2</v>
      </c>
      <c r="V11" s="733">
        <f t="shared" si="8"/>
        <v>0</v>
      </c>
      <c r="W11" s="733">
        <f t="shared" si="8"/>
        <v>0</v>
      </c>
      <c r="X11" s="733">
        <f t="shared" ref="X11" si="9">X19</f>
        <v>0</v>
      </c>
      <c r="Y11" s="66"/>
      <c r="Z11" s="66"/>
      <c r="AA11" s="66"/>
      <c r="AB11" s="66"/>
      <c r="AC11" s="66"/>
    </row>
    <row r="12" spans="1:29" ht="27.75" hidden="1" customHeight="1" thickBot="1" x14ac:dyDescent="0.25">
      <c r="A12" s="274" t="str">
        <f>'5.Bev.össz_'!A13</f>
        <v>Önkormányzat (módosított előirányzat 2025.09.havi)</v>
      </c>
      <c r="B12" s="120">
        <f t="shared" si="6"/>
        <v>0</v>
      </c>
      <c r="C12" s="120">
        <f t="shared" si="6"/>
        <v>0</v>
      </c>
      <c r="D12" s="120">
        <f t="shared" si="6"/>
        <v>0</v>
      </c>
      <c r="E12" s="120">
        <f t="shared" si="6"/>
        <v>0</v>
      </c>
      <c r="F12" s="120">
        <f t="shared" si="6"/>
        <v>0</v>
      </c>
      <c r="G12" s="120">
        <f t="shared" si="6"/>
        <v>-5597</v>
      </c>
      <c r="H12" s="120">
        <f t="shared" si="6"/>
        <v>0</v>
      </c>
      <c r="I12" s="120">
        <f t="shared" si="6"/>
        <v>0</v>
      </c>
      <c r="J12" s="120">
        <f t="shared" ref="J12" si="10">B12+C12+D12+E12+F12+G12+H12+I12</f>
        <v>-5597</v>
      </c>
      <c r="K12" s="120">
        <f t="shared" si="5"/>
        <v>0</v>
      </c>
      <c r="L12" s="120">
        <f t="shared" si="5"/>
        <v>0</v>
      </c>
      <c r="M12" s="120">
        <f t="shared" si="5"/>
        <v>0</v>
      </c>
      <c r="N12" s="120">
        <f>K12+L12+M12</f>
        <v>0</v>
      </c>
      <c r="O12" s="121">
        <f>J12+N12</f>
        <v>-5597</v>
      </c>
      <c r="P12" s="733">
        <f t="shared" si="1"/>
        <v>12</v>
      </c>
      <c r="Q12" s="733">
        <f t="shared" ref="Q12:W14" si="11">Q20</f>
        <v>1</v>
      </c>
      <c r="R12" s="733">
        <f t="shared" si="11"/>
        <v>2</v>
      </c>
      <c r="S12" s="733">
        <f t="shared" si="11"/>
        <v>4</v>
      </c>
      <c r="T12" s="733">
        <f t="shared" si="11"/>
        <v>3</v>
      </c>
      <c r="U12" s="733">
        <f t="shared" si="11"/>
        <v>2</v>
      </c>
      <c r="V12" s="733">
        <f t="shared" si="11"/>
        <v>0</v>
      </c>
      <c r="W12" s="733">
        <f t="shared" si="11"/>
        <v>0</v>
      </c>
      <c r="X12" s="733">
        <f t="shared" ref="X12:X14" si="12">X20</f>
        <v>0</v>
      </c>
      <c r="Y12" s="66"/>
      <c r="Z12" s="66"/>
      <c r="AA12" s="66"/>
      <c r="AB12" s="66"/>
      <c r="AC12" s="66"/>
    </row>
    <row r="13" spans="1:29" ht="21.75" hidden="1" customHeight="1" thickBot="1" x14ac:dyDescent="0.25">
      <c r="A13" s="274" t="str">
        <f>'5.Bev.össz_'!A14</f>
        <v>Önkormányzat (módosított előirányzat 2025.12.havi)</v>
      </c>
      <c r="B13" s="120">
        <f t="shared" ref="B13:I14" si="13">B21+B29</f>
        <v>0</v>
      </c>
      <c r="C13" s="120">
        <f t="shared" si="13"/>
        <v>0</v>
      </c>
      <c r="D13" s="120">
        <f t="shared" si="13"/>
        <v>0</v>
      </c>
      <c r="E13" s="120">
        <f t="shared" si="13"/>
        <v>0</v>
      </c>
      <c r="F13" s="120">
        <f t="shared" si="13"/>
        <v>0</v>
      </c>
      <c r="G13" s="120">
        <f t="shared" si="13"/>
        <v>-5597</v>
      </c>
      <c r="H13" s="120">
        <f t="shared" si="13"/>
        <v>0</v>
      </c>
      <c r="I13" s="120">
        <f t="shared" si="13"/>
        <v>0</v>
      </c>
      <c r="J13" s="120">
        <f t="shared" si="7"/>
        <v>-5597</v>
      </c>
      <c r="K13" s="120">
        <f t="shared" si="5"/>
        <v>0</v>
      </c>
      <c r="L13" s="120">
        <f t="shared" si="5"/>
        <v>0</v>
      </c>
      <c r="M13" s="120">
        <f t="shared" si="5"/>
        <v>0</v>
      </c>
      <c r="N13" s="120">
        <f t="shared" ref="N13:N16" si="14">K13+L13+M13</f>
        <v>0</v>
      </c>
      <c r="O13" s="121">
        <f t="shared" ref="O13:O16" si="15">J13+N13</f>
        <v>-5597</v>
      </c>
      <c r="P13" s="733">
        <f t="shared" si="1"/>
        <v>12</v>
      </c>
      <c r="Q13" s="733">
        <f t="shared" si="11"/>
        <v>1</v>
      </c>
      <c r="R13" s="733">
        <f t="shared" si="11"/>
        <v>2</v>
      </c>
      <c r="S13" s="733">
        <f t="shared" si="11"/>
        <v>4</v>
      </c>
      <c r="T13" s="733">
        <f t="shared" si="11"/>
        <v>3</v>
      </c>
      <c r="U13" s="733">
        <f t="shared" si="11"/>
        <v>2</v>
      </c>
      <c r="V13" s="733">
        <f t="shared" si="11"/>
        <v>0</v>
      </c>
      <c r="W13" s="733">
        <f t="shared" si="11"/>
        <v>0</v>
      </c>
      <c r="X13" s="733">
        <f t="shared" si="12"/>
        <v>0</v>
      </c>
      <c r="Y13" s="66"/>
      <c r="Z13" s="66"/>
      <c r="AA13" s="66"/>
      <c r="AB13" s="66"/>
      <c r="AC13" s="66"/>
    </row>
    <row r="14" spans="1:29" ht="21.75" hidden="1" customHeight="1" thickBot="1" x14ac:dyDescent="0.25">
      <c r="A14" s="274" t="str">
        <f>'5.Bev.össz_'!A15</f>
        <v>Önkormányzat (módosított előirányzat 2025.12.31)</v>
      </c>
      <c r="B14" s="120">
        <f t="shared" si="13"/>
        <v>0</v>
      </c>
      <c r="C14" s="120">
        <f t="shared" si="13"/>
        <v>0</v>
      </c>
      <c r="D14" s="120">
        <f t="shared" si="13"/>
        <v>0</v>
      </c>
      <c r="E14" s="120">
        <f t="shared" si="13"/>
        <v>0</v>
      </c>
      <c r="F14" s="120">
        <f t="shared" si="13"/>
        <v>0</v>
      </c>
      <c r="G14" s="120">
        <f t="shared" si="13"/>
        <v>-5597</v>
      </c>
      <c r="H14" s="120">
        <f t="shared" si="13"/>
        <v>0</v>
      </c>
      <c r="I14" s="120">
        <f t="shared" si="13"/>
        <v>0</v>
      </c>
      <c r="J14" s="120">
        <f t="shared" ref="J14" si="16">B14+C14+D14+E14+F14+G14+H14+I14</f>
        <v>-5597</v>
      </c>
      <c r="K14" s="120">
        <f t="shared" si="5"/>
        <v>0</v>
      </c>
      <c r="L14" s="120">
        <f t="shared" si="5"/>
        <v>0</v>
      </c>
      <c r="M14" s="120">
        <f t="shared" si="5"/>
        <v>0</v>
      </c>
      <c r="N14" s="120">
        <f t="shared" ref="N14" si="17">K14+L14+M14</f>
        <v>0</v>
      </c>
      <c r="O14" s="121">
        <f t="shared" ref="O14" si="18">J14+N14</f>
        <v>-5597</v>
      </c>
      <c r="P14" s="733">
        <f t="shared" si="1"/>
        <v>12</v>
      </c>
      <c r="Q14" s="733">
        <f t="shared" si="11"/>
        <v>1</v>
      </c>
      <c r="R14" s="733">
        <f t="shared" si="11"/>
        <v>2</v>
      </c>
      <c r="S14" s="733">
        <f t="shared" si="11"/>
        <v>4</v>
      </c>
      <c r="T14" s="733">
        <f t="shared" si="11"/>
        <v>3</v>
      </c>
      <c r="U14" s="733">
        <f t="shared" si="11"/>
        <v>2</v>
      </c>
      <c r="V14" s="733">
        <f t="shared" si="11"/>
        <v>0</v>
      </c>
      <c r="W14" s="733">
        <f t="shared" si="11"/>
        <v>0</v>
      </c>
      <c r="X14" s="733">
        <f t="shared" si="12"/>
        <v>0</v>
      </c>
      <c r="Y14" s="66"/>
      <c r="Z14" s="66"/>
      <c r="AA14" s="66"/>
      <c r="AB14" s="66"/>
      <c r="AC14" s="66"/>
    </row>
    <row r="15" spans="1:29" ht="21.75" hidden="1" customHeight="1" thickBot="1" x14ac:dyDescent="0.25">
      <c r="A15" s="274">
        <f>'5.Bev.össz_'!A16</f>
        <v>0</v>
      </c>
      <c r="B15" s="120">
        <f t="shared" ref="B15:I15" si="19">B23+B31</f>
        <v>0</v>
      </c>
      <c r="C15" s="120">
        <f t="shared" si="19"/>
        <v>0</v>
      </c>
      <c r="D15" s="120">
        <f t="shared" si="19"/>
        <v>0</v>
      </c>
      <c r="E15" s="120">
        <f t="shared" si="19"/>
        <v>0</v>
      </c>
      <c r="F15" s="120">
        <f t="shared" si="19"/>
        <v>0</v>
      </c>
      <c r="G15" s="120">
        <f t="shared" si="19"/>
        <v>0</v>
      </c>
      <c r="H15" s="120">
        <f t="shared" si="19"/>
        <v>0</v>
      </c>
      <c r="I15" s="120">
        <f t="shared" si="19"/>
        <v>0</v>
      </c>
      <c r="J15" s="120">
        <f t="shared" si="7"/>
        <v>0</v>
      </c>
      <c r="K15" s="120">
        <f t="shared" si="5"/>
        <v>0</v>
      </c>
      <c r="L15" s="120">
        <f t="shared" si="5"/>
        <v>0</v>
      </c>
      <c r="M15" s="120">
        <f t="shared" si="5"/>
        <v>0</v>
      </c>
      <c r="N15" s="120">
        <f t="shared" si="14"/>
        <v>0</v>
      </c>
      <c r="O15" s="121">
        <f t="shared" si="15"/>
        <v>0</v>
      </c>
      <c r="P15" s="733">
        <f t="shared" ref="P15:P16" si="20">P23</f>
        <v>0</v>
      </c>
      <c r="Q15" s="733"/>
      <c r="R15" s="733"/>
      <c r="S15" s="733"/>
      <c r="T15" s="733"/>
      <c r="U15" s="733"/>
      <c r="V15" s="733"/>
      <c r="W15" s="733"/>
      <c r="X15" s="733"/>
      <c r="Y15" s="66"/>
      <c r="Z15" s="66"/>
      <c r="AA15" s="66"/>
      <c r="AB15" s="66"/>
      <c r="AC15" s="66"/>
    </row>
    <row r="16" spans="1:29" ht="15" hidden="1" thickBot="1" x14ac:dyDescent="0.25">
      <c r="A16" s="274" t="str">
        <f>'5.Bev.össz_'!A17</f>
        <v>Önkormányzat: Teljesítés 2025.12.31.</v>
      </c>
      <c r="B16" s="120">
        <f t="shared" ref="B16:I16" si="21">B24+B32</f>
        <v>0</v>
      </c>
      <c r="C16" s="120">
        <f t="shared" si="21"/>
        <v>0</v>
      </c>
      <c r="D16" s="120">
        <f t="shared" si="21"/>
        <v>0</v>
      </c>
      <c r="E16" s="120">
        <f t="shared" si="21"/>
        <v>0</v>
      </c>
      <c r="F16" s="120">
        <f t="shared" si="21"/>
        <v>0</v>
      </c>
      <c r="G16" s="120">
        <f t="shared" si="21"/>
        <v>246788</v>
      </c>
      <c r="H16" s="120">
        <f t="shared" si="21"/>
        <v>0</v>
      </c>
      <c r="I16" s="120">
        <f t="shared" si="21"/>
        <v>0</v>
      </c>
      <c r="J16" s="120">
        <f t="shared" si="7"/>
        <v>246788</v>
      </c>
      <c r="K16" s="120">
        <f t="shared" si="5"/>
        <v>0</v>
      </c>
      <c r="L16" s="120">
        <f t="shared" si="5"/>
        <v>0</v>
      </c>
      <c r="M16" s="120">
        <f t="shared" si="5"/>
        <v>0</v>
      </c>
      <c r="N16" s="120">
        <f t="shared" si="14"/>
        <v>0</v>
      </c>
      <c r="O16" s="121">
        <f t="shared" si="15"/>
        <v>246788</v>
      </c>
      <c r="P16" s="733">
        <f t="shared" si="20"/>
        <v>0</v>
      </c>
      <c r="Q16" s="733"/>
      <c r="R16" s="733"/>
      <c r="S16" s="733"/>
      <c r="T16" s="733"/>
      <c r="U16" s="733"/>
      <c r="V16" s="733"/>
      <c r="W16" s="733"/>
      <c r="X16" s="733"/>
      <c r="Y16" s="66"/>
      <c r="Z16" s="66"/>
      <c r="AA16" s="66"/>
      <c r="AB16" s="66"/>
      <c r="AC16" s="66"/>
    </row>
    <row r="17" spans="1:29" s="602" customFormat="1" ht="18.75" customHeight="1" x14ac:dyDescent="0.2">
      <c r="A17" s="616" t="s">
        <v>1123</v>
      </c>
      <c r="B17" s="617">
        <f>'2.működés'!C126</f>
        <v>77514</v>
      </c>
      <c r="C17" s="617">
        <f>'2.működés'!C129</f>
        <v>8688</v>
      </c>
      <c r="D17" s="617">
        <f>'2.működés'!C132</f>
        <v>324888</v>
      </c>
      <c r="E17" s="617">
        <f>'2.működés'!C134</f>
        <v>6186</v>
      </c>
      <c r="F17" s="617">
        <f>'4. Átadott p.eszk.'!B9+'4. Átadott p.eszk.'!B37+'4. Átadott p.eszk.'!B58+'4. Átadott p.eszk.'!B61+'2.működés'!C138+'2.működés'!C139+'2.működés'!C140</f>
        <v>700299</v>
      </c>
      <c r="G17" s="617">
        <v>240067</v>
      </c>
      <c r="H17" s="617">
        <v>115874</v>
      </c>
      <c r="I17" s="617">
        <v>0</v>
      </c>
      <c r="J17" s="618">
        <f>SUM(B17:I17)</f>
        <v>1473516</v>
      </c>
      <c r="K17" s="617">
        <v>188134</v>
      </c>
      <c r="L17" s="617">
        <v>172659</v>
      </c>
      <c r="M17" s="617"/>
      <c r="N17" s="618">
        <f t="shared" ref="N17:N22" si="22">SUM(K17:M17)</f>
        <v>360793</v>
      </c>
      <c r="O17" s="619">
        <f>J17+N17</f>
        <v>1834309</v>
      </c>
      <c r="P17" s="734">
        <f>SUM(Q17:X17)</f>
        <v>12</v>
      </c>
      <c r="Q17" s="734">
        <v>1</v>
      </c>
      <c r="R17" s="734">
        <v>2</v>
      </c>
      <c r="S17" s="734">
        <v>4</v>
      </c>
      <c r="T17" s="734">
        <v>3</v>
      </c>
      <c r="U17" s="734">
        <v>2</v>
      </c>
      <c r="V17" s="734">
        <v>0</v>
      </c>
      <c r="W17" s="734">
        <v>0</v>
      </c>
      <c r="X17" s="734">
        <v>0</v>
      </c>
      <c r="Y17" s="66"/>
      <c r="Z17" s="66"/>
      <c r="AA17" s="66"/>
      <c r="AB17" s="66"/>
      <c r="AC17" s="66"/>
    </row>
    <row r="18" spans="1:29" ht="18" customHeight="1" x14ac:dyDescent="0.2">
      <c r="A18" s="279" t="str">
        <f>'5.Bev.össz_'!A19</f>
        <v xml:space="preserve">       Kötelező (eredeti előirányzat 2026. év)</v>
      </c>
      <c r="B18" s="122">
        <f>SUM('7.finanszírozás.'!C110)</f>
        <v>74011</v>
      </c>
      <c r="C18" s="122">
        <f>SUM('7.finanszírozás.'!C118)</f>
        <v>8811</v>
      </c>
      <c r="D18" s="122">
        <f>SUM('7.finanszírozás.'!C126)</f>
        <v>591960</v>
      </c>
      <c r="E18" s="122">
        <f>'2.működés'!D134</f>
        <v>20000</v>
      </c>
      <c r="F18" s="122">
        <f>SUM('4. Átadott p.eszk.'!C68-'4. Átadott p.eszk.'!C62-'4. Átadott p.eszk.'!C63)+'2.működés'!D138+'2.működés'!D139+'2.működés'!D140</f>
        <v>732739</v>
      </c>
      <c r="G18" s="122">
        <f>SUM('7.finanszírozás.'!F60+'7.finanszírozás.'!F51)</f>
        <v>303813</v>
      </c>
      <c r="H18" s="122">
        <f>SUM('1.Bev-kiad.'!D84)</f>
        <v>121786</v>
      </c>
      <c r="I18" s="122">
        <f>SUM('2.működés'!D137)</f>
        <v>76000</v>
      </c>
      <c r="J18" s="130">
        <f t="shared" ref="J18:J23" si="23">SUM(B18:I18)</f>
        <v>1929120</v>
      </c>
      <c r="K18" s="122">
        <f>SUM('3.felh'!D48)</f>
        <v>743862</v>
      </c>
      <c r="L18" s="122">
        <f>SUM('3.felh'!D74)</f>
        <v>329676</v>
      </c>
      <c r="M18" s="122">
        <f>SUM('3.felh'!D96)</f>
        <v>0</v>
      </c>
      <c r="N18" s="130">
        <f t="shared" si="22"/>
        <v>1073538</v>
      </c>
      <c r="O18" s="280">
        <f>SUM(J18+N18)</f>
        <v>3002658</v>
      </c>
      <c r="P18" s="735">
        <f>SUM(Q18:X18)</f>
        <v>12</v>
      </c>
      <c r="Q18" s="735">
        <v>1</v>
      </c>
      <c r="R18" s="735">
        <v>2</v>
      </c>
      <c r="S18" s="735">
        <v>4</v>
      </c>
      <c r="T18" s="735">
        <v>3</v>
      </c>
      <c r="U18" s="735">
        <v>2</v>
      </c>
      <c r="V18" s="735">
        <v>0</v>
      </c>
      <c r="W18" s="735">
        <v>0</v>
      </c>
      <c r="X18" s="735">
        <v>0</v>
      </c>
      <c r="Y18" s="66"/>
      <c r="Z18" s="66"/>
      <c r="AA18" s="66"/>
      <c r="AB18" s="66"/>
      <c r="AC18" s="66"/>
    </row>
    <row r="19" spans="1:29" ht="18" hidden="1" customHeight="1" x14ac:dyDescent="0.2">
      <c r="A19" s="279" t="str">
        <f>'5.Bev.össz_'!A20</f>
        <v xml:space="preserve">       Kötelező (módosított előirányzat 2025.06. havi)</v>
      </c>
      <c r="B19" s="122">
        <f>SUM('7.finanszírozás.'!C111)</f>
        <v>74385</v>
      </c>
      <c r="C19" s="122">
        <f>SUM('7.finanszírozás.'!C119)</f>
        <v>8881</v>
      </c>
      <c r="D19" s="122">
        <f>SUM('7.finanszírozás.'!C127)</f>
        <v>444667</v>
      </c>
      <c r="E19" s="122">
        <f>SUM('7.finanszírozás.'!C143)</f>
        <v>20000</v>
      </c>
      <c r="F19" s="122">
        <f>SUM('4. Átadott p.eszk.'!E68-'4. Átadott p.eszk.'!E62-'4. Átadott p.eszk.'!E63)+'2.működés'!F138+'2.működés'!F139+'2.működés'!F140</f>
        <v>745469</v>
      </c>
      <c r="G19" s="122">
        <f>SUM('7.finanszírozás.'!E52+'7.finanszírozás.'!E61)</f>
        <v>303813</v>
      </c>
      <c r="H19" s="122">
        <f>SUM('1.Bev-kiad.'!F84)</f>
        <v>129241</v>
      </c>
      <c r="I19" s="122">
        <f>SUM('2.működés'!F137)</f>
        <v>161402</v>
      </c>
      <c r="J19" s="130">
        <f t="shared" si="23"/>
        <v>1887858</v>
      </c>
      <c r="K19" s="122">
        <f>SUM('3.felh'!F48)</f>
        <v>744640</v>
      </c>
      <c r="L19" s="122">
        <f>SUM('3.felh'!F74)</f>
        <v>276343</v>
      </c>
      <c r="M19" s="122">
        <f>'3.felh'!F96</f>
        <v>22225</v>
      </c>
      <c r="N19" s="130">
        <f t="shared" si="22"/>
        <v>1043208</v>
      </c>
      <c r="O19" s="280">
        <f t="shared" ref="O19:O26" si="24">SUM(J19+N19)</f>
        <v>2931066</v>
      </c>
      <c r="P19" s="735">
        <f t="shared" ref="P19:P24" si="25">SUM(Q19:X19)</f>
        <v>12</v>
      </c>
      <c r="Q19" s="735">
        <v>1</v>
      </c>
      <c r="R19" s="735">
        <v>2</v>
      </c>
      <c r="S19" s="735">
        <v>4</v>
      </c>
      <c r="T19" s="735">
        <v>3</v>
      </c>
      <c r="U19" s="735">
        <v>2</v>
      </c>
      <c r="V19" s="735">
        <v>0</v>
      </c>
      <c r="W19" s="735">
        <v>0</v>
      </c>
      <c r="X19" s="735">
        <v>0</v>
      </c>
      <c r="Y19" s="66"/>
      <c r="Z19" s="66"/>
      <c r="AA19" s="66"/>
      <c r="AB19" s="66"/>
      <c r="AC19" s="66"/>
    </row>
    <row r="20" spans="1:29" ht="15.75" hidden="1" customHeight="1" x14ac:dyDescent="0.2">
      <c r="A20" s="279" t="str">
        <f>'5.Bev.össz_'!A21</f>
        <v xml:space="preserve">       Kötelező (módosított előirányzat 2025.09.havi)</v>
      </c>
      <c r="B20" s="122">
        <f>SUM('7.finanszírozás.'!C112)</f>
        <v>0</v>
      </c>
      <c r="C20" s="122">
        <f>SUM('7.finanszírozás.'!C120)</f>
        <v>0</v>
      </c>
      <c r="D20" s="122">
        <f>SUM('7.finanszírozás.'!C128)</f>
        <v>0</v>
      </c>
      <c r="E20" s="122">
        <f>SUM('7.finanszírozás.'!C144)</f>
        <v>0</v>
      </c>
      <c r="F20" s="122">
        <f>SUM('4. Átadott p.eszk.'!G68-'4. Átadott p.eszk.'!G62-'4. Átadott p.eszk.'!G63)+'2.működés'!H138+'2.működés'!H139+'2.működés'!H140</f>
        <v>0</v>
      </c>
      <c r="G20" s="122">
        <f>SUM('7.finanszírozás.'!E53+'7.finanszírozás.'!E62)</f>
        <v>-5597</v>
      </c>
      <c r="H20" s="122">
        <f>SUM('1.Bev-kiad.'!H84)</f>
        <v>0</v>
      </c>
      <c r="I20" s="122">
        <f>SUM('2.működés'!H137)</f>
        <v>0</v>
      </c>
      <c r="J20" s="130">
        <f t="shared" si="23"/>
        <v>-5597</v>
      </c>
      <c r="K20" s="122">
        <f>SUM('3.felh'!H48)</f>
        <v>0</v>
      </c>
      <c r="L20" s="122">
        <f>SUM('3.felh'!H74)</f>
        <v>0</v>
      </c>
      <c r="M20" s="122">
        <f>'3.felh'!H96</f>
        <v>0</v>
      </c>
      <c r="N20" s="130">
        <f t="shared" si="22"/>
        <v>0</v>
      </c>
      <c r="O20" s="280">
        <f t="shared" si="24"/>
        <v>-5597</v>
      </c>
      <c r="P20" s="735">
        <f t="shared" si="25"/>
        <v>12</v>
      </c>
      <c r="Q20" s="735">
        <v>1</v>
      </c>
      <c r="R20" s="735">
        <v>2</v>
      </c>
      <c r="S20" s="735">
        <v>4</v>
      </c>
      <c r="T20" s="735">
        <v>3</v>
      </c>
      <c r="U20" s="735">
        <v>2</v>
      </c>
      <c r="V20" s="735">
        <v>0</v>
      </c>
      <c r="W20" s="735">
        <v>0</v>
      </c>
      <c r="X20" s="735">
        <v>0</v>
      </c>
      <c r="Y20" s="66"/>
      <c r="Z20" s="66"/>
      <c r="AA20" s="66"/>
      <c r="AB20" s="66"/>
      <c r="AC20" s="66"/>
    </row>
    <row r="21" spans="1:29" ht="15" hidden="1" customHeight="1" x14ac:dyDescent="0.2">
      <c r="A21" s="279" t="str">
        <f>'5.Bev.össz_'!A22</f>
        <v xml:space="preserve">       Kötelező (módosított előirányzat 2025.12.havi)</v>
      </c>
      <c r="B21" s="122">
        <f>SUM('7.finanszírozás.'!C113)</f>
        <v>0</v>
      </c>
      <c r="C21" s="122">
        <f>SUM('7.finanszírozás.'!C121)</f>
        <v>0</v>
      </c>
      <c r="D21" s="122">
        <f>SUM('7.finanszírozás.'!C129)</f>
        <v>0</v>
      </c>
      <c r="E21" s="122">
        <f>SUM('7.finanszírozás.'!C145)</f>
        <v>0</v>
      </c>
      <c r="F21" s="122">
        <f>SUM('4. Átadott p.eszk.'!I68-'4. Átadott p.eszk.'!I62-'4. Átadott p.eszk.'!I63)+'2.működés'!J138+'2.működés'!J139+'2.működés'!J140</f>
        <v>0</v>
      </c>
      <c r="G21" s="122">
        <f>SUM('7.finanszírozás.'!E54+'7.finanszírozás.'!E63)</f>
        <v>-5597</v>
      </c>
      <c r="H21" s="122">
        <f>SUM('1.Bev-kiad.'!J84)</f>
        <v>0</v>
      </c>
      <c r="I21" s="122">
        <f>SUM('2.működés'!J137)</f>
        <v>0</v>
      </c>
      <c r="J21" s="130">
        <f t="shared" si="23"/>
        <v>-5597</v>
      </c>
      <c r="K21" s="122">
        <f>SUM('3.felh'!J48)</f>
        <v>0</v>
      </c>
      <c r="L21" s="122">
        <f>SUM('3.felh'!J74)</f>
        <v>0</v>
      </c>
      <c r="M21" s="122">
        <f>'3.felh'!J96</f>
        <v>0</v>
      </c>
      <c r="N21" s="130">
        <f t="shared" si="22"/>
        <v>0</v>
      </c>
      <c r="O21" s="280">
        <f t="shared" si="24"/>
        <v>-5597</v>
      </c>
      <c r="P21" s="735">
        <f t="shared" ref="P21" si="26">SUM(Q21:X21)</f>
        <v>12</v>
      </c>
      <c r="Q21" s="735">
        <v>1</v>
      </c>
      <c r="R21" s="735">
        <v>2</v>
      </c>
      <c r="S21" s="735">
        <v>4</v>
      </c>
      <c r="T21" s="735">
        <v>3</v>
      </c>
      <c r="U21" s="735">
        <v>2</v>
      </c>
      <c r="V21" s="735">
        <v>0</v>
      </c>
      <c r="W21" s="735">
        <v>0</v>
      </c>
      <c r="X21" s="735">
        <v>0</v>
      </c>
      <c r="Y21" s="66"/>
      <c r="Z21" s="66"/>
      <c r="AA21" s="66"/>
      <c r="AB21" s="66"/>
      <c r="AC21" s="66"/>
    </row>
    <row r="22" spans="1:29" ht="15" hidden="1" customHeight="1" x14ac:dyDescent="0.2">
      <c r="A22" s="279" t="str">
        <f>'5.Bev.össz_'!A23</f>
        <v xml:space="preserve">       Kötelező (módosított előirányzat 2025.12.31)</v>
      </c>
      <c r="B22" s="122">
        <f>SUM('7.finanszírozás.'!C114)</f>
        <v>0</v>
      </c>
      <c r="C22" s="122">
        <f>SUM('7.finanszírozás.'!C122)</f>
        <v>0</v>
      </c>
      <c r="D22" s="122">
        <f>SUM('7.finanszírozás.'!C130)</f>
        <v>0</v>
      </c>
      <c r="E22" s="122">
        <f>SUM('7.finanszírozás.'!C146)</f>
        <v>0</v>
      </c>
      <c r="F22" s="122">
        <f>SUM('4. Átadott p.eszk.'!K68-'4. Átadott p.eszk.'!K62-'4. Átadott p.eszk.'!K63)+'2.működés'!L138+'2.működés'!L139+'2.működés'!L140</f>
        <v>0</v>
      </c>
      <c r="G22" s="122">
        <f>SUM('7.finanszírozás.'!E55+'7.finanszírozás.'!E64)</f>
        <v>-5597</v>
      </c>
      <c r="H22" s="122">
        <f>SUM('1.Bev-kiad.'!L84)</f>
        <v>0</v>
      </c>
      <c r="I22" s="122">
        <f>SUM('2.működés'!L137)</f>
        <v>0</v>
      </c>
      <c r="J22" s="130">
        <f t="shared" si="23"/>
        <v>-5597</v>
      </c>
      <c r="K22" s="122">
        <f>SUM('3.felh'!L48)</f>
        <v>0</v>
      </c>
      <c r="L22" s="122">
        <f>SUM('3.felh'!L74)</f>
        <v>0</v>
      </c>
      <c r="M22" s="122">
        <f>'3.felh'!J97</f>
        <v>0</v>
      </c>
      <c r="N22" s="130">
        <f t="shared" si="22"/>
        <v>0</v>
      </c>
      <c r="O22" s="280">
        <f t="shared" ref="O22" si="27">SUM(J22+N22)</f>
        <v>-5597</v>
      </c>
      <c r="P22" s="735">
        <f t="shared" ref="P22" si="28">SUM(Q22:X22)</f>
        <v>12</v>
      </c>
      <c r="Q22" s="735">
        <v>1</v>
      </c>
      <c r="R22" s="735">
        <v>2</v>
      </c>
      <c r="S22" s="735">
        <v>4</v>
      </c>
      <c r="T22" s="735">
        <v>3</v>
      </c>
      <c r="U22" s="735">
        <v>2</v>
      </c>
      <c r="V22" s="735">
        <v>0</v>
      </c>
      <c r="W22" s="735">
        <v>0</v>
      </c>
      <c r="X22" s="735">
        <v>0</v>
      </c>
      <c r="Y22" s="66"/>
      <c r="Z22" s="66"/>
      <c r="AA22" s="66"/>
      <c r="AB22" s="66"/>
      <c r="AC22" s="66"/>
    </row>
    <row r="23" spans="1:29" ht="15" hidden="1" x14ac:dyDescent="0.2">
      <c r="A23" s="279">
        <f>'5.Bev.össz_'!A24</f>
        <v>0</v>
      </c>
      <c r="B23" s="122"/>
      <c r="C23" s="122"/>
      <c r="D23" s="122"/>
      <c r="E23" s="122"/>
      <c r="F23" s="122">
        <f>SUM('4. Átadott p.eszk.'!K69-'4. Átadott p.eszk.'!K63-'4. Átadott p.eszk.'!K64)+'2.működés'!L139+'2.működés'!L140+'2.működés'!L141</f>
        <v>0</v>
      </c>
      <c r="G23" s="122"/>
      <c r="H23" s="122"/>
      <c r="I23" s="122"/>
      <c r="J23" s="130">
        <f t="shared" si="23"/>
        <v>0</v>
      </c>
      <c r="K23" s="122">
        <f>SUM('3.felh'!L49)</f>
        <v>0</v>
      </c>
      <c r="L23" s="122">
        <f>SUM('3.felh'!L75)</f>
        <v>0</v>
      </c>
      <c r="M23" s="122">
        <f>'3.felh'!J98</f>
        <v>0</v>
      </c>
      <c r="N23" s="130">
        <f t="shared" ref="N23:N32" si="29">SUM(K23:M23)</f>
        <v>0</v>
      </c>
      <c r="O23" s="280">
        <f t="shared" si="24"/>
        <v>0</v>
      </c>
      <c r="P23" s="735">
        <f t="shared" si="25"/>
        <v>0</v>
      </c>
      <c r="Q23" s="735"/>
      <c r="R23" s="735"/>
      <c r="S23" s="735"/>
      <c r="T23" s="735"/>
      <c r="U23" s="735"/>
      <c r="V23" s="735"/>
      <c r="W23" s="735"/>
      <c r="X23" s="735"/>
      <c r="Y23" s="66"/>
      <c r="Z23" s="66"/>
      <c r="AA23" s="66"/>
      <c r="AB23" s="66"/>
      <c r="AC23" s="66"/>
    </row>
    <row r="24" spans="1:29" ht="15" hidden="1" x14ac:dyDescent="0.2">
      <c r="A24" s="279" t="str">
        <f>'5.Bev.össz_'!A25</f>
        <v xml:space="preserve">       Teljesítés 2025.12.31.</v>
      </c>
      <c r="B24" s="122">
        <f>SUM('7.finanszírozás.'!C116)</f>
        <v>0</v>
      </c>
      <c r="C24" s="122">
        <f>SUM('7.finanszírozás.'!C124)</f>
        <v>0</v>
      </c>
      <c r="D24" s="122">
        <f>SUM('7.finanszírozás.'!C132)</f>
        <v>0</v>
      </c>
      <c r="E24" s="122">
        <f>SUM('7.finanszírozás.'!C148)</f>
        <v>0</v>
      </c>
      <c r="F24" s="122">
        <f>SUM('4. Átadott p.eszk.'!L68-'4. Átadott p.eszk.'!L62-'4. Átadott p.eszk.'!L63)+'2.működés'!M138+'2.működés'!M139+'2.működés'!M140</f>
        <v>0</v>
      </c>
      <c r="G24" s="122">
        <f>SUM('7.finanszírozás.'!E57+'7.finanszírozás.'!E66)</f>
        <v>246788</v>
      </c>
      <c r="H24" s="122">
        <f>SUM('1.Bev-kiad.'!M84)</f>
        <v>0</v>
      </c>
      <c r="I24" s="122">
        <f>SUM('2.működés'!M137)</f>
        <v>0</v>
      </c>
      <c r="J24" s="130">
        <f t="shared" ref="J24:J32" si="30">SUM(B24:I24)</f>
        <v>246788</v>
      </c>
      <c r="K24" s="122">
        <f>SUM('3.felh'!M48)</f>
        <v>0</v>
      </c>
      <c r="L24" s="122">
        <f>SUM('3.felh'!M74)</f>
        <v>0</v>
      </c>
      <c r="M24" s="122">
        <f>'3.felh'!J99</f>
        <v>0</v>
      </c>
      <c r="N24" s="130">
        <f t="shared" si="29"/>
        <v>0</v>
      </c>
      <c r="O24" s="280">
        <f t="shared" si="24"/>
        <v>246788</v>
      </c>
      <c r="P24" s="735">
        <f t="shared" si="25"/>
        <v>0</v>
      </c>
      <c r="Q24" s="735"/>
      <c r="R24" s="735"/>
      <c r="S24" s="735"/>
      <c r="T24" s="735"/>
      <c r="U24" s="735"/>
      <c r="V24" s="735"/>
      <c r="W24" s="735"/>
      <c r="X24" s="735"/>
      <c r="Y24" s="66"/>
      <c r="Z24" s="66"/>
      <c r="AA24" s="66"/>
      <c r="AB24" s="66"/>
      <c r="AC24" s="66"/>
    </row>
    <row r="25" spans="1:29" s="602" customFormat="1" ht="21" customHeight="1" x14ac:dyDescent="0.2">
      <c r="A25" s="616" t="s">
        <v>1124</v>
      </c>
      <c r="B25" s="620"/>
      <c r="C25" s="620"/>
      <c r="D25" s="620"/>
      <c r="E25" s="620"/>
      <c r="F25" s="621">
        <f>'4. Átadott p.eszk.'!B62+'4. Átadott p.eszk.'!B63</f>
        <v>7165</v>
      </c>
      <c r="G25" s="620"/>
      <c r="H25" s="620"/>
      <c r="I25" s="620"/>
      <c r="J25" s="618">
        <f>F25</f>
        <v>7165</v>
      </c>
      <c r="K25" s="621">
        <v>0</v>
      </c>
      <c r="L25" s="621">
        <v>0</v>
      </c>
      <c r="M25" s="621">
        <v>0</v>
      </c>
      <c r="N25" s="618">
        <v>0</v>
      </c>
      <c r="O25" s="619">
        <f>J25+N25</f>
        <v>7165</v>
      </c>
      <c r="P25" s="739">
        <f t="shared" ref="P25" si="31">SUM(Q25:V25)</f>
        <v>0</v>
      </c>
      <c r="Q25" s="734">
        <v>0</v>
      </c>
      <c r="R25" s="734">
        <v>0</v>
      </c>
      <c r="S25" s="734">
        <v>0</v>
      </c>
      <c r="T25" s="734">
        <v>0</v>
      </c>
      <c r="U25" s="734">
        <v>0</v>
      </c>
      <c r="V25" s="734">
        <v>0</v>
      </c>
      <c r="W25" s="734">
        <v>0</v>
      </c>
      <c r="X25" s="734">
        <v>0</v>
      </c>
      <c r="Y25" s="66"/>
      <c r="Z25" s="66"/>
      <c r="AA25" s="66"/>
      <c r="AB25" s="66"/>
      <c r="AC25" s="66"/>
    </row>
    <row r="26" spans="1:29" ht="20.25" customHeight="1" x14ac:dyDescent="0.2">
      <c r="A26" s="279" t="str">
        <f>'5.Bev.össz_'!A28</f>
        <v xml:space="preserve">       Önként vállalt (eredeti előirányzat 2026. év)</v>
      </c>
      <c r="B26" s="67"/>
      <c r="C26" s="67"/>
      <c r="D26" s="67"/>
      <c r="E26" s="67"/>
      <c r="F26" s="65">
        <f>SUM('4. Átadott p.eszk.'!C62+'4. Átadott p.eszk.'!C63)</f>
        <v>9250</v>
      </c>
      <c r="G26" s="65"/>
      <c r="H26" s="65"/>
      <c r="I26" s="65"/>
      <c r="J26" s="130">
        <f>SUM(B26:I26)</f>
        <v>9250</v>
      </c>
      <c r="K26" s="122"/>
      <c r="L26" s="122"/>
      <c r="M26" s="122"/>
      <c r="N26" s="130">
        <f>SUM(K26:M26)</f>
        <v>0</v>
      </c>
      <c r="O26" s="280">
        <f t="shared" si="24"/>
        <v>9250</v>
      </c>
      <c r="P26" s="735">
        <f>SUM(Q26:X26)</f>
        <v>0</v>
      </c>
      <c r="Q26" s="735">
        <v>0</v>
      </c>
      <c r="R26" s="735">
        <v>0</v>
      </c>
      <c r="S26" s="735">
        <v>0</v>
      </c>
      <c r="T26" s="735">
        <v>0</v>
      </c>
      <c r="U26" s="735">
        <v>0</v>
      </c>
      <c r="V26" s="735">
        <v>0</v>
      </c>
      <c r="W26" s="735">
        <v>0</v>
      </c>
      <c r="X26" s="735">
        <v>0</v>
      </c>
      <c r="Y26" s="66"/>
      <c r="Z26" s="66"/>
      <c r="AA26" s="66"/>
      <c r="AB26" s="66"/>
      <c r="AC26" s="66"/>
    </row>
    <row r="27" spans="1:29" ht="20.25" hidden="1" customHeight="1" x14ac:dyDescent="0.2">
      <c r="A27" s="279" t="str">
        <f>'5.Bev.össz_'!A29</f>
        <v xml:space="preserve">       Önként vállalt (módosított előirányzat 2025.06. havi)</v>
      </c>
      <c r="B27" s="65"/>
      <c r="C27" s="65"/>
      <c r="D27" s="65"/>
      <c r="E27" s="65"/>
      <c r="F27" s="65">
        <f>'4. Átadott p.eszk.'!E62+'4. Átadott p.eszk.'!E63</f>
        <v>9250</v>
      </c>
      <c r="G27" s="65"/>
      <c r="H27" s="65"/>
      <c r="I27" s="65"/>
      <c r="J27" s="130">
        <f t="shared" si="30"/>
        <v>9250</v>
      </c>
      <c r="K27" s="122"/>
      <c r="L27" s="122"/>
      <c r="M27" s="122"/>
      <c r="N27" s="130">
        <v>0</v>
      </c>
      <c r="O27" s="280">
        <f>SUM(J27+N27)</f>
        <v>9250</v>
      </c>
      <c r="P27" s="735">
        <f t="shared" ref="P27:P28" si="32">SUM(Q27:X27)</f>
        <v>0</v>
      </c>
      <c r="Q27" s="735">
        <v>0</v>
      </c>
      <c r="R27" s="735">
        <v>0</v>
      </c>
      <c r="S27" s="735">
        <v>0</v>
      </c>
      <c r="T27" s="735">
        <v>0</v>
      </c>
      <c r="U27" s="735">
        <v>0</v>
      </c>
      <c r="V27" s="735">
        <v>0</v>
      </c>
      <c r="W27" s="735">
        <v>0</v>
      </c>
      <c r="X27" s="735">
        <v>0</v>
      </c>
      <c r="Y27" s="66"/>
      <c r="Z27" s="66"/>
      <c r="AA27" s="66"/>
      <c r="AB27" s="66"/>
      <c r="AC27" s="66"/>
    </row>
    <row r="28" spans="1:29" ht="21" hidden="1" customHeight="1" x14ac:dyDescent="0.2">
      <c r="A28" s="279" t="str">
        <f>'5.Bev.össz_'!A30</f>
        <v xml:space="preserve">       Önként vállalt (módosított előirányzat 2025.09.havi)</v>
      </c>
      <c r="B28" s="67"/>
      <c r="C28" s="67"/>
      <c r="D28" s="67"/>
      <c r="E28" s="67"/>
      <c r="F28" s="65">
        <f>'4. Átadott p.eszk.'!G62+'4. Átadott p.eszk.'!G63</f>
        <v>0</v>
      </c>
      <c r="G28" s="65"/>
      <c r="H28" s="65"/>
      <c r="I28" s="65"/>
      <c r="J28" s="130">
        <f t="shared" ref="J28" si="33">SUM(B28:I28)</f>
        <v>0</v>
      </c>
      <c r="K28" s="122"/>
      <c r="L28" s="122"/>
      <c r="M28" s="122"/>
      <c r="N28" s="130">
        <v>0</v>
      </c>
      <c r="O28" s="280">
        <f>SUM(J28+N28)</f>
        <v>0</v>
      </c>
      <c r="P28" s="735">
        <f t="shared" si="32"/>
        <v>0</v>
      </c>
      <c r="Q28" s="735">
        <v>0</v>
      </c>
      <c r="R28" s="735">
        <v>0</v>
      </c>
      <c r="S28" s="735">
        <v>0</v>
      </c>
      <c r="T28" s="735">
        <v>0</v>
      </c>
      <c r="U28" s="735">
        <v>0</v>
      </c>
      <c r="V28" s="735">
        <v>0</v>
      </c>
      <c r="W28" s="735">
        <v>0</v>
      </c>
      <c r="X28" s="735">
        <v>0</v>
      </c>
      <c r="Y28" s="66"/>
      <c r="Z28" s="66"/>
      <c r="AA28" s="66"/>
      <c r="AB28" s="66"/>
      <c r="AC28" s="66"/>
    </row>
    <row r="29" spans="1:29" ht="17.25" hidden="1" customHeight="1" x14ac:dyDescent="0.2">
      <c r="A29" s="279" t="str">
        <f>'5.Bev.össz_'!A31</f>
        <v xml:space="preserve">       Önként vállalt (módosított előirányzat 2025.12.havi)</v>
      </c>
      <c r="B29" s="67"/>
      <c r="C29" s="67"/>
      <c r="D29" s="67"/>
      <c r="E29" s="67"/>
      <c r="F29" s="65">
        <f>'4. Átadott p.eszk.'!I62+'4. Átadott p.eszk.'!I63</f>
        <v>0</v>
      </c>
      <c r="G29" s="65"/>
      <c r="H29" s="65"/>
      <c r="I29" s="65"/>
      <c r="J29" s="130">
        <f t="shared" si="30"/>
        <v>0</v>
      </c>
      <c r="K29" s="122"/>
      <c r="L29" s="122"/>
      <c r="M29" s="122"/>
      <c r="N29" s="130">
        <f t="shared" si="29"/>
        <v>0</v>
      </c>
      <c r="O29" s="280">
        <f t="shared" ref="O29:O32" si="34">SUM(J29+N29)</f>
        <v>0</v>
      </c>
      <c r="P29" s="735">
        <f t="shared" ref="P29" si="35">SUM(Q29:X29)</f>
        <v>0</v>
      </c>
      <c r="Q29" s="735">
        <v>0</v>
      </c>
      <c r="R29" s="735">
        <v>0</v>
      </c>
      <c r="S29" s="735">
        <v>0</v>
      </c>
      <c r="T29" s="735">
        <v>0</v>
      </c>
      <c r="U29" s="735">
        <v>0</v>
      </c>
      <c r="V29" s="735">
        <v>0</v>
      </c>
      <c r="W29" s="735">
        <v>0</v>
      </c>
      <c r="X29" s="735">
        <v>0</v>
      </c>
      <c r="Y29" s="66"/>
      <c r="Z29" s="66"/>
      <c r="AA29" s="66"/>
      <c r="AB29" s="66"/>
      <c r="AC29" s="66"/>
    </row>
    <row r="30" spans="1:29" ht="17.25" hidden="1" customHeight="1" x14ac:dyDescent="0.2">
      <c r="A30" s="279" t="str">
        <f>'5.Bev.össz_'!A32</f>
        <v xml:space="preserve">       Önként vállalt (módosított előirányzat 2025.12.31)</v>
      </c>
      <c r="B30" s="67"/>
      <c r="C30" s="67"/>
      <c r="D30" s="67"/>
      <c r="E30" s="67"/>
      <c r="F30" s="65">
        <f>'4. Átadott p.eszk.'!K62+'4. Átadott p.eszk.'!K63</f>
        <v>0</v>
      </c>
      <c r="G30" s="65"/>
      <c r="H30" s="65"/>
      <c r="I30" s="65"/>
      <c r="J30" s="130">
        <f t="shared" ref="J30" si="36">SUM(B30:I30)</f>
        <v>0</v>
      </c>
      <c r="K30" s="122"/>
      <c r="L30" s="122"/>
      <c r="M30" s="122"/>
      <c r="N30" s="130">
        <f t="shared" ref="N30" si="37">SUM(K30:M30)</f>
        <v>0</v>
      </c>
      <c r="O30" s="280">
        <f t="shared" ref="O30" si="38">SUM(J30+N30)</f>
        <v>0</v>
      </c>
      <c r="P30" s="735">
        <f t="shared" ref="P30" si="39">SUM(Q30:X30)</f>
        <v>0</v>
      </c>
      <c r="Q30" s="735">
        <v>0</v>
      </c>
      <c r="R30" s="735">
        <v>0</v>
      </c>
      <c r="S30" s="735">
        <v>0</v>
      </c>
      <c r="T30" s="735">
        <v>0</v>
      </c>
      <c r="U30" s="735">
        <v>0</v>
      </c>
      <c r="V30" s="735">
        <v>0</v>
      </c>
      <c r="W30" s="735">
        <v>0</v>
      </c>
      <c r="X30" s="735">
        <v>0</v>
      </c>
      <c r="Y30" s="66"/>
      <c r="Z30" s="66"/>
      <c r="AA30" s="66"/>
      <c r="AB30" s="66"/>
      <c r="AC30" s="66"/>
    </row>
    <row r="31" spans="1:29" ht="15" hidden="1" x14ac:dyDescent="0.2">
      <c r="A31" s="279">
        <f>'5.Bev.össz_'!A33</f>
        <v>0</v>
      </c>
      <c r="B31" s="67"/>
      <c r="C31" s="67"/>
      <c r="D31" s="67"/>
      <c r="E31" s="67"/>
      <c r="F31" s="65">
        <f>'4. Átadott p.eszk.'!K63+'4. Átadott p.eszk.'!K64</f>
        <v>0</v>
      </c>
      <c r="G31" s="65"/>
      <c r="H31" s="65"/>
      <c r="I31" s="65"/>
      <c r="J31" s="130">
        <f t="shared" si="30"/>
        <v>0</v>
      </c>
      <c r="K31" s="122"/>
      <c r="L31" s="122"/>
      <c r="M31" s="122"/>
      <c r="N31" s="130">
        <f t="shared" si="29"/>
        <v>0</v>
      </c>
      <c r="O31" s="280">
        <f t="shared" si="34"/>
        <v>0</v>
      </c>
      <c r="P31" s="735"/>
      <c r="Q31" s="735"/>
      <c r="R31" s="735"/>
      <c r="S31" s="735"/>
      <c r="T31" s="735"/>
      <c r="U31" s="735"/>
      <c r="V31" s="735"/>
      <c r="W31" s="735"/>
      <c r="X31" s="735"/>
      <c r="Y31" s="66"/>
      <c r="Z31" s="66"/>
      <c r="AA31" s="66"/>
      <c r="AB31" s="66"/>
      <c r="AC31" s="66"/>
    </row>
    <row r="32" spans="1:29" ht="15" hidden="1" x14ac:dyDescent="0.2">
      <c r="A32" s="279" t="str">
        <f>'5.Bev.össz_'!A34</f>
        <v xml:space="preserve">       Teljesítés 2025.12.31.</v>
      </c>
      <c r="B32" s="67"/>
      <c r="C32" s="67"/>
      <c r="D32" s="67"/>
      <c r="E32" s="67"/>
      <c r="F32" s="65">
        <f>'4. Átadott p.eszk.'!L62+'4. Átadott p.eszk.'!L63</f>
        <v>0</v>
      </c>
      <c r="G32" s="67"/>
      <c r="H32" s="67"/>
      <c r="I32" s="67"/>
      <c r="J32" s="130">
        <f t="shared" si="30"/>
        <v>0</v>
      </c>
      <c r="K32" s="354"/>
      <c r="L32" s="354"/>
      <c r="M32" s="354"/>
      <c r="N32" s="130">
        <f t="shared" si="29"/>
        <v>0</v>
      </c>
      <c r="O32" s="280">
        <f t="shared" si="34"/>
        <v>0</v>
      </c>
      <c r="P32" s="735"/>
      <c r="Q32" s="735"/>
      <c r="R32" s="735"/>
      <c r="S32" s="735"/>
      <c r="T32" s="735"/>
      <c r="U32" s="735"/>
      <c r="V32" s="735"/>
      <c r="W32" s="735"/>
      <c r="X32" s="735"/>
      <c r="Y32" s="66"/>
      <c r="Z32" s="66"/>
      <c r="AA32" s="66"/>
      <c r="AB32" s="66"/>
      <c r="AC32" s="66"/>
    </row>
    <row r="33" spans="1:29" ht="20.25" customHeight="1" thickBot="1" x14ac:dyDescent="0.25">
      <c r="A33" s="281" t="str">
        <f>'5.Bev.össz_'!A35</f>
        <v xml:space="preserve">       Államigazgatási feladatok (eredeti előirányzat 2026. év)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280"/>
      <c r="P33" s="735"/>
      <c r="Q33" s="735"/>
      <c r="R33" s="735"/>
      <c r="S33" s="735"/>
      <c r="T33" s="735"/>
      <c r="U33" s="735"/>
      <c r="V33" s="735"/>
      <c r="W33" s="735"/>
      <c r="X33" s="735"/>
      <c r="Y33" s="66"/>
      <c r="Z33" s="66"/>
      <c r="AA33" s="66"/>
      <c r="AB33" s="66"/>
      <c r="AC33" s="66"/>
    </row>
    <row r="34" spans="1:29" s="602" customFormat="1" ht="16.5" customHeight="1" thickBot="1" x14ac:dyDescent="0.25">
      <c r="A34" s="613" t="s">
        <v>1015</v>
      </c>
      <c r="B34" s="597">
        <f>B42</f>
        <v>231133</v>
      </c>
      <c r="C34" s="597">
        <f t="shared" ref="C34:N34" si="40">C42</f>
        <v>29666</v>
      </c>
      <c r="D34" s="597">
        <f t="shared" si="40"/>
        <v>25680</v>
      </c>
      <c r="E34" s="597">
        <f t="shared" si="40"/>
        <v>0</v>
      </c>
      <c r="F34" s="597">
        <f t="shared" si="40"/>
        <v>0</v>
      </c>
      <c r="G34" s="597">
        <f t="shared" si="40"/>
        <v>0</v>
      </c>
      <c r="H34" s="597">
        <f t="shared" si="40"/>
        <v>0</v>
      </c>
      <c r="I34" s="597">
        <f t="shared" si="40"/>
        <v>0</v>
      </c>
      <c r="J34" s="597">
        <f t="shared" si="40"/>
        <v>286479</v>
      </c>
      <c r="K34" s="597">
        <f t="shared" si="40"/>
        <v>349</v>
      </c>
      <c r="L34" s="597">
        <f t="shared" si="40"/>
        <v>0</v>
      </c>
      <c r="M34" s="597">
        <f t="shared" si="40"/>
        <v>0</v>
      </c>
      <c r="N34" s="597">
        <f t="shared" si="40"/>
        <v>349</v>
      </c>
      <c r="O34" s="615">
        <f>O42</f>
        <v>286828</v>
      </c>
      <c r="P34" s="738">
        <f>P42</f>
        <v>30</v>
      </c>
      <c r="Q34" s="738">
        <f t="shared" ref="Q34:X39" si="41">Q42</f>
        <v>0</v>
      </c>
      <c r="R34" s="738">
        <f t="shared" si="41"/>
        <v>0</v>
      </c>
      <c r="S34" s="738">
        <f t="shared" si="41"/>
        <v>0</v>
      </c>
      <c r="T34" s="738">
        <f t="shared" si="41"/>
        <v>0</v>
      </c>
      <c r="U34" s="738">
        <f t="shared" si="41"/>
        <v>3</v>
      </c>
      <c r="V34" s="738">
        <f t="shared" si="41"/>
        <v>0</v>
      </c>
      <c r="W34" s="738">
        <f t="shared" si="41"/>
        <v>26</v>
      </c>
      <c r="X34" s="738">
        <f t="shared" si="41"/>
        <v>1</v>
      </c>
      <c r="Y34" s="66"/>
      <c r="Z34" s="66"/>
      <c r="AA34" s="66"/>
      <c r="AB34" s="66"/>
      <c r="AC34" s="66"/>
    </row>
    <row r="35" spans="1:29" s="66" customFormat="1" ht="21" customHeight="1" thickBot="1" x14ac:dyDescent="0.25">
      <c r="A35" s="274" t="str">
        <f>'5.Bev.össz_'!A37</f>
        <v>KÖH (eredeti előirányzat 2026. év)</v>
      </c>
      <c r="B35" s="125">
        <f t="shared" ref="B35:J35" si="42">SUM(B43)</f>
        <v>299331</v>
      </c>
      <c r="C35" s="125">
        <f t="shared" si="42"/>
        <v>40800</v>
      </c>
      <c r="D35" s="125">
        <f t="shared" si="42"/>
        <v>30892</v>
      </c>
      <c r="E35" s="125">
        <f t="shared" si="42"/>
        <v>0</v>
      </c>
      <c r="F35" s="125">
        <f t="shared" si="42"/>
        <v>0</v>
      </c>
      <c r="G35" s="125">
        <f t="shared" si="42"/>
        <v>0</v>
      </c>
      <c r="H35" s="125">
        <f t="shared" si="42"/>
        <v>0</v>
      </c>
      <c r="I35" s="125">
        <f t="shared" si="42"/>
        <v>0</v>
      </c>
      <c r="J35" s="118">
        <f t="shared" si="42"/>
        <v>371023</v>
      </c>
      <c r="K35" s="118">
        <f t="shared" ref="K35:M39" si="43">K43</f>
        <v>700</v>
      </c>
      <c r="L35" s="118">
        <f t="shared" si="43"/>
        <v>0</v>
      </c>
      <c r="M35" s="118">
        <f t="shared" si="43"/>
        <v>0</v>
      </c>
      <c r="N35" s="118">
        <f>K35+L35+M35</f>
        <v>700</v>
      </c>
      <c r="O35" s="131">
        <f>(N35+J35)</f>
        <v>371723</v>
      </c>
      <c r="P35" s="733">
        <f>P43</f>
        <v>29</v>
      </c>
      <c r="Q35" s="733">
        <f t="shared" si="41"/>
        <v>0</v>
      </c>
      <c r="R35" s="733">
        <f t="shared" si="41"/>
        <v>0</v>
      </c>
      <c r="S35" s="733">
        <f t="shared" si="41"/>
        <v>0</v>
      </c>
      <c r="T35" s="733">
        <f t="shared" si="41"/>
        <v>0</v>
      </c>
      <c r="U35" s="733">
        <f t="shared" si="41"/>
        <v>3</v>
      </c>
      <c r="V35" s="733">
        <f t="shared" si="41"/>
        <v>0</v>
      </c>
      <c r="W35" s="733">
        <f t="shared" si="41"/>
        <v>25</v>
      </c>
      <c r="X35" s="733">
        <f t="shared" si="41"/>
        <v>1</v>
      </c>
    </row>
    <row r="36" spans="1:29" s="66" customFormat="1" ht="21" hidden="1" customHeight="1" thickBot="1" x14ac:dyDescent="0.25">
      <c r="A36" s="274" t="str">
        <f>'5.Bev.össz_'!A38</f>
        <v>KÖH (módosított előirányzat 2025.06. havi)</v>
      </c>
      <c r="B36" s="125">
        <f t="shared" ref="B36:J37" si="44">SUM(B44)</f>
        <v>297759</v>
      </c>
      <c r="C36" s="125">
        <f t="shared" si="44"/>
        <v>40800</v>
      </c>
      <c r="D36" s="125">
        <f t="shared" si="44"/>
        <v>30917</v>
      </c>
      <c r="E36" s="125">
        <f t="shared" si="44"/>
        <v>0</v>
      </c>
      <c r="F36" s="125">
        <f t="shared" si="44"/>
        <v>0</v>
      </c>
      <c r="G36" s="125">
        <f t="shared" si="44"/>
        <v>0</v>
      </c>
      <c r="H36" s="125">
        <f t="shared" si="44"/>
        <v>0</v>
      </c>
      <c r="I36" s="125">
        <f t="shared" si="44"/>
        <v>0</v>
      </c>
      <c r="J36" s="118">
        <f t="shared" si="44"/>
        <v>369476</v>
      </c>
      <c r="K36" s="118">
        <f t="shared" si="43"/>
        <v>700</v>
      </c>
      <c r="L36" s="118">
        <f t="shared" si="43"/>
        <v>0</v>
      </c>
      <c r="M36" s="118">
        <f t="shared" si="43"/>
        <v>0</v>
      </c>
      <c r="N36" s="118">
        <f t="shared" ref="N36:N41" si="45">K36+L36+M36</f>
        <v>700</v>
      </c>
      <c r="O36" s="131">
        <f t="shared" ref="O36:O41" si="46">(N36+J36)</f>
        <v>370176</v>
      </c>
      <c r="P36" s="733">
        <f t="shared" ref="P36:W36" si="47">P44</f>
        <v>31</v>
      </c>
      <c r="Q36" s="733">
        <f t="shared" si="47"/>
        <v>0</v>
      </c>
      <c r="R36" s="733">
        <f t="shared" si="47"/>
        <v>0</v>
      </c>
      <c r="S36" s="733">
        <f t="shared" si="47"/>
        <v>0</v>
      </c>
      <c r="T36" s="733">
        <f t="shared" si="47"/>
        <v>0</v>
      </c>
      <c r="U36" s="733">
        <f t="shared" si="47"/>
        <v>3</v>
      </c>
      <c r="V36" s="733">
        <f t="shared" si="47"/>
        <v>0</v>
      </c>
      <c r="W36" s="733">
        <f t="shared" si="47"/>
        <v>27</v>
      </c>
      <c r="X36" s="733">
        <f t="shared" si="41"/>
        <v>1</v>
      </c>
    </row>
    <row r="37" spans="1:29" s="66" customFormat="1" ht="21" hidden="1" customHeight="1" thickBot="1" x14ac:dyDescent="0.25">
      <c r="A37" s="274" t="str">
        <f>'5.Bev.össz_'!A39</f>
        <v>KÖH (módosított előirányzat 2025.09. havi)</v>
      </c>
      <c r="B37" s="125">
        <f t="shared" si="44"/>
        <v>0</v>
      </c>
      <c r="C37" s="125">
        <f t="shared" si="44"/>
        <v>0</v>
      </c>
      <c r="D37" s="125">
        <f t="shared" si="44"/>
        <v>0</v>
      </c>
      <c r="E37" s="125">
        <f t="shared" si="44"/>
        <v>0</v>
      </c>
      <c r="F37" s="125">
        <f t="shared" si="44"/>
        <v>0</v>
      </c>
      <c r="G37" s="125">
        <f t="shared" si="44"/>
        <v>0</v>
      </c>
      <c r="H37" s="125">
        <f t="shared" si="44"/>
        <v>0</v>
      </c>
      <c r="I37" s="125">
        <f t="shared" si="44"/>
        <v>0</v>
      </c>
      <c r="J37" s="118">
        <f t="shared" si="44"/>
        <v>0</v>
      </c>
      <c r="K37" s="118">
        <f t="shared" si="43"/>
        <v>0</v>
      </c>
      <c r="L37" s="118">
        <f t="shared" si="43"/>
        <v>0</v>
      </c>
      <c r="M37" s="118">
        <f t="shared" si="43"/>
        <v>0</v>
      </c>
      <c r="N37" s="118">
        <f t="shared" ref="N37" si="48">K37+L37+M37</f>
        <v>0</v>
      </c>
      <c r="O37" s="131">
        <f t="shared" ref="O37" si="49">(N37+J37)</f>
        <v>0</v>
      </c>
      <c r="P37" s="733">
        <f t="shared" ref="P37:W39" si="50">P45</f>
        <v>31</v>
      </c>
      <c r="Q37" s="733">
        <f t="shared" si="50"/>
        <v>0</v>
      </c>
      <c r="R37" s="733">
        <f t="shared" si="50"/>
        <v>0</v>
      </c>
      <c r="S37" s="733">
        <f t="shared" si="50"/>
        <v>0</v>
      </c>
      <c r="T37" s="733">
        <f t="shared" si="50"/>
        <v>0</v>
      </c>
      <c r="U37" s="733">
        <f t="shared" si="50"/>
        <v>3</v>
      </c>
      <c r="V37" s="733">
        <f t="shared" si="50"/>
        <v>0</v>
      </c>
      <c r="W37" s="733">
        <f t="shared" si="50"/>
        <v>27</v>
      </c>
      <c r="X37" s="733">
        <f t="shared" si="41"/>
        <v>1</v>
      </c>
    </row>
    <row r="38" spans="1:29" s="66" customFormat="1" ht="21" hidden="1" customHeight="1" thickBot="1" x14ac:dyDescent="0.25">
      <c r="A38" s="274" t="str">
        <f>'5.Bev.össz_'!A40</f>
        <v>KÖH (módosított előirányzat 2025.12. havi)</v>
      </c>
      <c r="B38" s="125">
        <f t="shared" ref="B38:J39" si="51">SUM(B46)</f>
        <v>0</v>
      </c>
      <c r="C38" s="125">
        <f t="shared" si="51"/>
        <v>0</v>
      </c>
      <c r="D38" s="125">
        <f t="shared" si="51"/>
        <v>0</v>
      </c>
      <c r="E38" s="125">
        <f t="shared" si="51"/>
        <v>0</v>
      </c>
      <c r="F38" s="125">
        <f t="shared" si="51"/>
        <v>0</v>
      </c>
      <c r="G38" s="125">
        <f t="shared" si="51"/>
        <v>0</v>
      </c>
      <c r="H38" s="125">
        <f t="shared" si="51"/>
        <v>0</v>
      </c>
      <c r="I38" s="125">
        <f t="shared" si="51"/>
        <v>0</v>
      </c>
      <c r="J38" s="118">
        <f t="shared" si="51"/>
        <v>0</v>
      </c>
      <c r="K38" s="118">
        <f t="shared" si="43"/>
        <v>0</v>
      </c>
      <c r="L38" s="118">
        <f t="shared" si="43"/>
        <v>0</v>
      </c>
      <c r="M38" s="118">
        <f t="shared" si="43"/>
        <v>0</v>
      </c>
      <c r="N38" s="118">
        <f t="shared" si="45"/>
        <v>0</v>
      </c>
      <c r="O38" s="131">
        <f t="shared" si="46"/>
        <v>0</v>
      </c>
      <c r="P38" s="733">
        <f t="shared" si="50"/>
        <v>30</v>
      </c>
      <c r="Q38" s="733">
        <f t="shared" si="50"/>
        <v>0</v>
      </c>
      <c r="R38" s="733">
        <f t="shared" si="50"/>
        <v>0</v>
      </c>
      <c r="S38" s="733">
        <f t="shared" si="50"/>
        <v>0</v>
      </c>
      <c r="T38" s="733">
        <f t="shared" si="50"/>
        <v>0</v>
      </c>
      <c r="U38" s="733">
        <f t="shared" si="50"/>
        <v>4</v>
      </c>
      <c r="V38" s="733">
        <f t="shared" si="50"/>
        <v>0</v>
      </c>
      <c r="W38" s="733">
        <f t="shared" si="50"/>
        <v>25</v>
      </c>
      <c r="X38" s="733">
        <f t="shared" si="41"/>
        <v>1</v>
      </c>
    </row>
    <row r="39" spans="1:29" s="66" customFormat="1" ht="21" hidden="1" customHeight="1" thickBot="1" x14ac:dyDescent="0.25">
      <c r="A39" s="274" t="str">
        <f>'5.Bev.össz_'!A41</f>
        <v>KÖH (módosított előirányzat 2025.12.31)</v>
      </c>
      <c r="B39" s="125">
        <f t="shared" si="51"/>
        <v>0</v>
      </c>
      <c r="C39" s="125">
        <f t="shared" si="51"/>
        <v>0</v>
      </c>
      <c r="D39" s="125">
        <f t="shared" si="51"/>
        <v>0</v>
      </c>
      <c r="E39" s="125">
        <f t="shared" si="51"/>
        <v>0</v>
      </c>
      <c r="F39" s="125">
        <f t="shared" si="51"/>
        <v>0</v>
      </c>
      <c r="G39" s="125">
        <f t="shared" si="51"/>
        <v>0</v>
      </c>
      <c r="H39" s="125">
        <f t="shared" si="51"/>
        <v>0</v>
      </c>
      <c r="I39" s="125">
        <f t="shared" si="51"/>
        <v>0</v>
      </c>
      <c r="J39" s="118">
        <f t="shared" si="51"/>
        <v>0</v>
      </c>
      <c r="K39" s="118">
        <f t="shared" si="43"/>
        <v>0</v>
      </c>
      <c r="L39" s="118">
        <f t="shared" si="43"/>
        <v>0</v>
      </c>
      <c r="M39" s="118">
        <f t="shared" si="43"/>
        <v>0</v>
      </c>
      <c r="N39" s="118">
        <f t="shared" ref="N39" si="52">K39+L39+M39</f>
        <v>0</v>
      </c>
      <c r="O39" s="131">
        <f t="shared" ref="O39" si="53">(N39+J39)</f>
        <v>0</v>
      </c>
      <c r="P39" s="733">
        <f t="shared" si="50"/>
        <v>30</v>
      </c>
      <c r="Q39" s="733">
        <f t="shared" si="50"/>
        <v>0</v>
      </c>
      <c r="R39" s="733">
        <f t="shared" si="50"/>
        <v>0</v>
      </c>
      <c r="S39" s="733">
        <f t="shared" si="50"/>
        <v>0</v>
      </c>
      <c r="T39" s="733">
        <f t="shared" si="50"/>
        <v>0</v>
      </c>
      <c r="U39" s="733">
        <f t="shared" si="50"/>
        <v>4</v>
      </c>
      <c r="V39" s="733">
        <f t="shared" si="50"/>
        <v>0</v>
      </c>
      <c r="W39" s="733">
        <f t="shared" si="50"/>
        <v>25</v>
      </c>
      <c r="X39" s="733">
        <f t="shared" si="41"/>
        <v>1</v>
      </c>
    </row>
    <row r="40" spans="1:29" s="66" customFormat="1" ht="15" hidden="1" thickBot="1" x14ac:dyDescent="0.25">
      <c r="A40" s="274">
        <f>'5.Bev.össz_'!A42</f>
        <v>0</v>
      </c>
      <c r="B40" s="125">
        <f t="shared" ref="B40:J40" si="54">SUM(B48)</f>
        <v>0</v>
      </c>
      <c r="C40" s="125">
        <f t="shared" si="54"/>
        <v>0</v>
      </c>
      <c r="D40" s="125">
        <f t="shared" si="54"/>
        <v>0</v>
      </c>
      <c r="E40" s="125">
        <f t="shared" si="54"/>
        <v>0</v>
      </c>
      <c r="F40" s="125">
        <f t="shared" si="54"/>
        <v>0</v>
      </c>
      <c r="G40" s="125">
        <f t="shared" si="54"/>
        <v>0</v>
      </c>
      <c r="H40" s="125">
        <f t="shared" si="54"/>
        <v>0</v>
      </c>
      <c r="I40" s="125">
        <f t="shared" si="54"/>
        <v>0</v>
      </c>
      <c r="J40" s="118">
        <f t="shared" si="54"/>
        <v>0</v>
      </c>
      <c r="K40" s="118">
        <f t="shared" ref="K40:M41" si="55">K48</f>
        <v>0</v>
      </c>
      <c r="L40" s="118">
        <f t="shared" si="55"/>
        <v>0</v>
      </c>
      <c r="M40" s="118">
        <f t="shared" si="55"/>
        <v>0</v>
      </c>
      <c r="N40" s="118">
        <f t="shared" si="45"/>
        <v>0</v>
      </c>
      <c r="O40" s="131">
        <f t="shared" si="46"/>
        <v>0</v>
      </c>
      <c r="P40" s="737">
        <f t="shared" ref="P40:P41" si="56">P48</f>
        <v>0</v>
      </c>
      <c r="Q40" s="737"/>
      <c r="R40" s="737"/>
      <c r="S40" s="737"/>
      <c r="T40" s="737"/>
      <c r="U40" s="737"/>
      <c r="V40" s="737"/>
      <c r="W40" s="737"/>
      <c r="X40" s="737"/>
    </row>
    <row r="41" spans="1:29" s="66" customFormat="1" ht="15" hidden="1" thickBot="1" x14ac:dyDescent="0.25">
      <c r="A41" s="274" t="str">
        <f>'5.Bev.össz_'!A43</f>
        <v>KÖH: Teljesítés 2025.12.31.</v>
      </c>
      <c r="B41" s="125">
        <f t="shared" ref="B41:J41" si="57">SUM(B49)</f>
        <v>0</v>
      </c>
      <c r="C41" s="125">
        <f t="shared" si="57"/>
        <v>0</v>
      </c>
      <c r="D41" s="125">
        <f t="shared" si="57"/>
        <v>0</v>
      </c>
      <c r="E41" s="125">
        <f t="shared" si="57"/>
        <v>0</v>
      </c>
      <c r="F41" s="125">
        <f t="shared" si="57"/>
        <v>0</v>
      </c>
      <c r="G41" s="125">
        <f t="shared" si="57"/>
        <v>0</v>
      </c>
      <c r="H41" s="125">
        <f t="shared" si="57"/>
        <v>0</v>
      </c>
      <c r="I41" s="125">
        <f t="shared" si="57"/>
        <v>0</v>
      </c>
      <c r="J41" s="118">
        <f t="shared" si="57"/>
        <v>0</v>
      </c>
      <c r="K41" s="118">
        <f t="shared" si="55"/>
        <v>0</v>
      </c>
      <c r="L41" s="118">
        <f t="shared" si="55"/>
        <v>0</v>
      </c>
      <c r="M41" s="118">
        <f t="shared" si="55"/>
        <v>0</v>
      </c>
      <c r="N41" s="118">
        <f t="shared" si="45"/>
        <v>0</v>
      </c>
      <c r="O41" s="131">
        <f t="shared" si="46"/>
        <v>0</v>
      </c>
      <c r="P41" s="737">
        <f t="shared" si="56"/>
        <v>0</v>
      </c>
      <c r="Q41" s="737"/>
      <c r="R41" s="737"/>
      <c r="S41" s="737"/>
      <c r="T41" s="737"/>
      <c r="U41" s="737"/>
      <c r="V41" s="737"/>
      <c r="W41" s="737"/>
      <c r="X41" s="737"/>
    </row>
    <row r="42" spans="1:29" s="602" customFormat="1" ht="18.75" customHeight="1" x14ac:dyDescent="0.2">
      <c r="A42" s="599" t="str">
        <f>A17</f>
        <v xml:space="preserve">       Kötelező teljesítés 2025.12.31.</v>
      </c>
      <c r="B42" s="621">
        <f>'2.működés'!C127</f>
        <v>231133</v>
      </c>
      <c r="C42" s="621">
        <f>'2.működés'!C130</f>
        <v>29666</v>
      </c>
      <c r="D42" s="621">
        <f>'2.működés'!C133</f>
        <v>25680</v>
      </c>
      <c r="E42" s="621"/>
      <c r="F42" s="621"/>
      <c r="G42" s="621"/>
      <c r="H42" s="621"/>
      <c r="I42" s="621"/>
      <c r="J42" s="622">
        <f>SUM(B42:I42)</f>
        <v>286479</v>
      </c>
      <c r="K42" s="621">
        <f>'3.felh'!C72</f>
        <v>349</v>
      </c>
      <c r="L42" s="621"/>
      <c r="M42" s="621"/>
      <c r="N42" s="618">
        <f>SUM(K42:M42)</f>
        <v>349</v>
      </c>
      <c r="O42" s="607">
        <f>J42+N42</f>
        <v>286828</v>
      </c>
      <c r="P42" s="734">
        <f>SUM(Q42:X42)</f>
        <v>30</v>
      </c>
      <c r="Q42" s="734">
        <v>0</v>
      </c>
      <c r="R42" s="734">
        <v>0</v>
      </c>
      <c r="S42" s="734">
        <v>0</v>
      </c>
      <c r="T42" s="734">
        <v>0</v>
      </c>
      <c r="U42" s="734">
        <v>3</v>
      </c>
      <c r="V42" s="734">
        <v>0</v>
      </c>
      <c r="W42" s="734">
        <v>26</v>
      </c>
      <c r="X42" s="734">
        <v>1</v>
      </c>
      <c r="Y42" s="66"/>
      <c r="Z42" s="66"/>
      <c r="AA42" s="66"/>
      <c r="AB42" s="66"/>
      <c r="AC42" s="66"/>
    </row>
    <row r="43" spans="1:29" s="66" customFormat="1" ht="20.25" customHeight="1" x14ac:dyDescent="0.2">
      <c r="A43" s="275" t="str">
        <f>A18</f>
        <v xml:space="preserve">       Kötelező (eredeti előirányzat 2026. év)</v>
      </c>
      <c r="B43" s="65">
        <f>SUM('7.finanszírozás.'!D110)</f>
        <v>299331</v>
      </c>
      <c r="C43" s="65">
        <f>SUM('7.finanszírozás.'!D118)</f>
        <v>40800</v>
      </c>
      <c r="D43" s="65">
        <f>SUM('7.finanszírozás.'!D126)</f>
        <v>30892</v>
      </c>
      <c r="E43" s="65"/>
      <c r="F43" s="65"/>
      <c r="G43" s="65"/>
      <c r="H43" s="65"/>
      <c r="I43" s="65"/>
      <c r="J43" s="129">
        <f>SUM(B43:I43)</f>
        <v>371023</v>
      </c>
      <c r="K43" s="65">
        <f>'7.finanszírozás.'!D134</f>
        <v>700</v>
      </c>
      <c r="L43" s="65"/>
      <c r="M43" s="65"/>
      <c r="N43" s="130">
        <f>SUM(K43:M43)</f>
        <v>700</v>
      </c>
      <c r="O43" s="276">
        <f>SUM(J43+N43)</f>
        <v>371723</v>
      </c>
      <c r="P43" s="735">
        <f>SUM(Q43:X43)</f>
        <v>29</v>
      </c>
      <c r="Q43" s="735">
        <v>0</v>
      </c>
      <c r="R43" s="735">
        <v>0</v>
      </c>
      <c r="S43" s="735">
        <v>0</v>
      </c>
      <c r="T43" s="735">
        <v>0</v>
      </c>
      <c r="U43" s="735">
        <v>3</v>
      </c>
      <c r="V43" s="735">
        <v>0</v>
      </c>
      <c r="W43" s="735">
        <v>25</v>
      </c>
      <c r="X43" s="735">
        <v>1</v>
      </c>
    </row>
    <row r="44" spans="1:29" s="66" customFormat="1" ht="19.5" hidden="1" customHeight="1" x14ac:dyDescent="0.2">
      <c r="A44" s="275" t="str">
        <f>'5.Bev.össz_'!A46</f>
        <v xml:space="preserve">       Kötelező (módosított előirányzat 2025.06. havi)</v>
      </c>
      <c r="B44" s="65">
        <f>SUM('7.finanszírozás.'!D111)</f>
        <v>297759</v>
      </c>
      <c r="C44" s="65">
        <f>SUM('7.finanszírozás.'!D119)</f>
        <v>40800</v>
      </c>
      <c r="D44" s="65">
        <f>SUM('7.finanszírozás.'!D127)</f>
        <v>30917</v>
      </c>
      <c r="E44" s="65"/>
      <c r="F44" s="65"/>
      <c r="G44" s="65"/>
      <c r="H44" s="65"/>
      <c r="I44" s="65"/>
      <c r="J44" s="129">
        <f t="shared" ref="J44:J49" si="58">SUM(B44:I44)</f>
        <v>369476</v>
      </c>
      <c r="K44" s="65">
        <f>'7.finanszírozás.'!D135</f>
        <v>700</v>
      </c>
      <c r="L44" s="65"/>
      <c r="M44" s="65"/>
      <c r="N44" s="130">
        <f t="shared" ref="N44:N49" si="59">SUM(K44:M44)</f>
        <v>700</v>
      </c>
      <c r="O44" s="276">
        <f t="shared" ref="O44:O49" si="60">SUM(J44+N44)</f>
        <v>370176</v>
      </c>
      <c r="P44" s="735">
        <f t="shared" ref="P44:P46" si="61">SUM(Q44:X44)</f>
        <v>31</v>
      </c>
      <c r="Q44" s="735">
        <v>0</v>
      </c>
      <c r="R44" s="735">
        <v>0</v>
      </c>
      <c r="S44" s="735">
        <v>0</v>
      </c>
      <c r="T44" s="735">
        <v>0</v>
      </c>
      <c r="U44" s="735">
        <v>3</v>
      </c>
      <c r="V44" s="735">
        <v>0</v>
      </c>
      <c r="W44" s="735">
        <v>27</v>
      </c>
      <c r="X44" s="735">
        <v>1</v>
      </c>
    </row>
    <row r="45" spans="1:29" s="66" customFormat="1" ht="15.75" hidden="1" customHeight="1" x14ac:dyDescent="0.2">
      <c r="A45" s="275" t="str">
        <f>'5.Bev.össz_'!A47</f>
        <v xml:space="preserve">       Kötelező (módosított előirányzat 2025.09.havi)</v>
      </c>
      <c r="B45" s="65">
        <f>SUM('7.finanszírozás.'!D112)</f>
        <v>0</v>
      </c>
      <c r="C45" s="65">
        <f>SUM('7.finanszírozás.'!D120)</f>
        <v>0</v>
      </c>
      <c r="D45" s="65">
        <f>SUM('7.finanszírozás.'!D128)</f>
        <v>0</v>
      </c>
      <c r="E45" s="65"/>
      <c r="F45" s="65"/>
      <c r="G45" s="65"/>
      <c r="H45" s="65"/>
      <c r="I45" s="65"/>
      <c r="J45" s="129">
        <f t="shared" ref="J45" si="62">SUM(B45:I45)</f>
        <v>0</v>
      </c>
      <c r="K45" s="65">
        <f>'7.finanszírozás.'!D136</f>
        <v>0</v>
      </c>
      <c r="L45" s="65"/>
      <c r="M45" s="65"/>
      <c r="N45" s="130">
        <f t="shared" ref="N45" si="63">SUM(K45:M45)</f>
        <v>0</v>
      </c>
      <c r="O45" s="276">
        <f t="shared" ref="O45" si="64">SUM(J45+N45)</f>
        <v>0</v>
      </c>
      <c r="P45" s="735">
        <f t="shared" si="61"/>
        <v>31</v>
      </c>
      <c r="Q45" s="735">
        <v>0</v>
      </c>
      <c r="R45" s="735">
        <v>0</v>
      </c>
      <c r="S45" s="735">
        <v>0</v>
      </c>
      <c r="T45" s="735">
        <v>0</v>
      </c>
      <c r="U45" s="735">
        <v>3</v>
      </c>
      <c r="V45" s="735">
        <v>0</v>
      </c>
      <c r="W45" s="735">
        <v>27</v>
      </c>
      <c r="X45" s="735">
        <v>1</v>
      </c>
    </row>
    <row r="46" spans="1:29" s="66" customFormat="1" ht="18" hidden="1" customHeight="1" x14ac:dyDescent="0.2">
      <c r="A46" s="275" t="str">
        <f>'5.Bev.össz_'!A48</f>
        <v xml:space="preserve">       Kötelező (módosított előirányzat 2025.12.havi)</v>
      </c>
      <c r="B46" s="65">
        <f>SUM('7.finanszírozás.'!D113)</f>
        <v>0</v>
      </c>
      <c r="C46" s="65">
        <f>SUM('7.finanszírozás.'!D121)</f>
        <v>0</v>
      </c>
      <c r="D46" s="65">
        <f>SUM('7.finanszírozás.'!D129)</f>
        <v>0</v>
      </c>
      <c r="E46" s="65"/>
      <c r="F46" s="65"/>
      <c r="G46" s="65"/>
      <c r="H46" s="65"/>
      <c r="I46" s="65"/>
      <c r="J46" s="129">
        <f t="shared" si="58"/>
        <v>0</v>
      </c>
      <c r="K46" s="65">
        <f>'7.finanszírozás.'!D137</f>
        <v>0</v>
      </c>
      <c r="L46" s="65"/>
      <c r="M46" s="65"/>
      <c r="N46" s="130">
        <f t="shared" si="59"/>
        <v>0</v>
      </c>
      <c r="O46" s="276">
        <f t="shared" si="60"/>
        <v>0</v>
      </c>
      <c r="P46" s="735">
        <f t="shared" si="61"/>
        <v>30</v>
      </c>
      <c r="Q46" s="735">
        <v>0</v>
      </c>
      <c r="R46" s="735">
        <v>0</v>
      </c>
      <c r="S46" s="735">
        <v>0</v>
      </c>
      <c r="T46" s="735">
        <v>0</v>
      </c>
      <c r="U46" s="735">
        <v>4</v>
      </c>
      <c r="V46" s="735">
        <v>0</v>
      </c>
      <c r="W46" s="735">
        <v>25</v>
      </c>
      <c r="X46" s="735">
        <v>1</v>
      </c>
    </row>
    <row r="47" spans="1:29" s="66" customFormat="1" ht="18" hidden="1" customHeight="1" x14ac:dyDescent="0.2">
      <c r="A47" s="275" t="str">
        <f>'5.Bev.össz_'!A49</f>
        <v xml:space="preserve">       Kötelező (módosított előirányzat 2025.12.31)</v>
      </c>
      <c r="B47" s="65">
        <f>SUM('7.finanszírozás.'!D114)</f>
        <v>0</v>
      </c>
      <c r="C47" s="65">
        <f>SUM('7.finanszírozás.'!D122)</f>
        <v>0</v>
      </c>
      <c r="D47" s="65">
        <f>SUM('7.finanszírozás.'!D130)</f>
        <v>0</v>
      </c>
      <c r="E47" s="65"/>
      <c r="F47" s="65"/>
      <c r="G47" s="65"/>
      <c r="H47" s="65"/>
      <c r="I47" s="65"/>
      <c r="J47" s="129">
        <f t="shared" ref="J47" si="65">SUM(B47:I47)</f>
        <v>0</v>
      </c>
      <c r="K47" s="65">
        <f>'7.finanszírozás.'!D138</f>
        <v>0</v>
      </c>
      <c r="L47" s="65"/>
      <c r="M47" s="65"/>
      <c r="N47" s="130">
        <f t="shared" ref="N47" si="66">SUM(K47:M47)</f>
        <v>0</v>
      </c>
      <c r="O47" s="276">
        <f t="shared" ref="O47" si="67">SUM(J47+N47)</f>
        <v>0</v>
      </c>
      <c r="P47" s="735">
        <f t="shared" ref="P47" si="68">SUM(Q47:X47)</f>
        <v>30</v>
      </c>
      <c r="Q47" s="735">
        <v>0</v>
      </c>
      <c r="R47" s="735">
        <v>0</v>
      </c>
      <c r="S47" s="735">
        <v>0</v>
      </c>
      <c r="T47" s="735">
        <v>0</v>
      </c>
      <c r="U47" s="735">
        <v>4</v>
      </c>
      <c r="V47" s="735">
        <v>0</v>
      </c>
      <c r="W47" s="735">
        <v>25</v>
      </c>
      <c r="X47" s="735">
        <v>1</v>
      </c>
    </row>
    <row r="48" spans="1:29" s="66" customFormat="1" ht="15" hidden="1" x14ac:dyDescent="0.2">
      <c r="A48" s="275">
        <f>'5.Bev.össz_'!A50</f>
        <v>0</v>
      </c>
      <c r="B48" s="65">
        <f>SUM('7.finanszírozás.'!D115)</f>
        <v>0</v>
      </c>
      <c r="C48" s="65">
        <f>SUM('7.finanszírozás.'!D123)</f>
        <v>0</v>
      </c>
      <c r="D48" s="65">
        <f>SUM('7.finanszírozás.'!D131)</f>
        <v>0</v>
      </c>
      <c r="E48" s="65"/>
      <c r="F48" s="65">
        <f>'7.finanszírozás.'!D155</f>
        <v>0</v>
      </c>
      <c r="G48" s="65"/>
      <c r="H48" s="65"/>
      <c r="I48" s="65"/>
      <c r="J48" s="129">
        <f t="shared" si="58"/>
        <v>0</v>
      </c>
      <c r="K48" s="65">
        <f>'7.finanszírozás.'!D139</f>
        <v>0</v>
      </c>
      <c r="L48" s="65"/>
      <c r="M48" s="65"/>
      <c r="N48" s="130">
        <f t="shared" si="59"/>
        <v>0</v>
      </c>
      <c r="O48" s="276">
        <f t="shared" si="60"/>
        <v>0</v>
      </c>
      <c r="P48" s="735">
        <f t="shared" ref="P48:P49" si="69">SUM(Q48:V48)</f>
        <v>0</v>
      </c>
      <c r="Q48" s="735"/>
      <c r="R48" s="735"/>
      <c r="S48" s="735"/>
      <c r="T48" s="735"/>
      <c r="U48" s="735"/>
      <c r="V48" s="735"/>
      <c r="W48" s="735"/>
      <c r="X48" s="735"/>
    </row>
    <row r="49" spans="1:29" s="66" customFormat="1" ht="15" hidden="1" x14ac:dyDescent="0.2">
      <c r="A49" s="275" t="str">
        <f>'5.Bev.össz_'!A51</f>
        <v xml:space="preserve">       Teljesítés 2025.12.31.</v>
      </c>
      <c r="B49" s="65">
        <f>SUM('7.finanszírozás.'!D116)</f>
        <v>0</v>
      </c>
      <c r="C49" s="65">
        <f>SUM('7.finanszírozás.'!D124)</f>
        <v>0</v>
      </c>
      <c r="D49" s="65">
        <f>SUM('7.finanszírozás.'!D132)</f>
        <v>0</v>
      </c>
      <c r="E49" s="65"/>
      <c r="F49" s="65"/>
      <c r="G49" s="65"/>
      <c r="H49" s="65"/>
      <c r="I49" s="65"/>
      <c r="J49" s="129">
        <f t="shared" si="58"/>
        <v>0</v>
      </c>
      <c r="K49" s="65">
        <f>'7.finanszírozás.'!D140</f>
        <v>0</v>
      </c>
      <c r="L49" s="65"/>
      <c r="M49" s="65"/>
      <c r="N49" s="130">
        <f t="shared" si="59"/>
        <v>0</v>
      </c>
      <c r="O49" s="276">
        <f t="shared" si="60"/>
        <v>0</v>
      </c>
      <c r="P49" s="735">
        <f t="shared" si="69"/>
        <v>0</v>
      </c>
      <c r="Q49" s="735"/>
      <c r="R49" s="735"/>
      <c r="S49" s="735"/>
      <c r="T49" s="735"/>
      <c r="U49" s="735"/>
      <c r="V49" s="735"/>
      <c r="W49" s="735"/>
      <c r="X49" s="735"/>
    </row>
    <row r="50" spans="1:29" s="66" customFormat="1" ht="18.75" customHeight="1" x14ac:dyDescent="0.2">
      <c r="A50" s="275" t="str">
        <f>'5.Bev.össz_'!A52</f>
        <v xml:space="preserve">       Önként vállalt (eredeti előirányzat 2026. év)</v>
      </c>
      <c r="B50" s="65"/>
      <c r="C50" s="65"/>
      <c r="D50" s="65"/>
      <c r="E50" s="65"/>
      <c r="F50" s="65"/>
      <c r="G50" s="65"/>
      <c r="H50" s="65"/>
      <c r="I50" s="65"/>
      <c r="J50" s="129"/>
      <c r="K50" s="65"/>
      <c r="L50" s="65"/>
      <c r="M50" s="65"/>
      <c r="N50" s="130"/>
      <c r="O50" s="276"/>
      <c r="P50" s="735"/>
      <c r="Q50" s="735"/>
      <c r="R50" s="735"/>
      <c r="S50" s="735"/>
      <c r="T50" s="735"/>
      <c r="U50" s="735"/>
      <c r="V50" s="735"/>
      <c r="W50" s="735"/>
      <c r="X50" s="735"/>
    </row>
    <row r="51" spans="1:29" s="66" customFormat="1" ht="18.75" customHeight="1" thickBot="1" x14ac:dyDescent="0.25">
      <c r="A51" s="275" t="str">
        <f>'5.Bev.össz_'!A53</f>
        <v xml:space="preserve">       Államigazgatási feladatok (eredeti előirányzat 2026. év)</v>
      </c>
      <c r="B51" s="354"/>
      <c r="C51" s="354"/>
      <c r="D51" s="354"/>
      <c r="E51" s="354"/>
      <c r="F51" s="354"/>
      <c r="G51" s="354"/>
      <c r="H51" s="354"/>
      <c r="I51" s="354"/>
      <c r="J51" s="353"/>
      <c r="K51" s="354"/>
      <c r="L51" s="354"/>
      <c r="M51" s="354"/>
      <c r="N51" s="353"/>
      <c r="O51" s="352"/>
      <c r="P51" s="735"/>
      <c r="Q51" s="735"/>
      <c r="R51" s="735"/>
      <c r="S51" s="735"/>
      <c r="T51" s="735"/>
      <c r="U51" s="735"/>
      <c r="V51" s="735"/>
      <c r="W51" s="735"/>
      <c r="X51" s="735"/>
    </row>
    <row r="52" spans="1:29" s="602" customFormat="1" ht="18" customHeight="1" thickBot="1" x14ac:dyDescent="0.25">
      <c r="A52" s="623" t="s">
        <v>1019</v>
      </c>
      <c r="B52" s="611">
        <f>B9+B34</f>
        <v>308647</v>
      </c>
      <c r="C52" s="611">
        <f t="shared" ref="C52:N52" si="70">C9+C34</f>
        <v>38354</v>
      </c>
      <c r="D52" s="611">
        <f t="shared" si="70"/>
        <v>350568</v>
      </c>
      <c r="E52" s="611">
        <f t="shared" si="70"/>
        <v>6186</v>
      </c>
      <c r="F52" s="611">
        <f t="shared" si="70"/>
        <v>707464</v>
      </c>
      <c r="G52" s="611">
        <f t="shared" si="70"/>
        <v>240067</v>
      </c>
      <c r="H52" s="611">
        <f t="shared" si="70"/>
        <v>115874</v>
      </c>
      <c r="I52" s="611">
        <f t="shared" si="70"/>
        <v>0</v>
      </c>
      <c r="J52" s="611">
        <f t="shared" si="70"/>
        <v>1767160</v>
      </c>
      <c r="K52" s="611">
        <f t="shared" si="70"/>
        <v>188483</v>
      </c>
      <c r="L52" s="611">
        <f t="shared" si="70"/>
        <v>172659</v>
      </c>
      <c r="M52" s="611">
        <f t="shared" si="70"/>
        <v>0</v>
      </c>
      <c r="N52" s="611">
        <f t="shared" si="70"/>
        <v>361142</v>
      </c>
      <c r="O52" s="612">
        <f>O9+O34</f>
        <v>2128302</v>
      </c>
      <c r="P52" s="736">
        <f>P9+P34</f>
        <v>42</v>
      </c>
      <c r="Q52" s="736">
        <f>Q9+Q34</f>
        <v>1</v>
      </c>
      <c r="R52" s="736">
        <f t="shared" ref="R52:X52" si="71">R9+R34</f>
        <v>2</v>
      </c>
      <c r="S52" s="736">
        <f t="shared" si="71"/>
        <v>4</v>
      </c>
      <c r="T52" s="736">
        <f t="shared" si="71"/>
        <v>3</v>
      </c>
      <c r="U52" s="736">
        <f t="shared" si="71"/>
        <v>5</v>
      </c>
      <c r="V52" s="736">
        <f t="shared" si="71"/>
        <v>0</v>
      </c>
      <c r="W52" s="736">
        <f t="shared" si="71"/>
        <v>26</v>
      </c>
      <c r="X52" s="736">
        <f t="shared" si="71"/>
        <v>1</v>
      </c>
      <c r="Y52" s="66"/>
      <c r="Z52" s="66">
        <v>240067</v>
      </c>
      <c r="AA52" s="66"/>
      <c r="AB52" s="66"/>
      <c r="AC52" s="66"/>
    </row>
    <row r="53" spans="1:29" s="66" customFormat="1" ht="23.25" customHeight="1" thickBot="1" x14ac:dyDescent="0.25">
      <c r="A53" s="126" t="str">
        <f>'5.Bev.össz_'!A55</f>
        <v>Önk.mindösszesen (eredeti előirányzat 2026. év)</v>
      </c>
      <c r="B53" s="127">
        <f t="shared" ref="B53:O53" si="72">SUM(B10+B35)</f>
        <v>373342</v>
      </c>
      <c r="C53" s="127">
        <f t="shared" si="72"/>
        <v>49611</v>
      </c>
      <c r="D53" s="127">
        <f t="shared" si="72"/>
        <v>622852</v>
      </c>
      <c r="E53" s="127">
        <f t="shared" si="72"/>
        <v>20000</v>
      </c>
      <c r="F53" s="127">
        <f t="shared" si="72"/>
        <v>741989</v>
      </c>
      <c r="G53" s="127">
        <f t="shared" si="72"/>
        <v>303813</v>
      </c>
      <c r="H53" s="127">
        <f t="shared" si="72"/>
        <v>121786</v>
      </c>
      <c r="I53" s="127">
        <f t="shared" si="72"/>
        <v>76000</v>
      </c>
      <c r="J53" s="127">
        <f t="shared" si="72"/>
        <v>2309393</v>
      </c>
      <c r="K53" s="127">
        <f t="shared" si="72"/>
        <v>744562</v>
      </c>
      <c r="L53" s="127">
        <f t="shared" si="72"/>
        <v>329676</v>
      </c>
      <c r="M53" s="127">
        <f t="shared" si="72"/>
        <v>0</v>
      </c>
      <c r="N53" s="127">
        <f t="shared" si="72"/>
        <v>1074238</v>
      </c>
      <c r="O53" s="128">
        <f t="shared" si="72"/>
        <v>3383631</v>
      </c>
      <c r="P53" s="737">
        <f t="shared" ref="P53:X53" si="73">P10+P35</f>
        <v>41</v>
      </c>
      <c r="Q53" s="737">
        <f t="shared" si="73"/>
        <v>1</v>
      </c>
      <c r="R53" s="737">
        <f t="shared" si="73"/>
        <v>2</v>
      </c>
      <c r="S53" s="737">
        <f t="shared" si="73"/>
        <v>4</v>
      </c>
      <c r="T53" s="737">
        <f t="shared" si="73"/>
        <v>3</v>
      </c>
      <c r="U53" s="737">
        <f t="shared" si="73"/>
        <v>5</v>
      </c>
      <c r="V53" s="737">
        <f t="shared" si="73"/>
        <v>0</v>
      </c>
      <c r="W53" s="737">
        <f t="shared" si="73"/>
        <v>25</v>
      </c>
      <c r="X53" s="737">
        <f t="shared" si="73"/>
        <v>1</v>
      </c>
      <c r="Z53" s="366">
        <f>O52-Z52</f>
        <v>1888235</v>
      </c>
    </row>
    <row r="54" spans="1:29" s="66" customFormat="1" ht="32.25" hidden="1" thickBot="1" x14ac:dyDescent="0.25">
      <c r="A54" s="126" t="str">
        <f>'5.Bev.össz_'!A56</f>
        <v>Önk.mindösszesen (módosított ei. 2025.06. havi)</v>
      </c>
      <c r="B54" s="127">
        <f t="shared" ref="B54:O54" si="74">SUM(B11+B36)</f>
        <v>372144</v>
      </c>
      <c r="C54" s="127">
        <f t="shared" si="74"/>
        <v>49681</v>
      </c>
      <c r="D54" s="127">
        <f t="shared" si="74"/>
        <v>475584</v>
      </c>
      <c r="E54" s="127">
        <f t="shared" si="74"/>
        <v>20000</v>
      </c>
      <c r="F54" s="127">
        <f t="shared" si="74"/>
        <v>754719</v>
      </c>
      <c r="G54" s="127">
        <f t="shared" si="74"/>
        <v>303813</v>
      </c>
      <c r="H54" s="127">
        <f t="shared" si="74"/>
        <v>129241</v>
      </c>
      <c r="I54" s="127">
        <f t="shared" si="74"/>
        <v>161402</v>
      </c>
      <c r="J54" s="127">
        <f t="shared" si="74"/>
        <v>2266584</v>
      </c>
      <c r="K54" s="127">
        <f t="shared" si="74"/>
        <v>745340</v>
      </c>
      <c r="L54" s="127">
        <f t="shared" si="74"/>
        <v>276343</v>
      </c>
      <c r="M54" s="127">
        <f t="shared" si="74"/>
        <v>22225</v>
      </c>
      <c r="N54" s="127">
        <f t="shared" si="74"/>
        <v>1043908</v>
      </c>
      <c r="O54" s="128">
        <f t="shared" si="74"/>
        <v>3310492</v>
      </c>
      <c r="P54" s="278">
        <f t="shared" ref="P54:X54" si="75">P11+P36</f>
        <v>43</v>
      </c>
      <c r="Q54" s="278">
        <f t="shared" si="75"/>
        <v>1</v>
      </c>
      <c r="R54" s="278">
        <f t="shared" si="75"/>
        <v>2</v>
      </c>
      <c r="S54" s="278">
        <f t="shared" si="75"/>
        <v>4</v>
      </c>
      <c r="T54" s="278">
        <f t="shared" si="75"/>
        <v>3</v>
      </c>
      <c r="U54" s="278">
        <f t="shared" si="75"/>
        <v>5</v>
      </c>
      <c r="V54" s="278">
        <f t="shared" si="75"/>
        <v>0</v>
      </c>
      <c r="W54" s="278">
        <f t="shared" si="75"/>
        <v>27</v>
      </c>
      <c r="X54" s="278">
        <f t="shared" si="75"/>
        <v>1</v>
      </c>
    </row>
    <row r="55" spans="1:29" s="66" customFormat="1" ht="29.25" hidden="1" customHeight="1" thickBot="1" x14ac:dyDescent="0.25">
      <c r="A55" s="126" t="str">
        <f>'5.Bev.össz_'!A57</f>
        <v>Önk.mindösszesen (módosított ei. 2025.09. havi)</v>
      </c>
      <c r="B55" s="127">
        <f t="shared" ref="B55:O55" si="76">SUM(B12+B37)</f>
        <v>0</v>
      </c>
      <c r="C55" s="127">
        <f t="shared" si="76"/>
        <v>0</v>
      </c>
      <c r="D55" s="127">
        <f t="shared" si="76"/>
        <v>0</v>
      </c>
      <c r="E55" s="127">
        <f t="shared" si="76"/>
        <v>0</v>
      </c>
      <c r="F55" s="127">
        <f t="shared" si="76"/>
        <v>0</v>
      </c>
      <c r="G55" s="127">
        <f t="shared" si="76"/>
        <v>-5597</v>
      </c>
      <c r="H55" s="127">
        <f t="shared" si="76"/>
        <v>0</v>
      </c>
      <c r="I55" s="127">
        <f t="shared" si="76"/>
        <v>0</v>
      </c>
      <c r="J55" s="127">
        <f t="shared" si="76"/>
        <v>-5597</v>
      </c>
      <c r="K55" s="127">
        <f t="shared" si="76"/>
        <v>0</v>
      </c>
      <c r="L55" s="127">
        <f t="shared" si="76"/>
        <v>0</v>
      </c>
      <c r="M55" s="127">
        <f t="shared" si="76"/>
        <v>0</v>
      </c>
      <c r="N55" s="127">
        <f t="shared" si="76"/>
        <v>0</v>
      </c>
      <c r="O55" s="128">
        <f t="shared" si="76"/>
        <v>-5597</v>
      </c>
      <c r="P55" s="278">
        <f t="shared" ref="P55:X55" si="77">P12+P37</f>
        <v>43</v>
      </c>
      <c r="Q55" s="278">
        <f t="shared" si="77"/>
        <v>1</v>
      </c>
      <c r="R55" s="278">
        <f t="shared" si="77"/>
        <v>2</v>
      </c>
      <c r="S55" s="278">
        <f t="shared" si="77"/>
        <v>4</v>
      </c>
      <c r="T55" s="278">
        <f t="shared" si="77"/>
        <v>3</v>
      </c>
      <c r="U55" s="278">
        <f t="shared" si="77"/>
        <v>5</v>
      </c>
      <c r="V55" s="278">
        <f t="shared" si="77"/>
        <v>0</v>
      </c>
      <c r="W55" s="278">
        <f t="shared" si="77"/>
        <v>27</v>
      </c>
      <c r="X55" s="278">
        <f t="shared" si="77"/>
        <v>1</v>
      </c>
    </row>
    <row r="56" spans="1:29" s="66" customFormat="1" ht="24" hidden="1" customHeight="1" thickBot="1" x14ac:dyDescent="0.25">
      <c r="A56" s="126" t="str">
        <f>'5.Bev.össz_'!A58</f>
        <v>Önk.mindösszesen (módosított ei. 2025.12. havi)</v>
      </c>
      <c r="B56" s="127">
        <f t="shared" ref="B56:O57" si="78">SUM(B13+B38)</f>
        <v>0</v>
      </c>
      <c r="C56" s="127">
        <f t="shared" si="78"/>
        <v>0</v>
      </c>
      <c r="D56" s="127">
        <f t="shared" si="78"/>
        <v>0</v>
      </c>
      <c r="E56" s="127">
        <f t="shared" si="78"/>
        <v>0</v>
      </c>
      <c r="F56" s="127">
        <f t="shared" si="78"/>
        <v>0</v>
      </c>
      <c r="G56" s="127">
        <f t="shared" si="78"/>
        <v>-5597</v>
      </c>
      <c r="H56" s="127">
        <f t="shared" si="78"/>
        <v>0</v>
      </c>
      <c r="I56" s="127">
        <f t="shared" si="78"/>
        <v>0</v>
      </c>
      <c r="J56" s="127">
        <f t="shared" si="78"/>
        <v>-5597</v>
      </c>
      <c r="K56" s="127">
        <f t="shared" si="78"/>
        <v>0</v>
      </c>
      <c r="L56" s="127">
        <f t="shared" si="78"/>
        <v>0</v>
      </c>
      <c r="M56" s="127">
        <f t="shared" si="78"/>
        <v>0</v>
      </c>
      <c r="N56" s="127">
        <f t="shared" si="78"/>
        <v>0</v>
      </c>
      <c r="O56" s="128">
        <f t="shared" si="78"/>
        <v>-5597</v>
      </c>
      <c r="P56" s="278">
        <f t="shared" ref="P56:X56" si="79">P13+P38</f>
        <v>42</v>
      </c>
      <c r="Q56" s="278">
        <f t="shared" si="79"/>
        <v>1</v>
      </c>
      <c r="R56" s="278">
        <f t="shared" si="79"/>
        <v>2</v>
      </c>
      <c r="S56" s="278">
        <f t="shared" si="79"/>
        <v>4</v>
      </c>
      <c r="T56" s="278">
        <f t="shared" si="79"/>
        <v>3</v>
      </c>
      <c r="U56" s="278">
        <f t="shared" si="79"/>
        <v>6</v>
      </c>
      <c r="V56" s="278">
        <f t="shared" si="79"/>
        <v>0</v>
      </c>
      <c r="W56" s="278">
        <f t="shared" si="79"/>
        <v>25</v>
      </c>
      <c r="X56" s="278">
        <f t="shared" si="79"/>
        <v>1</v>
      </c>
    </row>
    <row r="57" spans="1:29" s="66" customFormat="1" ht="24" hidden="1" customHeight="1" thickBot="1" x14ac:dyDescent="0.25">
      <c r="A57" s="126" t="str">
        <f>'5.Bev.össz_'!A59</f>
        <v>Önk.mindösszesen (módosított ei. 2025.12.31)</v>
      </c>
      <c r="B57" s="127">
        <f t="shared" si="78"/>
        <v>0</v>
      </c>
      <c r="C57" s="127">
        <f t="shared" si="78"/>
        <v>0</v>
      </c>
      <c r="D57" s="127">
        <f t="shared" si="78"/>
        <v>0</v>
      </c>
      <c r="E57" s="127">
        <f t="shared" si="78"/>
        <v>0</v>
      </c>
      <c r="F57" s="127">
        <f t="shared" si="78"/>
        <v>0</v>
      </c>
      <c r="G57" s="127">
        <f t="shared" si="78"/>
        <v>-5597</v>
      </c>
      <c r="H57" s="127">
        <f t="shared" si="78"/>
        <v>0</v>
      </c>
      <c r="I57" s="127">
        <f t="shared" si="78"/>
        <v>0</v>
      </c>
      <c r="J57" s="127">
        <f t="shared" si="78"/>
        <v>-5597</v>
      </c>
      <c r="K57" s="127">
        <f t="shared" si="78"/>
        <v>0</v>
      </c>
      <c r="L57" s="127">
        <f t="shared" si="78"/>
        <v>0</v>
      </c>
      <c r="M57" s="127">
        <f t="shared" si="78"/>
        <v>0</v>
      </c>
      <c r="N57" s="127">
        <f t="shared" si="78"/>
        <v>0</v>
      </c>
      <c r="O57" s="128">
        <f t="shared" si="78"/>
        <v>-5597</v>
      </c>
      <c r="P57" s="278">
        <f t="shared" ref="P57:X57" si="80">P14+P39</f>
        <v>42</v>
      </c>
      <c r="Q57" s="278">
        <f t="shared" si="80"/>
        <v>1</v>
      </c>
      <c r="R57" s="278">
        <f t="shared" si="80"/>
        <v>2</v>
      </c>
      <c r="S57" s="278">
        <f t="shared" si="80"/>
        <v>4</v>
      </c>
      <c r="T57" s="278">
        <f t="shared" si="80"/>
        <v>3</v>
      </c>
      <c r="U57" s="278">
        <f t="shared" si="80"/>
        <v>6</v>
      </c>
      <c r="V57" s="278">
        <f t="shared" si="80"/>
        <v>0</v>
      </c>
      <c r="W57" s="278">
        <f t="shared" si="80"/>
        <v>25</v>
      </c>
      <c r="X57" s="278">
        <f t="shared" si="80"/>
        <v>1</v>
      </c>
    </row>
    <row r="58" spans="1:29" s="66" customFormat="1" ht="24" hidden="1" customHeight="1" thickBot="1" x14ac:dyDescent="0.25">
      <c r="A58" s="126">
        <f>'5.Bev.össz_'!A60</f>
        <v>0</v>
      </c>
      <c r="B58" s="127">
        <f t="shared" ref="B58:O58" si="81">SUM(B15+B40)</f>
        <v>0</v>
      </c>
      <c r="C58" s="127">
        <f t="shared" si="81"/>
        <v>0</v>
      </c>
      <c r="D58" s="127">
        <f t="shared" si="81"/>
        <v>0</v>
      </c>
      <c r="E58" s="127">
        <f t="shared" si="81"/>
        <v>0</v>
      </c>
      <c r="F58" s="127">
        <f t="shared" si="81"/>
        <v>0</v>
      </c>
      <c r="G58" s="127">
        <f t="shared" si="81"/>
        <v>0</v>
      </c>
      <c r="H58" s="127">
        <f t="shared" si="81"/>
        <v>0</v>
      </c>
      <c r="I58" s="127">
        <f t="shared" si="81"/>
        <v>0</v>
      </c>
      <c r="J58" s="127">
        <f t="shared" si="81"/>
        <v>0</v>
      </c>
      <c r="K58" s="127">
        <f t="shared" si="81"/>
        <v>0</v>
      </c>
      <c r="L58" s="127">
        <f t="shared" si="81"/>
        <v>0</v>
      </c>
      <c r="M58" s="127">
        <f t="shared" si="81"/>
        <v>0</v>
      </c>
      <c r="N58" s="127">
        <f t="shared" si="81"/>
        <v>0</v>
      </c>
      <c r="O58" s="128">
        <f t="shared" si="81"/>
        <v>0</v>
      </c>
      <c r="P58" s="278">
        <f t="shared" ref="P58:X58" si="82">P15+P40</f>
        <v>0</v>
      </c>
      <c r="Q58" s="278">
        <f t="shared" si="82"/>
        <v>0</v>
      </c>
      <c r="R58" s="278">
        <f t="shared" si="82"/>
        <v>0</v>
      </c>
      <c r="S58" s="278">
        <f t="shared" si="82"/>
        <v>0</v>
      </c>
      <c r="T58" s="278">
        <f t="shared" si="82"/>
        <v>0</v>
      </c>
      <c r="U58" s="278">
        <f t="shared" si="82"/>
        <v>0</v>
      </c>
      <c r="V58" s="278">
        <f t="shared" si="82"/>
        <v>0</v>
      </c>
      <c r="W58" s="278">
        <f t="shared" si="82"/>
        <v>0</v>
      </c>
      <c r="X58" s="278">
        <f t="shared" si="82"/>
        <v>0</v>
      </c>
    </row>
    <row r="59" spans="1:29" s="66" customFormat="1" ht="15.75" hidden="1" customHeight="1" thickBot="1" x14ac:dyDescent="0.25">
      <c r="A59" s="126" t="str">
        <f>'5.Bev.össz_'!A61</f>
        <v>Önk.mindösszesen (Teljesítés 2025.12.31.)</v>
      </c>
      <c r="B59" s="127">
        <f t="shared" ref="B59:O59" si="83">SUM(B16+B41)</f>
        <v>0</v>
      </c>
      <c r="C59" s="127">
        <f t="shared" si="83"/>
        <v>0</v>
      </c>
      <c r="D59" s="127">
        <f t="shared" si="83"/>
        <v>0</v>
      </c>
      <c r="E59" s="127">
        <f t="shared" si="83"/>
        <v>0</v>
      </c>
      <c r="F59" s="127">
        <f t="shared" si="83"/>
        <v>0</v>
      </c>
      <c r="G59" s="127">
        <f t="shared" si="83"/>
        <v>246788</v>
      </c>
      <c r="H59" s="127">
        <f t="shared" si="83"/>
        <v>0</v>
      </c>
      <c r="I59" s="127">
        <f t="shared" si="83"/>
        <v>0</v>
      </c>
      <c r="J59" s="127">
        <f t="shared" si="83"/>
        <v>246788</v>
      </c>
      <c r="K59" s="127">
        <f t="shared" si="83"/>
        <v>0</v>
      </c>
      <c r="L59" s="127">
        <f t="shared" si="83"/>
        <v>0</v>
      </c>
      <c r="M59" s="127">
        <f t="shared" si="83"/>
        <v>0</v>
      </c>
      <c r="N59" s="127">
        <f t="shared" si="83"/>
        <v>0</v>
      </c>
      <c r="O59" s="128">
        <f t="shared" si="83"/>
        <v>246788</v>
      </c>
      <c r="P59" s="278">
        <f t="shared" ref="P59:X59" si="84">P16+P41</f>
        <v>0</v>
      </c>
      <c r="Q59" s="278">
        <f t="shared" si="84"/>
        <v>0</v>
      </c>
      <c r="R59" s="278">
        <f t="shared" si="84"/>
        <v>0</v>
      </c>
      <c r="S59" s="278">
        <f t="shared" si="84"/>
        <v>0</v>
      </c>
      <c r="T59" s="278">
        <f t="shared" si="84"/>
        <v>0</v>
      </c>
      <c r="U59" s="278">
        <f t="shared" si="84"/>
        <v>0</v>
      </c>
      <c r="V59" s="278">
        <f t="shared" si="84"/>
        <v>0</v>
      </c>
      <c r="W59" s="278">
        <f t="shared" si="84"/>
        <v>0</v>
      </c>
      <c r="X59" s="278">
        <f t="shared" si="84"/>
        <v>0</v>
      </c>
    </row>
    <row r="60" spans="1:29" x14ac:dyDescent="0.2">
      <c r="A60" s="68" t="s">
        <v>372</v>
      </c>
      <c r="O60" s="63">
        <f>SUM('7.finanszírozás.'!F101)</f>
        <v>-303813</v>
      </c>
      <c r="Y60" s="66"/>
      <c r="Z60" s="366">
        <f>'1.Bev-kiad.'!C91</f>
        <v>1888235</v>
      </c>
      <c r="AA60" s="66"/>
      <c r="AB60" s="66"/>
      <c r="AC60" s="66"/>
    </row>
    <row r="61" spans="1:29" x14ac:dyDescent="0.2">
      <c r="A61" s="68" t="s">
        <v>376</v>
      </c>
      <c r="O61" s="367">
        <f>SUM(O53+O60)</f>
        <v>3079818</v>
      </c>
      <c r="Y61" s="66"/>
      <c r="Z61" s="66"/>
      <c r="AA61" s="66"/>
      <c r="AB61" s="66"/>
      <c r="AC61" s="66"/>
    </row>
    <row r="62" spans="1:29" x14ac:dyDescent="0.2">
      <c r="Y62" s="66"/>
      <c r="Z62" s="66"/>
      <c r="AA62" s="66"/>
      <c r="AB62" s="66"/>
      <c r="AC62" s="66"/>
    </row>
    <row r="63" spans="1:29" hidden="1" x14ac:dyDescent="0.2">
      <c r="O63" s="63">
        <f>O61-'5.Bev.össz_'!M63</f>
        <v>0</v>
      </c>
      <c r="Y63" s="66"/>
      <c r="Z63" s="66"/>
      <c r="AA63" s="66"/>
      <c r="AB63" s="66"/>
      <c r="AC63" s="66"/>
    </row>
    <row r="64" spans="1:29" x14ac:dyDescent="0.2">
      <c r="Y64" s="66"/>
      <c r="Z64" s="66"/>
      <c r="AA64" s="66"/>
      <c r="AB64" s="66"/>
      <c r="AC64" s="66"/>
    </row>
    <row r="65" spans="4:29" x14ac:dyDescent="0.2">
      <c r="Y65" s="66"/>
      <c r="Z65" s="66"/>
      <c r="AA65" s="66"/>
      <c r="AB65" s="66"/>
      <c r="AC65" s="66"/>
    </row>
    <row r="66" spans="4:29" x14ac:dyDescent="0.2">
      <c r="Y66" s="66"/>
      <c r="Z66" s="66"/>
      <c r="AA66" s="66"/>
      <c r="AB66" s="66"/>
      <c r="AC66" s="66"/>
    </row>
    <row r="67" spans="4:29" x14ac:dyDescent="0.2">
      <c r="Y67" s="66"/>
      <c r="Z67" s="66"/>
      <c r="AA67" s="66"/>
      <c r="AB67" s="66"/>
      <c r="AC67" s="66"/>
    </row>
    <row r="68" spans="4:29" x14ac:dyDescent="0.2">
      <c r="Y68" s="66"/>
      <c r="Z68" s="66"/>
      <c r="AA68" s="66"/>
      <c r="AB68" s="66"/>
      <c r="AC68" s="66"/>
    </row>
    <row r="69" spans="4:29" x14ac:dyDescent="0.2">
      <c r="Y69" s="66"/>
      <c r="Z69" s="66"/>
      <c r="AA69" s="66"/>
      <c r="AB69" s="66"/>
      <c r="AC69" s="66"/>
    </row>
    <row r="70" spans="4:29" x14ac:dyDescent="0.2">
      <c r="Y70" s="66"/>
      <c r="Z70" s="66"/>
      <c r="AA70" s="66"/>
      <c r="AB70" s="66"/>
      <c r="AC70" s="66"/>
    </row>
    <row r="71" spans="4:29" x14ac:dyDescent="0.2">
      <c r="D71" s="63" t="s">
        <v>498</v>
      </c>
      <c r="Y71" s="66"/>
      <c r="Z71" s="66"/>
      <c r="AA71" s="66"/>
      <c r="AB71" s="66"/>
      <c r="AC71" s="66"/>
    </row>
  </sheetData>
  <mergeCells count="26">
    <mergeCell ref="T6:T8"/>
    <mergeCell ref="V6:V8"/>
    <mergeCell ref="R6:R8"/>
    <mergeCell ref="U6:U8"/>
    <mergeCell ref="K7:K8"/>
    <mergeCell ref="L7:L8"/>
    <mergeCell ref="M7:M8"/>
    <mergeCell ref="P6:P8"/>
    <mergeCell ref="S6:S8"/>
    <mergeCell ref="Q6:Q8"/>
    <mergeCell ref="W6:W8"/>
    <mergeCell ref="X6:X8"/>
    <mergeCell ref="I7:I8"/>
    <mergeCell ref="G7:H7"/>
    <mergeCell ref="A4:O4"/>
    <mergeCell ref="A6:A8"/>
    <mergeCell ref="B6:I6"/>
    <mergeCell ref="J6:J8"/>
    <mergeCell ref="B7:B8"/>
    <mergeCell ref="C7:C8"/>
    <mergeCell ref="D7:D8"/>
    <mergeCell ref="E7:E8"/>
    <mergeCell ref="F7:F8"/>
    <mergeCell ref="K6:N6"/>
    <mergeCell ref="O6:O8"/>
    <mergeCell ref="N7:N8"/>
  </mergeCells>
  <printOptions horizontalCentered="1"/>
  <pageMargins left="0.15748031496062992" right="0.15748031496062992" top="0.15748031496062992" bottom="0.15748031496062992" header="0.15748031496062992" footer="0.11811023622047245"/>
  <pageSetup paperSize="9" scale="6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74"/>
  <sheetViews>
    <sheetView topLeftCell="A4" zoomScaleNormal="100" zoomScaleSheetLayoutView="70" workbookViewId="0">
      <selection activeCell="B7" sqref="B7:B8"/>
    </sheetView>
  </sheetViews>
  <sheetFormatPr defaultRowHeight="12.75" x14ac:dyDescent="0.2"/>
  <cols>
    <col min="1" max="1" width="2" style="52" customWidth="1"/>
    <col min="2" max="2" width="43.85546875" customWidth="1"/>
    <col min="3" max="5" width="16.140625" customWidth="1"/>
    <col min="6" max="6" width="18.28515625" customWidth="1"/>
    <col min="7" max="7" width="8.7109375" style="9" customWidth="1"/>
    <col min="8" max="8" width="9.140625" customWidth="1"/>
    <col min="9" max="9" width="13.42578125" customWidth="1"/>
    <col min="11" max="11" width="13.7109375" customWidth="1"/>
  </cols>
  <sheetData>
    <row r="1" spans="2:8" x14ac:dyDescent="0.2">
      <c r="B1" s="3"/>
      <c r="C1" s="3"/>
      <c r="D1" s="3"/>
      <c r="E1" s="3"/>
      <c r="F1" s="106" t="s">
        <v>243</v>
      </c>
    </row>
    <row r="2" spans="2:8" x14ac:dyDescent="0.2">
      <c r="B2" s="3"/>
      <c r="C2" s="3"/>
      <c r="D2" s="3"/>
      <c r="E2" s="3"/>
      <c r="F2" s="362" t="str">
        <f>'1.Bev-kiad.'!F2</f>
        <v>a 12/2026.(X.2.) önkormányzati rendelethez</v>
      </c>
    </row>
    <row r="3" spans="2:8" ht="11.25" customHeight="1" x14ac:dyDescent="0.2">
      <c r="B3" s="3"/>
      <c r="C3" s="3"/>
      <c r="D3" s="3"/>
      <c r="E3" s="3"/>
      <c r="F3" s="362" t="s">
        <v>1141</v>
      </c>
    </row>
    <row r="4" spans="2:8" x14ac:dyDescent="0.2">
      <c r="B4" s="3"/>
      <c r="C4" s="3"/>
      <c r="D4" s="3"/>
      <c r="E4" s="3"/>
      <c r="F4" s="171"/>
    </row>
    <row r="5" spans="2:8" ht="42.75" customHeight="1" x14ac:dyDescent="0.2">
      <c r="B5" s="821" t="s">
        <v>1116</v>
      </c>
      <c r="C5" s="822"/>
      <c r="D5" s="822"/>
      <c r="E5" s="822"/>
      <c r="F5" s="822"/>
    </row>
    <row r="6" spans="2:8" ht="11.25" customHeight="1" thickBot="1" x14ac:dyDescent="0.25">
      <c r="B6" s="3"/>
      <c r="C6" s="3"/>
      <c r="D6" s="3"/>
      <c r="E6" s="3"/>
      <c r="F6" s="56" t="s">
        <v>0</v>
      </c>
    </row>
    <row r="7" spans="2:8" ht="12.75" customHeight="1" x14ac:dyDescent="0.2">
      <c r="B7" s="823" t="s">
        <v>42</v>
      </c>
      <c r="C7" s="825" t="s">
        <v>40</v>
      </c>
      <c r="D7" s="265" t="s">
        <v>41</v>
      </c>
      <c r="E7" s="825" t="s">
        <v>92</v>
      </c>
      <c r="F7" s="819" t="s">
        <v>44</v>
      </c>
      <c r="G7" s="26"/>
    </row>
    <row r="8" spans="2:8" ht="21.75" customHeight="1" thickBot="1" x14ac:dyDescent="0.25">
      <c r="B8" s="824"/>
      <c r="C8" s="826"/>
      <c r="D8" s="69" t="s">
        <v>45</v>
      </c>
      <c r="E8" s="826"/>
      <c r="F8" s="820"/>
      <c r="G8" s="26"/>
    </row>
    <row r="9" spans="2:8" ht="13.5" customHeight="1" x14ac:dyDescent="0.2">
      <c r="B9" s="253" t="s">
        <v>374</v>
      </c>
      <c r="C9" s="111"/>
      <c r="D9" s="112"/>
      <c r="E9" s="112"/>
      <c r="F9" s="112"/>
      <c r="G9" s="26"/>
    </row>
    <row r="10" spans="2:8" x14ac:dyDescent="0.2">
      <c r="B10" s="211" t="s">
        <v>693</v>
      </c>
      <c r="C10" s="226">
        <f>SUM('2.működés'!D8)-E10</f>
        <v>1957458</v>
      </c>
      <c r="D10" s="226">
        <f>SUM('9.Hivatal'!Y95+'9.Hivatal'!Y96+'9.Hivatal'!Y97+'9.Hivatal'!Y98)</f>
        <v>59810</v>
      </c>
      <c r="E10" s="225">
        <f t="shared" ref="E10:E16" si="0">SUM(D10:D10)</f>
        <v>59810</v>
      </c>
      <c r="F10" s="225">
        <f t="shared" ref="F10:F16" si="1">SUM(C10+E10)</f>
        <v>2017268</v>
      </c>
      <c r="G10" s="26"/>
      <c r="H10" s="73"/>
    </row>
    <row r="11" spans="2:8" x14ac:dyDescent="0.2">
      <c r="B11" s="211" t="s">
        <v>1297</v>
      </c>
      <c r="C11" s="226">
        <f>SUM('2.működés'!F8)-E11</f>
        <v>1826705</v>
      </c>
      <c r="D11" s="226">
        <f>SUM('9.Hivatal'!Z95+'9.Hivatal'!Z96+'9.Hivatal'!Z97+'9.Hivatal'!Z98)</f>
        <v>58263</v>
      </c>
      <c r="E11" s="225">
        <f>SUM(D11:D11)</f>
        <v>58263</v>
      </c>
      <c r="F11" s="225">
        <f>SUM(C11+E11)</f>
        <v>1884968</v>
      </c>
      <c r="G11" s="26"/>
      <c r="H11" s="73"/>
    </row>
    <row r="12" spans="2:8" hidden="1" x14ac:dyDescent="0.2">
      <c r="B12" s="211" t="s">
        <v>937</v>
      </c>
      <c r="C12" s="226" t="e">
        <f>SUM('2.működés'!H8)-E12</f>
        <v>#REF!</v>
      </c>
      <c r="D12" s="226" t="e">
        <f>SUM('9.Hivatal'!AA95+'9.Hivatal'!AA96+'9.Hivatal'!AA97+'9.Hivatal'!AA98+'9.Hivatal'!#REF!)</f>
        <v>#REF!</v>
      </c>
      <c r="E12" s="225" t="e">
        <f t="shared" si="0"/>
        <v>#REF!</v>
      </c>
      <c r="F12" s="225" t="e">
        <f t="shared" si="1"/>
        <v>#REF!</v>
      </c>
      <c r="G12" s="26"/>
      <c r="H12" s="73"/>
    </row>
    <row r="13" spans="2:8" hidden="1" x14ac:dyDescent="0.2">
      <c r="B13" s="211" t="s">
        <v>969</v>
      </c>
      <c r="C13" s="226">
        <f>SUM('2.működés'!J8)-E13</f>
        <v>-3550</v>
      </c>
      <c r="D13" s="226">
        <f>SUM('9.Hivatal'!AB95+'9.Hivatal'!AB96+'9.Hivatal'!AB97+'9.Hivatal'!AB98)</f>
        <v>3550</v>
      </c>
      <c r="E13" s="225">
        <f t="shared" si="0"/>
        <v>3550</v>
      </c>
      <c r="F13" s="225">
        <f t="shared" si="1"/>
        <v>0</v>
      </c>
      <c r="G13" s="26"/>
      <c r="H13" s="73"/>
    </row>
    <row r="14" spans="2:8" hidden="1" x14ac:dyDescent="0.2">
      <c r="B14" s="211" t="s">
        <v>989</v>
      </c>
      <c r="C14" s="226">
        <f>SUM('2.működés'!L8)-E14</f>
        <v>-3550</v>
      </c>
      <c r="D14" s="226">
        <f>SUM('9.Hivatal'!AC95+'9.Hivatal'!AC96+'9.Hivatal'!AC97+'9.Hivatal'!AC98)</f>
        <v>3550</v>
      </c>
      <c r="E14" s="225">
        <f t="shared" ref="E14:E15" si="2">SUM(D14:D14)</f>
        <v>3550</v>
      </c>
      <c r="F14" s="225">
        <f t="shared" ref="F14:F15" si="3">SUM(C14+E14)</f>
        <v>0</v>
      </c>
      <c r="G14" s="26"/>
      <c r="H14" s="73"/>
    </row>
    <row r="15" spans="2:8" hidden="1" x14ac:dyDescent="0.2">
      <c r="B15" s="211" t="s">
        <v>426</v>
      </c>
      <c r="C15" s="226" t="e">
        <f>SUM('2.működés'!J10)-E15</f>
        <v>#REF!</v>
      </c>
      <c r="D15" s="226" t="e">
        <f>SUM('9.Hivatal'!AC96+'9.Hivatal'!AC97+'9.Hivatal'!#REF!+'9.Hivatal'!AC99+'9.Hivatal'!AC98)</f>
        <v>#REF!</v>
      </c>
      <c r="E15" s="225" t="e">
        <f t="shared" si="2"/>
        <v>#REF!</v>
      </c>
      <c r="F15" s="225" t="e">
        <f t="shared" si="3"/>
        <v>#REF!</v>
      </c>
      <c r="G15" s="26"/>
      <c r="H15" s="73"/>
    </row>
    <row r="16" spans="2:8" ht="13.5" hidden="1" customHeight="1" x14ac:dyDescent="0.2">
      <c r="B16" s="211" t="s">
        <v>869</v>
      </c>
      <c r="C16" s="226">
        <f>SUM('2.működés'!M8)-E16</f>
        <v>-52814</v>
      </c>
      <c r="D16" s="226">
        <f>SUM('9.Hivatal'!AD95+'9.Hivatal'!AD96+'9.Hivatal'!AD97+'9.Hivatal'!AD98)</f>
        <v>52814</v>
      </c>
      <c r="E16" s="225">
        <f t="shared" si="0"/>
        <v>52814</v>
      </c>
      <c r="F16" s="225">
        <f t="shared" si="1"/>
        <v>0</v>
      </c>
      <c r="G16" s="26"/>
      <c r="H16" s="203"/>
    </row>
    <row r="17" spans="2:9" ht="6.75" customHeight="1" x14ac:dyDescent="0.2">
      <c r="B17" s="211"/>
      <c r="C17" s="226"/>
      <c r="D17" s="226"/>
      <c r="E17" s="225"/>
      <c r="F17" s="225"/>
      <c r="G17" s="26"/>
    </row>
    <row r="18" spans="2:9" ht="13.5" customHeight="1" x14ac:dyDescent="0.2">
      <c r="B18" s="251" t="s">
        <v>333</v>
      </c>
      <c r="C18" s="226"/>
      <c r="D18" s="226"/>
      <c r="E18" s="226"/>
      <c r="F18" s="225"/>
      <c r="G18" s="26"/>
      <c r="H18" s="73"/>
    </row>
    <row r="19" spans="2:9" ht="13.5" customHeight="1" x14ac:dyDescent="0.2">
      <c r="B19" s="211" t="str">
        <f t="shared" ref="B19:B24" si="4">B10</f>
        <v>2026. évi eredeti előirányzat</v>
      </c>
      <c r="C19" s="226">
        <f>'1.Bev-kiad.'!D17+'1.Bev-kiad.'!D41+'1.Bev-kiad.'!D51</f>
        <v>566937</v>
      </c>
      <c r="D19" s="226">
        <v>0</v>
      </c>
      <c r="E19" s="225">
        <v>0</v>
      </c>
      <c r="F19" s="225">
        <f t="shared" ref="F19:F25" si="5">SUM(C19+E19)</f>
        <v>566937</v>
      </c>
      <c r="G19" s="26"/>
      <c r="H19" s="73"/>
    </row>
    <row r="20" spans="2:9" ht="13.5" customHeight="1" x14ac:dyDescent="0.2">
      <c r="B20" s="211" t="str">
        <f t="shared" si="4"/>
        <v>Módosított előirányzat 2026.10.hó</v>
      </c>
      <c r="C20" s="226">
        <f>'1.Bev-kiad.'!F17+'1.Bev-kiad.'!F41+'1.Bev-kiad.'!F51</f>
        <v>618643</v>
      </c>
      <c r="D20" s="226">
        <v>0</v>
      </c>
      <c r="E20" s="225">
        <f t="shared" ref="E20:E25" si="6">SUM(D20:D20)</f>
        <v>0</v>
      </c>
      <c r="F20" s="225">
        <f t="shared" si="5"/>
        <v>618643</v>
      </c>
      <c r="G20" s="26"/>
      <c r="H20" s="73"/>
    </row>
    <row r="21" spans="2:9" ht="13.5" hidden="1" customHeight="1" x14ac:dyDescent="0.2">
      <c r="B21" s="211" t="str">
        <f t="shared" si="4"/>
        <v>Módosított előirányzat 2025.09.hó</v>
      </c>
      <c r="C21" s="226">
        <f>'1.Bev-kiad.'!H17+'1.Bev-kiad.'!H41+'1.Bev-kiad.'!H51</f>
        <v>0</v>
      </c>
      <c r="D21" s="226">
        <v>0</v>
      </c>
      <c r="E21" s="225">
        <f t="shared" si="6"/>
        <v>0</v>
      </c>
      <c r="F21" s="225">
        <f t="shared" si="5"/>
        <v>0</v>
      </c>
      <c r="G21" s="26"/>
      <c r="H21" s="73"/>
    </row>
    <row r="22" spans="2:9" ht="13.5" hidden="1" customHeight="1" x14ac:dyDescent="0.2">
      <c r="B22" s="211" t="str">
        <f t="shared" si="4"/>
        <v>Módosított előirányzat 2025.12.hó</v>
      </c>
      <c r="C22" s="226">
        <f>'1.Bev-kiad.'!J17+'1.Bev-kiad.'!J41+'1.Bev-kiad.'!J51</f>
        <v>0</v>
      </c>
      <c r="D22" s="226">
        <v>0</v>
      </c>
      <c r="E22" s="225">
        <f t="shared" si="6"/>
        <v>0</v>
      </c>
      <c r="F22" s="225">
        <f t="shared" si="5"/>
        <v>0</v>
      </c>
      <c r="G22" s="26"/>
      <c r="H22" s="73"/>
    </row>
    <row r="23" spans="2:9" ht="13.5" hidden="1" customHeight="1" x14ac:dyDescent="0.2">
      <c r="B23" s="211" t="str">
        <f t="shared" si="4"/>
        <v>Módosított előirányzat 2025.12.31</v>
      </c>
      <c r="C23" s="226">
        <f>'1.Bev-kiad.'!L17+'1.Bev-kiad.'!L41+'1.Bev-kiad.'!L51</f>
        <v>0</v>
      </c>
      <c r="D23" s="226">
        <v>0</v>
      </c>
      <c r="E23" s="225">
        <f t="shared" si="6"/>
        <v>0</v>
      </c>
      <c r="F23" s="225">
        <f t="shared" ref="F23" si="7">SUM(C23+E23)</f>
        <v>0</v>
      </c>
      <c r="G23" s="26"/>
      <c r="H23" s="73"/>
    </row>
    <row r="24" spans="2:9" ht="13.5" hidden="1" customHeight="1" x14ac:dyDescent="0.2">
      <c r="B24" s="211" t="str">
        <f t="shared" si="4"/>
        <v>Beszámoló előtti ei.mód.</v>
      </c>
      <c r="C24" s="226"/>
      <c r="D24" s="226">
        <v>0</v>
      </c>
      <c r="E24" s="225">
        <f t="shared" si="6"/>
        <v>0</v>
      </c>
      <c r="F24" s="225">
        <f t="shared" si="5"/>
        <v>0</v>
      </c>
      <c r="G24" s="26"/>
      <c r="H24" s="73"/>
    </row>
    <row r="25" spans="2:9" ht="13.5" hidden="1" customHeight="1" x14ac:dyDescent="0.2">
      <c r="B25" s="211" t="str">
        <f t="shared" ref="B25" si="8">B16</f>
        <v>Teljesítés 2025.12.31.</v>
      </c>
      <c r="C25" s="226">
        <f>'1.Bev-kiad.'!M17+'1.Bev-kiad.'!M41+'1.Bev-kiad.'!M51</f>
        <v>0</v>
      </c>
      <c r="D25" s="226">
        <v>0</v>
      </c>
      <c r="E25" s="225">
        <f t="shared" si="6"/>
        <v>0</v>
      </c>
      <c r="F25" s="225">
        <f t="shared" si="5"/>
        <v>0</v>
      </c>
      <c r="G25" s="26"/>
      <c r="H25" s="73"/>
    </row>
    <row r="26" spans="2:9" ht="7.5" customHeight="1" x14ac:dyDescent="0.2">
      <c r="B26" s="211"/>
      <c r="C26" s="226"/>
      <c r="D26" s="226"/>
      <c r="E26" s="226"/>
      <c r="F26" s="225"/>
      <c r="G26" s="26"/>
      <c r="H26" s="73"/>
    </row>
    <row r="27" spans="2:9" ht="15.75" customHeight="1" x14ac:dyDescent="0.2">
      <c r="B27" s="251" t="s">
        <v>46</v>
      </c>
      <c r="C27" s="226"/>
      <c r="D27" s="226"/>
      <c r="E27" s="226"/>
      <c r="F27" s="226"/>
      <c r="G27" s="27"/>
      <c r="I27" s="73"/>
    </row>
    <row r="28" spans="2:9" x14ac:dyDescent="0.2">
      <c r="B28" s="211" t="str">
        <f t="shared" ref="B28:B34" si="9">B19</f>
        <v>2026. évi eredeti előirányzat</v>
      </c>
      <c r="C28" s="226">
        <f>SUM(C37+C69)</f>
        <v>487513</v>
      </c>
      <c r="D28" s="226">
        <f t="shared" ref="D28:D34" si="10">SUM(D51+D60+D37)</f>
        <v>311913</v>
      </c>
      <c r="E28" s="225">
        <f t="shared" ref="E28:E34" si="11">SUM(D28:D28)</f>
        <v>311913</v>
      </c>
      <c r="F28" s="225">
        <f t="shared" ref="F28:F34" si="12">SUM(C28+E28)</f>
        <v>799426</v>
      </c>
      <c r="G28" s="155"/>
    </row>
    <row r="29" spans="2:9" x14ac:dyDescent="0.2">
      <c r="B29" s="211" t="str">
        <f t="shared" si="9"/>
        <v>Módosított előirányzat 2026.10.hó</v>
      </c>
      <c r="C29" s="226">
        <f>SUM(C38+C70)</f>
        <v>494968</v>
      </c>
      <c r="D29" s="226">
        <f t="shared" si="10"/>
        <v>311913</v>
      </c>
      <c r="E29" s="225">
        <f t="shared" si="11"/>
        <v>311913</v>
      </c>
      <c r="F29" s="225">
        <f t="shared" si="12"/>
        <v>806881</v>
      </c>
      <c r="G29" s="155"/>
    </row>
    <row r="30" spans="2:9" hidden="1" x14ac:dyDescent="0.2">
      <c r="B30" s="211" t="str">
        <f t="shared" si="9"/>
        <v>Módosított előirányzat 2025.09.hó</v>
      </c>
      <c r="C30" s="226">
        <f>SUM(C39+C71)</f>
        <v>-2047</v>
      </c>
      <c r="D30" s="226">
        <f t="shared" si="10"/>
        <v>-3550</v>
      </c>
      <c r="E30" s="225">
        <f t="shared" si="11"/>
        <v>-3550</v>
      </c>
      <c r="F30" s="225">
        <f t="shared" si="12"/>
        <v>-5597</v>
      </c>
      <c r="G30" s="26"/>
    </row>
    <row r="31" spans="2:9" hidden="1" x14ac:dyDescent="0.2">
      <c r="B31" s="211" t="str">
        <f t="shared" si="9"/>
        <v>Módosított előirányzat 2025.12.hó</v>
      </c>
      <c r="C31" s="226">
        <f>SUM(C40+C72)+C46</f>
        <v>-2047</v>
      </c>
      <c r="D31" s="226">
        <f t="shared" si="10"/>
        <v>-3550</v>
      </c>
      <c r="E31" s="225">
        <f t="shared" si="11"/>
        <v>-3550</v>
      </c>
      <c r="F31" s="225">
        <f t="shared" si="12"/>
        <v>-5597</v>
      </c>
      <c r="G31" s="26"/>
    </row>
    <row r="32" spans="2:9" hidden="1" x14ac:dyDescent="0.2">
      <c r="B32" s="211" t="str">
        <f t="shared" si="9"/>
        <v>Módosított előirányzat 2025.12.31</v>
      </c>
      <c r="C32" s="226">
        <f t="shared" ref="C32:C33" si="13">SUM(C41+C73)+C47</f>
        <v>-2047</v>
      </c>
      <c r="D32" s="226">
        <f t="shared" si="10"/>
        <v>-3550</v>
      </c>
      <c r="E32" s="225">
        <f t="shared" ref="E32" si="14">SUM(D32:D32)</f>
        <v>-3550</v>
      </c>
      <c r="F32" s="225">
        <f t="shared" ref="F32" si="15">SUM(C32+E32)</f>
        <v>-5597</v>
      </c>
      <c r="G32" s="26"/>
    </row>
    <row r="33" spans="2:9" hidden="1" x14ac:dyDescent="0.2">
      <c r="B33" s="211" t="str">
        <f t="shared" si="9"/>
        <v>Beszámoló előtti ei.mód.</v>
      </c>
      <c r="C33" s="226">
        <f t="shared" si="13"/>
        <v>0</v>
      </c>
      <c r="D33" s="226">
        <f t="shared" si="10"/>
        <v>0</v>
      </c>
      <c r="E33" s="225">
        <f t="shared" si="11"/>
        <v>0</v>
      </c>
      <c r="F33" s="225">
        <f t="shared" si="12"/>
        <v>0</v>
      </c>
      <c r="G33" s="26"/>
    </row>
    <row r="34" spans="2:9" hidden="1" x14ac:dyDescent="0.2">
      <c r="B34" s="211" t="str">
        <f t="shared" si="9"/>
        <v>Teljesítés 2025.12.31.</v>
      </c>
      <c r="C34" s="226">
        <f>SUM(C43+C75)+C48</f>
        <v>-2047</v>
      </c>
      <c r="D34" s="226">
        <f t="shared" si="10"/>
        <v>248835</v>
      </c>
      <c r="E34" s="225">
        <f t="shared" si="11"/>
        <v>248835</v>
      </c>
      <c r="F34" s="225">
        <f t="shared" si="12"/>
        <v>246788</v>
      </c>
      <c r="G34" s="155"/>
    </row>
    <row r="35" spans="2:9" ht="6" customHeight="1" x14ac:dyDescent="0.2">
      <c r="B35" s="211"/>
      <c r="C35" s="226"/>
      <c r="D35" s="226"/>
      <c r="E35" s="225"/>
      <c r="F35" s="225"/>
      <c r="G35" s="27"/>
    </row>
    <row r="36" spans="2:9" ht="14.25" customHeight="1" x14ac:dyDescent="0.2">
      <c r="B36" s="262" t="s">
        <v>385</v>
      </c>
      <c r="C36" s="226"/>
      <c r="D36" s="226"/>
      <c r="E36" s="225"/>
      <c r="F36" s="225"/>
      <c r="G36" s="27"/>
    </row>
    <row r="37" spans="2:9" ht="14.25" customHeight="1" x14ac:dyDescent="0.2">
      <c r="B37" s="211" t="str">
        <f t="shared" ref="B37:B40" si="16">B28</f>
        <v>2026. évi eredeti előirányzat</v>
      </c>
      <c r="C37" s="226">
        <f>SUM('1.Bev-kiad.'!D57)-D37</f>
        <v>487513</v>
      </c>
      <c r="D37" s="226">
        <f>SUM('9.Hivatal'!Y92)</f>
        <v>8100</v>
      </c>
      <c r="E37" s="225">
        <f t="shared" ref="E37:E43" si="17">SUM(D37:D37)</f>
        <v>8100</v>
      </c>
      <c r="F37" s="225">
        <f t="shared" ref="F37:F43" si="18">SUM(C37+E37)</f>
        <v>495613</v>
      </c>
      <c r="G37" s="27"/>
    </row>
    <row r="38" spans="2:9" ht="14.25" customHeight="1" x14ac:dyDescent="0.2">
      <c r="B38" s="211" t="str">
        <f t="shared" si="16"/>
        <v>Módosított előirányzat 2026.10.hó</v>
      </c>
      <c r="C38" s="226">
        <f>SUM('1.Bev-kiad.'!F57)-D38</f>
        <v>487513</v>
      </c>
      <c r="D38" s="226">
        <f>SUM('9.Hivatal'!Z92)</f>
        <v>8100</v>
      </c>
      <c r="E38" s="225">
        <f t="shared" si="17"/>
        <v>8100</v>
      </c>
      <c r="F38" s="225">
        <f t="shared" si="18"/>
        <v>495613</v>
      </c>
      <c r="G38" s="27"/>
    </row>
    <row r="39" spans="2:9" ht="14.25" hidden="1" customHeight="1" x14ac:dyDescent="0.2">
      <c r="B39" s="211" t="str">
        <f t="shared" si="16"/>
        <v>Módosított előirányzat 2025.09.hó</v>
      </c>
      <c r="C39" s="226">
        <f>SUM('1.Bev-kiad.'!H57)-D39</f>
        <v>-2047</v>
      </c>
      <c r="D39" s="226">
        <f>SUM('9.Hivatal'!AA92)</f>
        <v>2047</v>
      </c>
      <c r="E39" s="225">
        <f t="shared" si="17"/>
        <v>2047</v>
      </c>
      <c r="F39" s="225">
        <f t="shared" si="18"/>
        <v>0</v>
      </c>
      <c r="G39" s="27"/>
    </row>
    <row r="40" spans="2:9" ht="14.25" hidden="1" customHeight="1" x14ac:dyDescent="0.2">
      <c r="B40" s="211" t="str">
        <f t="shared" si="16"/>
        <v>Módosított előirányzat 2025.12.hó</v>
      </c>
      <c r="C40" s="226">
        <f>SUM('1.Bev-kiad.'!J57)-D40</f>
        <v>-2047</v>
      </c>
      <c r="D40" s="226">
        <f>SUM('9.Hivatal'!AB92)</f>
        <v>2047</v>
      </c>
      <c r="E40" s="225">
        <f t="shared" si="17"/>
        <v>2047</v>
      </c>
      <c r="F40" s="225">
        <f t="shared" si="18"/>
        <v>0</v>
      </c>
      <c r="G40" s="27"/>
    </row>
    <row r="41" spans="2:9" ht="14.25" hidden="1" customHeight="1" x14ac:dyDescent="0.2">
      <c r="B41" s="211" t="str">
        <f>B32</f>
        <v>Módosított előirányzat 2025.12.31</v>
      </c>
      <c r="C41" s="226">
        <f>SUM('1.Bev-kiad.'!L57)-D41</f>
        <v>-2047</v>
      </c>
      <c r="D41" s="226">
        <f>SUM('9.Hivatal'!AC92)</f>
        <v>2047</v>
      </c>
      <c r="E41" s="225">
        <f t="shared" ref="E41" si="19">SUM(D41:D41)</f>
        <v>2047</v>
      </c>
      <c r="F41" s="225">
        <f t="shared" ref="F41" si="20">SUM(C41+E41)</f>
        <v>0</v>
      </c>
      <c r="G41" s="27"/>
    </row>
    <row r="42" spans="2:9" ht="14.25" hidden="1" customHeight="1" x14ac:dyDescent="0.2">
      <c r="B42" s="211" t="str">
        <f>B33</f>
        <v>Beszámoló előtti ei.mód.</v>
      </c>
      <c r="C42" s="226"/>
      <c r="D42" s="226"/>
      <c r="E42" s="225">
        <f t="shared" si="17"/>
        <v>0</v>
      </c>
      <c r="F42" s="225">
        <f t="shared" si="18"/>
        <v>0</v>
      </c>
      <c r="G42" s="27"/>
    </row>
    <row r="43" spans="2:9" ht="14.25" hidden="1" customHeight="1" x14ac:dyDescent="0.2">
      <c r="B43" s="211" t="str">
        <f>B34</f>
        <v>Teljesítés 2025.12.31.</v>
      </c>
      <c r="C43" s="226">
        <f>SUM('1.Bev-kiad.'!M57)-D43</f>
        <v>-2047</v>
      </c>
      <c r="D43" s="226">
        <f>SUM('9.Hivatal'!AD92)</f>
        <v>2047</v>
      </c>
      <c r="E43" s="225">
        <f t="shared" si="17"/>
        <v>2047</v>
      </c>
      <c r="F43" s="225">
        <f t="shared" si="18"/>
        <v>0</v>
      </c>
      <c r="G43" s="27"/>
    </row>
    <row r="44" spans="2:9" ht="5.25" customHeight="1" x14ac:dyDescent="0.2">
      <c r="B44" s="211"/>
      <c r="C44" s="226"/>
      <c r="D44" s="226"/>
      <c r="E44" s="225"/>
      <c r="F44" s="225"/>
      <c r="G44" s="27"/>
    </row>
    <row r="45" spans="2:9" x14ac:dyDescent="0.2">
      <c r="B45" s="262" t="s">
        <v>984</v>
      </c>
      <c r="C45" s="226"/>
      <c r="D45" s="226"/>
      <c r="E45" s="225"/>
      <c r="F45" s="225"/>
      <c r="G45" s="155"/>
      <c r="H45" s="27"/>
      <c r="I45" s="27"/>
    </row>
    <row r="46" spans="2:9" hidden="1" x14ac:dyDescent="0.2">
      <c r="B46" s="211" t="str">
        <f>B13</f>
        <v>Módosított előirányzat 2025.12.hó</v>
      </c>
      <c r="C46" s="226">
        <f>'2.működés'!J119</f>
        <v>0</v>
      </c>
      <c r="D46" s="254">
        <v>0</v>
      </c>
      <c r="E46" s="225">
        <f t="shared" ref="E46:E48" si="21">SUM(D46:D46)</f>
        <v>0</v>
      </c>
      <c r="F46" s="225">
        <f t="shared" ref="F46:F48" si="22">SUM(C46+E46)</f>
        <v>0</v>
      </c>
      <c r="G46" s="155"/>
      <c r="H46" s="27"/>
      <c r="I46" s="27"/>
    </row>
    <row r="47" spans="2:9" hidden="1" x14ac:dyDescent="0.2">
      <c r="B47" s="211" t="str">
        <f>B14</f>
        <v>Módosított előirányzat 2025.12.31</v>
      </c>
      <c r="C47" s="226">
        <f>'2.működés'!L119</f>
        <v>0</v>
      </c>
      <c r="D47" s="254">
        <v>0</v>
      </c>
      <c r="E47" s="225">
        <f t="shared" ref="E47" si="23">SUM(D47:D47)</f>
        <v>0</v>
      </c>
      <c r="F47" s="225">
        <f t="shared" ref="F47" si="24">SUM(C47+E47)</f>
        <v>0</v>
      </c>
      <c r="G47" s="155"/>
      <c r="H47" s="27"/>
      <c r="I47" s="27"/>
    </row>
    <row r="48" spans="2:9" hidden="1" x14ac:dyDescent="0.2">
      <c r="B48" s="211" t="str">
        <f t="shared" ref="B48" si="25">B43</f>
        <v>Teljesítés 2025.12.31.</v>
      </c>
      <c r="C48" s="226">
        <f>'2.működés'!M119</f>
        <v>0</v>
      </c>
      <c r="D48" s="254">
        <v>0</v>
      </c>
      <c r="E48" s="225">
        <f t="shared" si="21"/>
        <v>0</v>
      </c>
      <c r="F48" s="71">
        <f t="shared" si="22"/>
        <v>0</v>
      </c>
      <c r="G48" s="155"/>
      <c r="H48" s="27"/>
      <c r="I48" s="27"/>
    </row>
    <row r="49" spans="2:9" ht="5.25" customHeight="1" x14ac:dyDescent="0.2">
      <c r="B49" s="211"/>
      <c r="C49" s="226"/>
      <c r="D49" s="226"/>
      <c r="E49" s="225"/>
      <c r="F49" s="225"/>
      <c r="G49" s="155"/>
      <c r="H49" s="27"/>
      <c r="I49" s="27"/>
    </row>
    <row r="50" spans="2:9" x14ac:dyDescent="0.2">
      <c r="B50" s="263" t="s">
        <v>474</v>
      </c>
      <c r="C50" s="226"/>
      <c r="D50" s="226"/>
      <c r="E50" s="226"/>
      <c r="F50" s="226"/>
      <c r="G50" s="72"/>
    </row>
    <row r="51" spans="2:9" x14ac:dyDescent="0.2">
      <c r="B51" s="211" t="str">
        <f t="shared" ref="B51:B57" si="26">B37</f>
        <v>2026. évi eredeti előirányzat</v>
      </c>
      <c r="C51" s="226">
        <v>0</v>
      </c>
      <c r="D51" s="226">
        <f>SUM('9.Hivatal'!Y93)+'9.Hivatal'!Y94</f>
        <v>223855</v>
      </c>
      <c r="E51" s="225">
        <f t="shared" ref="E51:E57" si="27">SUM(D51:D51)</f>
        <v>223855</v>
      </c>
      <c r="F51" s="225">
        <f t="shared" ref="F51:F57" si="28">SUM(C51+E51)</f>
        <v>223855</v>
      </c>
      <c r="G51" s="155"/>
      <c r="H51" s="27"/>
      <c r="I51" s="27"/>
    </row>
    <row r="52" spans="2:9" x14ac:dyDescent="0.2">
      <c r="B52" s="211" t="str">
        <f t="shared" si="26"/>
        <v>Módosított előirányzat 2026.10.hó</v>
      </c>
      <c r="C52" s="226">
        <v>0</v>
      </c>
      <c r="D52" s="226">
        <f>SUM('9.Hivatal'!Z93)+'9.Hivatal'!Z94</f>
        <v>223855</v>
      </c>
      <c r="E52" s="225">
        <f t="shared" si="27"/>
        <v>223855</v>
      </c>
      <c r="F52" s="225">
        <f t="shared" si="28"/>
        <v>223855</v>
      </c>
      <c r="G52" s="155"/>
      <c r="H52" s="27"/>
      <c r="I52" s="27"/>
    </row>
    <row r="53" spans="2:9" hidden="1" x14ac:dyDescent="0.2">
      <c r="B53" s="211" t="str">
        <f t="shared" si="26"/>
        <v>Módosított előirányzat 2025.09.hó</v>
      </c>
      <c r="C53" s="226">
        <v>0</v>
      </c>
      <c r="D53" s="226">
        <f>SUM('9.Hivatal'!AA93)</f>
        <v>166555</v>
      </c>
      <c r="E53" s="225">
        <f t="shared" si="27"/>
        <v>166555</v>
      </c>
      <c r="F53" s="225">
        <f t="shared" si="28"/>
        <v>166555</v>
      </c>
      <c r="G53" s="155"/>
      <c r="H53" s="27"/>
      <c r="I53" s="27"/>
    </row>
    <row r="54" spans="2:9" hidden="1" x14ac:dyDescent="0.2">
      <c r="B54" s="211" t="str">
        <f t="shared" si="26"/>
        <v>Módosított előirányzat 2025.12.hó</v>
      </c>
      <c r="C54" s="226">
        <v>0</v>
      </c>
      <c r="D54" s="226">
        <f>SUM('9.Hivatal'!AB93)</f>
        <v>166555</v>
      </c>
      <c r="E54" s="225">
        <f t="shared" si="27"/>
        <v>166555</v>
      </c>
      <c r="F54" s="225">
        <f t="shared" si="28"/>
        <v>166555</v>
      </c>
      <c r="G54" s="155"/>
      <c r="H54" s="27"/>
      <c r="I54" s="27"/>
    </row>
    <row r="55" spans="2:9" hidden="1" x14ac:dyDescent="0.2">
      <c r="B55" s="211" t="str">
        <f t="shared" si="26"/>
        <v>Módosított előirányzat 2025.12.31</v>
      </c>
      <c r="C55" s="226">
        <v>0</v>
      </c>
      <c r="D55" s="226">
        <f>SUM('9.Hivatal'!AC93)</f>
        <v>166555</v>
      </c>
      <c r="E55" s="225">
        <f t="shared" ref="E55" si="29">SUM(D55:D55)</f>
        <v>166555</v>
      </c>
      <c r="F55" s="225">
        <f t="shared" ref="F55" si="30">SUM(C55+E55)</f>
        <v>166555</v>
      </c>
      <c r="G55" s="155"/>
      <c r="H55" s="27"/>
      <c r="I55" s="27"/>
    </row>
    <row r="56" spans="2:9" hidden="1" x14ac:dyDescent="0.2">
      <c r="B56" s="211" t="str">
        <f t="shared" si="26"/>
        <v>Beszámoló előtti ei.mód.</v>
      </c>
      <c r="C56" s="226"/>
      <c r="D56" s="226">
        <v>0</v>
      </c>
      <c r="E56" s="225">
        <f t="shared" si="27"/>
        <v>0</v>
      </c>
      <c r="F56" s="225">
        <f t="shared" si="28"/>
        <v>0</v>
      </c>
      <c r="G56" s="155"/>
      <c r="H56" s="27"/>
      <c r="I56" s="27"/>
    </row>
    <row r="57" spans="2:9" ht="13.5" hidden="1" customHeight="1" x14ac:dyDescent="0.2">
      <c r="B57" s="211" t="str">
        <f t="shared" si="26"/>
        <v>Teljesítés 2025.12.31.</v>
      </c>
      <c r="C57" s="226">
        <v>0</v>
      </c>
      <c r="D57" s="226">
        <f>SUM('9.Hivatal'!AD93)+'9.Hivatal'!Y94</f>
        <v>173276</v>
      </c>
      <c r="E57" s="225">
        <f t="shared" si="27"/>
        <v>173276</v>
      </c>
      <c r="F57" s="225">
        <f t="shared" si="28"/>
        <v>173276</v>
      </c>
      <c r="G57" s="155"/>
      <c r="H57" s="27"/>
      <c r="I57" s="27"/>
    </row>
    <row r="58" spans="2:9" ht="6" customHeight="1" x14ac:dyDescent="0.2">
      <c r="B58" s="211"/>
      <c r="C58" s="226"/>
      <c r="D58" s="226"/>
      <c r="E58" s="225"/>
      <c r="F58" s="225"/>
      <c r="G58" s="27"/>
      <c r="H58" s="27"/>
      <c r="I58" s="27"/>
    </row>
    <row r="59" spans="2:9" ht="26.25" customHeight="1" x14ac:dyDescent="0.2">
      <c r="B59" s="263" t="s">
        <v>47</v>
      </c>
      <c r="C59" s="226"/>
      <c r="D59" s="226"/>
      <c r="E59" s="226"/>
      <c r="F59" s="226"/>
      <c r="G59" s="26"/>
      <c r="H59" s="26"/>
      <c r="I59" s="26"/>
    </row>
    <row r="60" spans="2:9" x14ac:dyDescent="0.2">
      <c r="B60" s="211" t="str">
        <f t="shared" ref="B60:B66" si="31">B51</f>
        <v>2026. évi eredeti előirányzat</v>
      </c>
      <c r="C60" s="226">
        <v>0</v>
      </c>
      <c r="D60" s="226">
        <f>SUM('9.Hivatal'!Y101)</f>
        <v>79958</v>
      </c>
      <c r="E60" s="225">
        <f t="shared" ref="E60:E66" si="32">SUM(D60:D60)</f>
        <v>79958</v>
      </c>
      <c r="F60" s="225">
        <f t="shared" ref="F60:F66" si="33">SUM(E60)</f>
        <v>79958</v>
      </c>
      <c r="G60" s="27"/>
      <c r="H60" s="27"/>
      <c r="I60" s="27"/>
    </row>
    <row r="61" spans="2:9" x14ac:dyDescent="0.2">
      <c r="B61" s="211" t="str">
        <f t="shared" si="31"/>
        <v>Módosított előirányzat 2026.10.hó</v>
      </c>
      <c r="C61" s="226">
        <v>0</v>
      </c>
      <c r="D61" s="226">
        <f>SUM('9.Hivatal'!Z101)</f>
        <v>79958</v>
      </c>
      <c r="E61" s="225">
        <f t="shared" si="32"/>
        <v>79958</v>
      </c>
      <c r="F61" s="225">
        <f t="shared" si="33"/>
        <v>79958</v>
      </c>
      <c r="G61" s="27"/>
      <c r="H61" s="27"/>
      <c r="I61" s="27"/>
    </row>
    <row r="62" spans="2:9" hidden="1" x14ac:dyDescent="0.2">
      <c r="B62" s="211" t="str">
        <f t="shared" si="31"/>
        <v>Módosított előirányzat 2025.09.hó</v>
      </c>
      <c r="C62" s="226">
        <v>0</v>
      </c>
      <c r="D62" s="226">
        <f>SUM('9.Hivatal'!AA101)</f>
        <v>-172152</v>
      </c>
      <c r="E62" s="225">
        <f t="shared" si="32"/>
        <v>-172152</v>
      </c>
      <c r="F62" s="225">
        <f t="shared" si="33"/>
        <v>-172152</v>
      </c>
      <c r="G62" s="27"/>
      <c r="H62" s="27"/>
      <c r="I62" s="27"/>
    </row>
    <row r="63" spans="2:9" hidden="1" x14ac:dyDescent="0.2">
      <c r="B63" s="211" t="str">
        <f t="shared" si="31"/>
        <v>Módosított előirányzat 2025.12.hó</v>
      </c>
      <c r="C63" s="226">
        <v>0</v>
      </c>
      <c r="D63" s="226">
        <f>SUM('9.Hivatal'!AB101)</f>
        <v>-172152</v>
      </c>
      <c r="E63" s="225">
        <f t="shared" si="32"/>
        <v>-172152</v>
      </c>
      <c r="F63" s="225">
        <f t="shared" si="33"/>
        <v>-172152</v>
      </c>
      <c r="G63" s="27"/>
      <c r="H63" s="27"/>
      <c r="I63" s="27"/>
    </row>
    <row r="64" spans="2:9" hidden="1" x14ac:dyDescent="0.2">
      <c r="B64" s="211" t="str">
        <f t="shared" si="31"/>
        <v>Módosított előirányzat 2025.12.31</v>
      </c>
      <c r="C64" s="226">
        <v>0</v>
      </c>
      <c r="D64" s="226">
        <f>SUM('9.Hivatal'!AC101)</f>
        <v>-172152</v>
      </c>
      <c r="E64" s="225">
        <f t="shared" ref="E64" si="34">SUM(D64:D64)</f>
        <v>-172152</v>
      </c>
      <c r="F64" s="225">
        <f t="shared" ref="F64" si="35">SUM(E64)</f>
        <v>-172152</v>
      </c>
      <c r="G64" s="27"/>
      <c r="H64" s="27"/>
      <c r="I64" s="27"/>
    </row>
    <row r="65" spans="2:13" hidden="1" x14ac:dyDescent="0.2">
      <c r="B65" s="211" t="str">
        <f t="shared" si="31"/>
        <v>Beszámoló előtti ei.mód.</v>
      </c>
      <c r="C65" s="226"/>
      <c r="D65" s="226">
        <v>0</v>
      </c>
      <c r="E65" s="225">
        <f t="shared" si="32"/>
        <v>0</v>
      </c>
      <c r="F65" s="225">
        <f t="shared" si="33"/>
        <v>0</v>
      </c>
      <c r="G65" s="27"/>
      <c r="H65" s="27"/>
      <c r="I65" s="27"/>
    </row>
    <row r="66" spans="2:13" ht="13.5" hidden="1" customHeight="1" x14ac:dyDescent="0.2">
      <c r="B66" s="211" t="str">
        <f t="shared" si="31"/>
        <v>Teljesítés 2025.12.31.</v>
      </c>
      <c r="C66" s="226">
        <v>0</v>
      </c>
      <c r="D66" s="226">
        <f>SUM('9.Hivatal'!AD101)</f>
        <v>73512</v>
      </c>
      <c r="E66" s="225">
        <f t="shared" si="32"/>
        <v>73512</v>
      </c>
      <c r="F66" s="225">
        <f t="shared" si="33"/>
        <v>73512</v>
      </c>
      <c r="G66" s="27"/>
      <c r="H66" s="27"/>
      <c r="I66" s="27"/>
    </row>
    <row r="67" spans="2:13" ht="6.75" customHeight="1" x14ac:dyDescent="0.2">
      <c r="B67" s="211"/>
      <c r="C67" s="226"/>
      <c r="D67" s="226"/>
      <c r="E67" s="225"/>
      <c r="F67" s="225"/>
      <c r="G67" s="27"/>
      <c r="H67" s="27"/>
      <c r="I67" s="27"/>
    </row>
    <row r="68" spans="2:13" ht="13.5" customHeight="1" x14ac:dyDescent="0.2">
      <c r="B68" s="263" t="s">
        <v>1286</v>
      </c>
      <c r="C68" s="254"/>
      <c r="D68" s="254"/>
      <c r="E68" s="255"/>
      <c r="F68" s="255"/>
      <c r="G68" s="27"/>
      <c r="H68" s="27"/>
      <c r="I68" s="27"/>
    </row>
    <row r="69" spans="2:13" ht="14.25" customHeight="1" x14ac:dyDescent="0.2">
      <c r="B69" s="272" t="str">
        <f t="shared" ref="B69:B75" si="36">B60</f>
        <v>2026. évi eredeti előirányzat</v>
      </c>
      <c r="C69" s="254">
        <f>SUM('1.Bev-kiad.'!D61)</f>
        <v>0</v>
      </c>
      <c r="D69" s="254">
        <v>0</v>
      </c>
      <c r="E69" s="225">
        <f t="shared" ref="E69:E71" si="37">SUM(D69:D69)</f>
        <v>0</v>
      </c>
      <c r="F69" s="225">
        <f t="shared" ref="F69:F75" si="38">SUM(C69+E69)</f>
        <v>0</v>
      </c>
      <c r="G69" s="27"/>
      <c r="H69" s="27"/>
      <c r="I69" s="27"/>
      <c r="K69" s="73"/>
    </row>
    <row r="70" spans="2:13" ht="13.5" customHeight="1" x14ac:dyDescent="0.2">
      <c r="B70" s="272" t="str">
        <f t="shared" si="36"/>
        <v>Módosított előirányzat 2026.10.hó</v>
      </c>
      <c r="C70" s="254">
        <f>'1.Bev-kiad.'!F61</f>
        <v>7455</v>
      </c>
      <c r="D70" s="254">
        <v>0</v>
      </c>
      <c r="E70" s="225">
        <f t="shared" si="37"/>
        <v>0</v>
      </c>
      <c r="F70" s="71">
        <f t="shared" si="38"/>
        <v>7455</v>
      </c>
      <c r="G70" s="27"/>
      <c r="H70" s="27"/>
      <c r="I70" s="27"/>
    </row>
    <row r="71" spans="2:13" ht="13.5" hidden="1" customHeight="1" x14ac:dyDescent="0.2">
      <c r="B71" s="272" t="str">
        <f t="shared" si="36"/>
        <v>Módosított előirányzat 2025.09.hó</v>
      </c>
      <c r="C71" s="254">
        <f>'1.Bev-kiad.'!H62</f>
        <v>0</v>
      </c>
      <c r="D71" s="254">
        <v>0</v>
      </c>
      <c r="E71" s="225">
        <f t="shared" si="37"/>
        <v>0</v>
      </c>
      <c r="F71" s="71">
        <f t="shared" si="38"/>
        <v>0</v>
      </c>
      <c r="G71" s="27"/>
      <c r="H71" s="27"/>
      <c r="I71" s="27"/>
    </row>
    <row r="72" spans="2:13" ht="13.5" hidden="1" customHeight="1" x14ac:dyDescent="0.2">
      <c r="B72" s="272" t="str">
        <f t="shared" si="36"/>
        <v>Módosított előirányzat 2025.12.hó</v>
      </c>
      <c r="C72" s="254">
        <f>'1.Bev-kiad.'!H63</f>
        <v>0</v>
      </c>
      <c r="D72" s="254">
        <v>0</v>
      </c>
      <c r="E72" s="225">
        <f t="shared" ref="E72:E75" si="39">SUM(D72:D72)</f>
        <v>0</v>
      </c>
      <c r="F72" s="71">
        <f t="shared" ref="F72:F73" si="40">SUM(C72+E72)</f>
        <v>0</v>
      </c>
      <c r="G72" s="27"/>
      <c r="H72" s="27"/>
      <c r="I72" s="27"/>
    </row>
    <row r="73" spans="2:13" ht="13.5" hidden="1" customHeight="1" x14ac:dyDescent="0.2">
      <c r="B73" s="272" t="str">
        <f t="shared" si="36"/>
        <v>Módosított előirányzat 2025.12.31</v>
      </c>
      <c r="C73" s="254">
        <f>'1.Bev-kiad.'!H64</f>
        <v>0</v>
      </c>
      <c r="D73" s="254">
        <v>0</v>
      </c>
      <c r="E73" s="225">
        <f t="shared" si="39"/>
        <v>0</v>
      </c>
      <c r="F73" s="71">
        <f t="shared" si="40"/>
        <v>0</v>
      </c>
      <c r="G73" s="27"/>
      <c r="H73" s="27"/>
      <c r="I73" s="27"/>
    </row>
    <row r="74" spans="2:13" ht="13.5" hidden="1" customHeight="1" x14ac:dyDescent="0.2">
      <c r="B74" s="272" t="str">
        <f t="shared" si="36"/>
        <v>Beszámoló előtti ei.mód.</v>
      </c>
      <c r="C74" s="254">
        <f>'1.Bev-kiad.'!M62</f>
        <v>0</v>
      </c>
      <c r="D74" s="254"/>
      <c r="E74" s="225">
        <f t="shared" si="39"/>
        <v>0</v>
      </c>
      <c r="F74" s="71">
        <f t="shared" si="38"/>
        <v>0</v>
      </c>
      <c r="G74" s="27"/>
      <c r="H74" s="27"/>
      <c r="I74" s="27"/>
    </row>
    <row r="75" spans="2:13" ht="13.5" hidden="1" customHeight="1" x14ac:dyDescent="0.2">
      <c r="B75" s="272" t="str">
        <f t="shared" si="36"/>
        <v>Teljesítés 2025.12.31.</v>
      </c>
      <c r="C75" s="254">
        <f>'1.Bev-kiad.'!N62</f>
        <v>0</v>
      </c>
      <c r="D75" s="254">
        <v>0</v>
      </c>
      <c r="E75" s="225">
        <f t="shared" si="39"/>
        <v>0</v>
      </c>
      <c r="F75" s="71">
        <f t="shared" si="38"/>
        <v>0</v>
      </c>
      <c r="G75" s="27"/>
      <c r="H75" s="27"/>
      <c r="I75" s="27"/>
    </row>
    <row r="76" spans="2:13" ht="5.25" customHeight="1" thickBot="1" x14ac:dyDescent="0.25">
      <c r="B76" s="272"/>
      <c r="C76" s="254"/>
      <c r="D76" s="254"/>
      <c r="E76" s="225"/>
      <c r="F76" s="71"/>
      <c r="G76" s="27"/>
      <c r="H76" s="27"/>
      <c r="I76" s="27"/>
    </row>
    <row r="77" spans="2:13" ht="14.25" customHeight="1" x14ac:dyDescent="0.2">
      <c r="B77" s="107" t="s">
        <v>48</v>
      </c>
      <c r="C77" s="227"/>
      <c r="D77" s="227"/>
      <c r="E77" s="227"/>
      <c r="F77" s="232"/>
      <c r="G77" s="27"/>
      <c r="H77" s="73"/>
    </row>
    <row r="78" spans="2:13" ht="14.25" customHeight="1" x14ac:dyDescent="0.2">
      <c r="B78" s="202" t="str">
        <f t="shared" ref="B78:B84" si="41">B10</f>
        <v>2026. évi eredeti előirányzat</v>
      </c>
      <c r="C78" s="229">
        <f t="shared" ref="C78:C84" si="42">SUM(C10+C28+C19)</f>
        <v>3011908</v>
      </c>
      <c r="D78" s="229">
        <f t="shared" ref="D78:D84" si="43">SUM(D10+D28)</f>
        <v>371723</v>
      </c>
      <c r="E78" s="229">
        <f t="shared" ref="E78:E84" si="44">SUM(D78:D78)</f>
        <v>371723</v>
      </c>
      <c r="F78" s="233">
        <f t="shared" ref="F78:F84" si="45">SUM(C78+E78)</f>
        <v>3383631</v>
      </c>
      <c r="G78" s="155"/>
      <c r="H78" s="203"/>
      <c r="I78" s="73"/>
      <c r="K78" s="73"/>
      <c r="L78" s="73"/>
      <c r="M78" s="73"/>
    </row>
    <row r="79" spans="2:13" ht="14.25" customHeight="1" x14ac:dyDescent="0.2">
      <c r="B79" s="202" t="str">
        <f t="shared" si="41"/>
        <v>Módosított előirányzat 2026.10.hó</v>
      </c>
      <c r="C79" s="229">
        <f t="shared" si="42"/>
        <v>2940316</v>
      </c>
      <c r="D79" s="229">
        <f t="shared" si="43"/>
        <v>370176</v>
      </c>
      <c r="E79" s="229">
        <f t="shared" si="44"/>
        <v>370176</v>
      </c>
      <c r="F79" s="233">
        <f t="shared" si="45"/>
        <v>3310492</v>
      </c>
      <c r="G79" s="155"/>
      <c r="H79" s="203"/>
      <c r="K79" s="73"/>
    </row>
    <row r="80" spans="2:13" ht="14.25" hidden="1" customHeight="1" x14ac:dyDescent="0.2">
      <c r="B80" s="202" t="str">
        <f t="shared" si="41"/>
        <v>Módosított előirányzat 2025.09.hó</v>
      </c>
      <c r="C80" s="229" t="e">
        <f t="shared" si="42"/>
        <v>#REF!</v>
      </c>
      <c r="D80" s="229" t="e">
        <f t="shared" si="43"/>
        <v>#REF!</v>
      </c>
      <c r="E80" s="229" t="e">
        <f t="shared" si="44"/>
        <v>#REF!</v>
      </c>
      <c r="F80" s="233" t="e">
        <f t="shared" si="45"/>
        <v>#REF!</v>
      </c>
      <c r="G80" s="155"/>
      <c r="H80" s="203"/>
      <c r="K80" s="73"/>
    </row>
    <row r="81" spans="2:12" ht="14.25" hidden="1" customHeight="1" x14ac:dyDescent="0.2">
      <c r="B81" s="202" t="str">
        <f t="shared" si="41"/>
        <v>Módosított előirányzat 2025.12.hó</v>
      </c>
      <c r="C81" s="229">
        <f t="shared" si="42"/>
        <v>-5597</v>
      </c>
      <c r="D81" s="229">
        <f t="shared" si="43"/>
        <v>0</v>
      </c>
      <c r="E81" s="229">
        <f t="shared" si="44"/>
        <v>0</v>
      </c>
      <c r="F81" s="233">
        <f t="shared" si="45"/>
        <v>-5597</v>
      </c>
      <c r="G81" s="155"/>
      <c r="H81" s="203"/>
      <c r="K81" s="73"/>
    </row>
    <row r="82" spans="2:12" ht="14.25" hidden="1" customHeight="1" x14ac:dyDescent="0.2">
      <c r="B82" s="202" t="str">
        <f t="shared" si="41"/>
        <v>Módosított előirányzat 2025.12.31</v>
      </c>
      <c r="C82" s="229">
        <f t="shared" si="42"/>
        <v>-5597</v>
      </c>
      <c r="D82" s="229">
        <f t="shared" si="43"/>
        <v>0</v>
      </c>
      <c r="E82" s="229">
        <f t="shared" ref="E82" si="46">SUM(D82:D82)</f>
        <v>0</v>
      </c>
      <c r="F82" s="233">
        <f t="shared" ref="F82" si="47">SUM(C82+E82)</f>
        <v>-5597</v>
      </c>
      <c r="G82" s="155"/>
      <c r="H82" s="203"/>
      <c r="K82" s="73"/>
    </row>
    <row r="83" spans="2:12" ht="14.25" hidden="1" customHeight="1" x14ac:dyDescent="0.2">
      <c r="B83" s="202" t="str">
        <f t="shared" si="41"/>
        <v>Beszámoló előtti ei.mód.</v>
      </c>
      <c r="C83" s="229" t="e">
        <f t="shared" si="42"/>
        <v>#REF!</v>
      </c>
      <c r="D83" s="229" t="e">
        <f t="shared" si="43"/>
        <v>#REF!</v>
      </c>
      <c r="E83" s="229" t="e">
        <f t="shared" si="44"/>
        <v>#REF!</v>
      </c>
      <c r="F83" s="233" t="e">
        <f t="shared" si="45"/>
        <v>#REF!</v>
      </c>
      <c r="G83" s="155"/>
      <c r="H83" s="203"/>
      <c r="K83" s="73"/>
    </row>
    <row r="84" spans="2:12" hidden="1" x14ac:dyDescent="0.2">
      <c r="B84" s="202" t="str">
        <f t="shared" si="41"/>
        <v>Teljesítés 2025.12.31.</v>
      </c>
      <c r="C84" s="229">
        <f t="shared" si="42"/>
        <v>-54861</v>
      </c>
      <c r="D84" s="229">
        <f t="shared" si="43"/>
        <v>301649</v>
      </c>
      <c r="E84" s="229">
        <f t="shared" si="44"/>
        <v>301649</v>
      </c>
      <c r="F84" s="233">
        <f t="shared" si="45"/>
        <v>246788</v>
      </c>
      <c r="G84" s="155"/>
      <c r="H84" s="203"/>
      <c r="J84" s="73"/>
      <c r="K84" s="73"/>
      <c r="L84" s="73">
        <f>E84-E100</f>
        <v>301649</v>
      </c>
    </row>
    <row r="85" spans="2:12" ht="14.25" customHeight="1" x14ac:dyDescent="0.2">
      <c r="B85" s="273" t="s">
        <v>49</v>
      </c>
      <c r="C85" s="229"/>
      <c r="D85" s="229"/>
      <c r="E85" s="229"/>
      <c r="F85" s="233">
        <f t="shared" ref="F85:F91" si="48">-E51-E60</f>
        <v>-303813</v>
      </c>
      <c r="G85" s="26"/>
      <c r="J85" s="73"/>
      <c r="K85" s="73"/>
      <c r="L85" s="73"/>
    </row>
    <row r="86" spans="2:12" ht="12.75" customHeight="1" thickBot="1" x14ac:dyDescent="0.25">
      <c r="B86" s="273" t="str">
        <f t="shared" ref="B86:B91" si="49">B79</f>
        <v>Módosított előirányzat 2026.10.hó</v>
      </c>
      <c r="C86" s="229"/>
      <c r="D86" s="229"/>
      <c r="E86" s="229"/>
      <c r="F86" s="233">
        <f t="shared" si="48"/>
        <v>-303813</v>
      </c>
      <c r="G86" s="26"/>
      <c r="K86" s="73"/>
    </row>
    <row r="87" spans="2:12" ht="12.75" hidden="1" customHeight="1" x14ac:dyDescent="0.2">
      <c r="B87" s="273" t="str">
        <f t="shared" si="49"/>
        <v>Módosított előirányzat 2025.09.hó</v>
      </c>
      <c r="C87" s="228"/>
      <c r="D87" s="228"/>
      <c r="E87" s="228"/>
      <c r="F87" s="233">
        <f t="shared" si="48"/>
        <v>5597</v>
      </c>
      <c r="G87" s="26"/>
      <c r="K87" s="73"/>
    </row>
    <row r="88" spans="2:12" ht="12.75" hidden="1" customHeight="1" x14ac:dyDescent="0.2">
      <c r="B88" s="273" t="str">
        <f t="shared" si="49"/>
        <v>Módosított előirányzat 2025.12.hó</v>
      </c>
      <c r="C88" s="228"/>
      <c r="D88" s="228"/>
      <c r="E88" s="228"/>
      <c r="F88" s="233">
        <f t="shared" si="48"/>
        <v>5597</v>
      </c>
      <c r="G88" s="26"/>
      <c r="J88" s="73"/>
      <c r="K88" s="73"/>
    </row>
    <row r="89" spans="2:12" ht="12.75" hidden="1" customHeight="1" x14ac:dyDescent="0.2">
      <c r="B89" s="273" t="str">
        <f t="shared" si="49"/>
        <v>Módosított előirányzat 2025.12.31</v>
      </c>
      <c r="C89" s="228"/>
      <c r="D89" s="228"/>
      <c r="E89" s="228"/>
      <c r="F89" s="233">
        <f>-E55-E64</f>
        <v>5597</v>
      </c>
      <c r="G89" s="26"/>
      <c r="K89" s="73"/>
    </row>
    <row r="90" spans="2:12" ht="12.75" hidden="1" customHeight="1" x14ac:dyDescent="0.2">
      <c r="B90" s="273" t="str">
        <f t="shared" si="49"/>
        <v>Beszámoló előtti ei.mód.</v>
      </c>
      <c r="C90" s="228"/>
      <c r="D90" s="228"/>
      <c r="E90" s="228"/>
      <c r="F90" s="233">
        <f t="shared" si="48"/>
        <v>0</v>
      </c>
      <c r="G90" s="26"/>
      <c r="K90" s="73"/>
    </row>
    <row r="91" spans="2:12" ht="13.5" hidden="1" thickBot="1" x14ac:dyDescent="0.25">
      <c r="B91" s="273" t="str">
        <f t="shared" si="49"/>
        <v>Teljesítés 2025.12.31.</v>
      </c>
      <c r="C91" s="228"/>
      <c r="D91" s="228"/>
      <c r="E91" s="228"/>
      <c r="F91" s="233">
        <f t="shared" si="48"/>
        <v>-246788</v>
      </c>
      <c r="G91" s="26"/>
      <c r="K91" s="73"/>
    </row>
    <row r="92" spans="2:12" ht="13.5" thickBot="1" x14ac:dyDescent="0.25">
      <c r="B92" s="74" t="s">
        <v>50</v>
      </c>
      <c r="C92" s="230"/>
      <c r="D92" s="230"/>
      <c r="E92" s="230"/>
      <c r="F92" s="234">
        <f>SUM(F79+F86)</f>
        <v>3006679</v>
      </c>
      <c r="G92" s="26"/>
      <c r="I92" s="73"/>
      <c r="J92" s="73"/>
      <c r="K92" s="73"/>
    </row>
    <row r="93" spans="2:12" ht="14.25" customHeight="1" x14ac:dyDescent="0.2">
      <c r="B93" s="264" t="s">
        <v>51</v>
      </c>
      <c r="C93" s="231"/>
      <c r="D93" s="231"/>
      <c r="E93" s="231"/>
      <c r="F93" s="235"/>
      <c r="G93" s="27"/>
      <c r="J93" s="73"/>
    </row>
    <row r="94" spans="2:12" x14ac:dyDescent="0.2">
      <c r="B94" s="202" t="str">
        <f t="shared" ref="B94:B107" si="50">B78</f>
        <v>2026. évi eredeti előirányzat</v>
      </c>
      <c r="C94" s="229">
        <f t="shared" ref="C94:C100" si="51">SUM(C110+C118+C126+C134+C142+C150+C158+C166)</f>
        <v>3011908</v>
      </c>
      <c r="D94" s="229">
        <f t="shared" ref="D94:D100" si="52">SUM(D110+D118+D126+D134+D150)</f>
        <v>371723</v>
      </c>
      <c r="E94" s="229">
        <f t="shared" ref="E94:E100" si="53">SUM(D94:D94)</f>
        <v>371723</v>
      </c>
      <c r="F94" s="233">
        <f t="shared" ref="F94:F100" si="54">SUM(C94+E94)</f>
        <v>3383631</v>
      </c>
      <c r="G94" s="155"/>
      <c r="H94" s="203"/>
      <c r="I94" s="35"/>
    </row>
    <row r="95" spans="2:12" x14ac:dyDescent="0.2">
      <c r="B95" s="202" t="str">
        <f t="shared" si="50"/>
        <v>Módosított előirányzat 2026.10.hó</v>
      </c>
      <c r="C95" s="229">
        <f t="shared" si="51"/>
        <v>2940316</v>
      </c>
      <c r="D95" s="229">
        <f t="shared" si="52"/>
        <v>370176</v>
      </c>
      <c r="E95" s="229">
        <f t="shared" si="53"/>
        <v>370176</v>
      </c>
      <c r="F95" s="233">
        <f t="shared" si="54"/>
        <v>3310492</v>
      </c>
      <c r="G95" s="155"/>
      <c r="H95" s="203"/>
      <c r="J95" s="73"/>
    </row>
    <row r="96" spans="2:12" hidden="1" x14ac:dyDescent="0.2">
      <c r="B96" s="202" t="str">
        <f t="shared" si="50"/>
        <v>Módosított előirányzat 2025.09.hó</v>
      </c>
      <c r="C96" s="229">
        <f t="shared" si="51"/>
        <v>-5597</v>
      </c>
      <c r="D96" s="229">
        <f t="shared" si="52"/>
        <v>0</v>
      </c>
      <c r="E96" s="229">
        <f t="shared" si="53"/>
        <v>0</v>
      </c>
      <c r="F96" s="233">
        <f t="shared" si="54"/>
        <v>-5597</v>
      </c>
      <c r="G96" s="155"/>
      <c r="H96" s="203"/>
    </row>
    <row r="97" spans="2:12" hidden="1" x14ac:dyDescent="0.2">
      <c r="B97" s="202" t="str">
        <f t="shared" si="50"/>
        <v>Módosított előirányzat 2025.12.hó</v>
      </c>
      <c r="C97" s="229">
        <f t="shared" si="51"/>
        <v>-5597</v>
      </c>
      <c r="D97" s="229">
        <f t="shared" si="52"/>
        <v>0</v>
      </c>
      <c r="E97" s="229">
        <f t="shared" si="53"/>
        <v>0</v>
      </c>
      <c r="F97" s="233">
        <f t="shared" si="54"/>
        <v>-5597</v>
      </c>
      <c r="G97" s="155"/>
      <c r="H97" s="203"/>
    </row>
    <row r="98" spans="2:12" hidden="1" x14ac:dyDescent="0.2">
      <c r="B98" s="202" t="str">
        <f t="shared" si="50"/>
        <v>Módosított előirányzat 2025.12.31</v>
      </c>
      <c r="C98" s="229">
        <f t="shared" si="51"/>
        <v>-5597</v>
      </c>
      <c r="D98" s="229">
        <f t="shared" si="52"/>
        <v>0</v>
      </c>
      <c r="E98" s="229">
        <f t="shared" ref="E98" si="55">SUM(D98:D98)</f>
        <v>0</v>
      </c>
      <c r="F98" s="233">
        <f t="shared" ref="F98" si="56">SUM(C98+E98)</f>
        <v>-5597</v>
      </c>
      <c r="G98" s="155"/>
      <c r="H98" s="203"/>
    </row>
    <row r="99" spans="2:12" hidden="1" x14ac:dyDescent="0.2">
      <c r="B99" s="202" t="str">
        <f t="shared" si="50"/>
        <v>Beszámoló előtti ei.mód.</v>
      </c>
      <c r="C99" s="229">
        <f t="shared" si="51"/>
        <v>0</v>
      </c>
      <c r="D99" s="229">
        <f t="shared" si="52"/>
        <v>0</v>
      </c>
      <c r="E99" s="229">
        <f t="shared" si="53"/>
        <v>0</v>
      </c>
      <c r="F99" s="233">
        <f t="shared" si="54"/>
        <v>0</v>
      </c>
      <c r="G99" s="155"/>
      <c r="H99" s="203"/>
    </row>
    <row r="100" spans="2:12" hidden="1" x14ac:dyDescent="0.2">
      <c r="B100" s="202" t="str">
        <f t="shared" si="50"/>
        <v>Teljesítés 2025.12.31.</v>
      </c>
      <c r="C100" s="229">
        <f t="shared" si="51"/>
        <v>246788</v>
      </c>
      <c r="D100" s="229">
        <f t="shared" si="52"/>
        <v>0</v>
      </c>
      <c r="E100" s="229">
        <f t="shared" si="53"/>
        <v>0</v>
      </c>
      <c r="F100" s="233">
        <f t="shared" si="54"/>
        <v>246788</v>
      </c>
      <c r="G100" s="155"/>
      <c r="H100" s="203"/>
    </row>
    <row r="101" spans="2:12" x14ac:dyDescent="0.2">
      <c r="B101" s="202" t="str">
        <f t="shared" si="50"/>
        <v xml:space="preserve">Intézményfinanszírozás </v>
      </c>
      <c r="C101" s="229"/>
      <c r="D101" s="229"/>
      <c r="E101" s="229"/>
      <c r="F101" s="233">
        <f t="shared" ref="F101:F107" si="57">F85</f>
        <v>-303813</v>
      </c>
      <c r="G101" s="26"/>
      <c r="I101" s="73"/>
    </row>
    <row r="102" spans="2:12" ht="13.5" thickBot="1" x14ac:dyDescent="0.25">
      <c r="B102" s="202" t="str">
        <f t="shared" si="50"/>
        <v>Módosított előirányzat 2026.10.hó</v>
      </c>
      <c r="C102" s="228"/>
      <c r="D102" s="228"/>
      <c r="E102" s="228"/>
      <c r="F102" s="233">
        <f t="shared" si="57"/>
        <v>-303813</v>
      </c>
      <c r="G102" s="26"/>
    </row>
    <row r="103" spans="2:12" hidden="1" x14ac:dyDescent="0.2">
      <c r="B103" s="202" t="str">
        <f t="shared" si="50"/>
        <v>Módosított előirányzat 2025.09.hó</v>
      </c>
      <c r="C103" s="228"/>
      <c r="D103" s="228"/>
      <c r="E103" s="228"/>
      <c r="F103" s="233">
        <f t="shared" si="57"/>
        <v>5597</v>
      </c>
      <c r="G103" s="26"/>
    </row>
    <row r="104" spans="2:12" hidden="1" x14ac:dyDescent="0.2">
      <c r="B104" s="202" t="str">
        <f t="shared" si="50"/>
        <v>Módosított előirányzat 2025.12.hó</v>
      </c>
      <c r="C104" s="228"/>
      <c r="D104" s="228"/>
      <c r="E104" s="228"/>
      <c r="F104" s="233">
        <f t="shared" si="57"/>
        <v>5597</v>
      </c>
      <c r="G104" s="26"/>
    </row>
    <row r="105" spans="2:12" hidden="1" x14ac:dyDescent="0.2">
      <c r="B105" s="202" t="str">
        <f t="shared" si="50"/>
        <v>Módosított előirányzat 2025.12.31</v>
      </c>
      <c r="C105" s="228"/>
      <c r="D105" s="228"/>
      <c r="E105" s="228"/>
      <c r="F105" s="233">
        <f t="shared" si="57"/>
        <v>5597</v>
      </c>
      <c r="G105" s="26"/>
    </row>
    <row r="106" spans="2:12" hidden="1" x14ac:dyDescent="0.2">
      <c r="B106" s="202" t="str">
        <f t="shared" si="50"/>
        <v>Beszámoló előtti ei.mód.</v>
      </c>
      <c r="C106" s="228"/>
      <c r="D106" s="228"/>
      <c r="E106" s="228"/>
      <c r="F106" s="233">
        <f t="shared" si="57"/>
        <v>0</v>
      </c>
      <c r="G106" s="26"/>
    </row>
    <row r="107" spans="2:12" ht="13.5" hidden="1" thickBot="1" x14ac:dyDescent="0.25">
      <c r="B107" s="202" t="str">
        <f t="shared" si="50"/>
        <v>Teljesítés 2025.12.31.</v>
      </c>
      <c r="C107" s="228"/>
      <c r="D107" s="228"/>
      <c r="E107" s="228"/>
      <c r="F107" s="233">
        <f t="shared" si="57"/>
        <v>-246788</v>
      </c>
      <c r="G107" s="26"/>
    </row>
    <row r="108" spans="2:12" ht="14.25" customHeight="1" thickBot="1" x14ac:dyDescent="0.25">
      <c r="B108" s="74" t="s">
        <v>52</v>
      </c>
      <c r="C108" s="230"/>
      <c r="D108" s="230"/>
      <c r="E108" s="230"/>
      <c r="F108" s="234">
        <f>SUM(F95+F102)</f>
        <v>3006679</v>
      </c>
      <c r="G108" s="27"/>
      <c r="H108" s="73"/>
      <c r="J108" s="73"/>
      <c r="K108" s="73"/>
      <c r="L108" s="73"/>
    </row>
    <row r="109" spans="2:12" ht="13.5" customHeight="1" x14ac:dyDescent="0.2">
      <c r="B109" s="253" t="s">
        <v>30</v>
      </c>
      <c r="C109" s="146"/>
      <c r="D109" s="146"/>
      <c r="E109" s="146"/>
      <c r="F109" s="146"/>
      <c r="G109" s="27"/>
      <c r="K109" s="73"/>
    </row>
    <row r="110" spans="2:12" ht="13.5" customHeight="1" x14ac:dyDescent="0.2">
      <c r="B110" s="211" t="str">
        <f>B10</f>
        <v>2026. évi eredeti előirányzat</v>
      </c>
      <c r="C110" s="226">
        <f>SUM('2.működés'!D126)</f>
        <v>74011</v>
      </c>
      <c r="D110" s="226">
        <f>SUM('9.Hivatal'!Y29)</f>
        <v>299331</v>
      </c>
      <c r="E110" s="225">
        <f t="shared" ref="E110:E116" si="58">SUM(D110)</f>
        <v>299331</v>
      </c>
      <c r="F110" s="225">
        <f t="shared" ref="F110:F116" si="59">SUM(C110+E110)</f>
        <v>373342</v>
      </c>
      <c r="G110" s="27"/>
      <c r="H110" s="339"/>
      <c r="I110" s="35"/>
    </row>
    <row r="111" spans="2:12" ht="13.5" customHeight="1" x14ac:dyDescent="0.2">
      <c r="B111" s="211" t="str">
        <f t="shared" ref="B111:B116" si="60">B79</f>
        <v>Módosított előirányzat 2026.10.hó</v>
      </c>
      <c r="C111" s="226">
        <f>SUM('2.működés'!F126)</f>
        <v>74385</v>
      </c>
      <c r="D111" s="226">
        <f>SUM('9.Hivatal'!Z29)</f>
        <v>297759</v>
      </c>
      <c r="E111" s="225">
        <f t="shared" si="58"/>
        <v>297759</v>
      </c>
      <c r="F111" s="225">
        <f t="shared" si="59"/>
        <v>372144</v>
      </c>
      <c r="G111" s="27"/>
    </row>
    <row r="112" spans="2:12" ht="13.5" hidden="1" customHeight="1" x14ac:dyDescent="0.2">
      <c r="B112" s="211" t="str">
        <f t="shared" si="60"/>
        <v>Módosított előirányzat 2025.09.hó</v>
      </c>
      <c r="C112" s="226">
        <f>SUM('2.működés'!H126)</f>
        <v>0</v>
      </c>
      <c r="D112" s="226">
        <f>SUM('9.Hivatal'!AA29)</f>
        <v>0</v>
      </c>
      <c r="E112" s="225">
        <f t="shared" si="58"/>
        <v>0</v>
      </c>
      <c r="F112" s="225">
        <f t="shared" si="59"/>
        <v>0</v>
      </c>
      <c r="G112" s="27"/>
    </row>
    <row r="113" spans="2:7" ht="13.5" hidden="1" customHeight="1" x14ac:dyDescent="0.2">
      <c r="B113" s="211" t="str">
        <f t="shared" si="60"/>
        <v>Módosított előirányzat 2025.12.hó</v>
      </c>
      <c r="C113" s="226">
        <f>SUM('2.működés'!J126)</f>
        <v>0</v>
      </c>
      <c r="D113" s="226">
        <f>SUM('9.Hivatal'!AB29)</f>
        <v>0</v>
      </c>
      <c r="E113" s="225">
        <f t="shared" si="58"/>
        <v>0</v>
      </c>
      <c r="F113" s="225">
        <f t="shared" si="59"/>
        <v>0</v>
      </c>
      <c r="G113" s="27"/>
    </row>
    <row r="114" spans="2:7" ht="13.5" hidden="1" customHeight="1" x14ac:dyDescent="0.2">
      <c r="B114" s="211" t="str">
        <f t="shared" si="60"/>
        <v>Módosított előirányzat 2025.12.31</v>
      </c>
      <c r="C114" s="226">
        <f>SUM('2.működés'!L126)</f>
        <v>0</v>
      </c>
      <c r="D114" s="226">
        <f>SUM('9.Hivatal'!AC29)</f>
        <v>0</v>
      </c>
      <c r="E114" s="225">
        <f t="shared" ref="E114" si="61">SUM(D114)</f>
        <v>0</v>
      </c>
      <c r="F114" s="225">
        <f t="shared" ref="F114" si="62">SUM(C114+E114)</f>
        <v>0</v>
      </c>
      <c r="G114" s="27"/>
    </row>
    <row r="115" spans="2:7" ht="13.5" hidden="1" customHeight="1" x14ac:dyDescent="0.2">
      <c r="B115" s="211" t="str">
        <f t="shared" si="60"/>
        <v>Beszámoló előtti ei.mód.</v>
      </c>
      <c r="C115" s="226"/>
      <c r="D115" s="226"/>
      <c r="E115" s="225">
        <f t="shared" si="58"/>
        <v>0</v>
      </c>
      <c r="F115" s="225">
        <f t="shared" si="59"/>
        <v>0</v>
      </c>
      <c r="G115" s="27"/>
    </row>
    <row r="116" spans="2:7" hidden="1" x14ac:dyDescent="0.2">
      <c r="B116" s="211" t="str">
        <f t="shared" si="60"/>
        <v>Teljesítés 2025.12.31.</v>
      </c>
      <c r="C116" s="226">
        <f>SUM('2.működés'!M126)</f>
        <v>0</v>
      </c>
      <c r="D116" s="226">
        <f>SUM('9.Hivatal'!AD29)</f>
        <v>0</v>
      </c>
      <c r="E116" s="225">
        <f t="shared" si="58"/>
        <v>0</v>
      </c>
      <c r="F116" s="225">
        <f t="shared" si="59"/>
        <v>0</v>
      </c>
      <c r="G116" s="27"/>
    </row>
    <row r="117" spans="2:7" ht="14.25" customHeight="1" x14ac:dyDescent="0.2">
      <c r="B117" s="253" t="s">
        <v>390</v>
      </c>
      <c r="C117" s="226"/>
      <c r="D117" s="226"/>
      <c r="E117" s="225"/>
      <c r="F117" s="225"/>
      <c r="G117" s="26"/>
    </row>
    <row r="118" spans="2:7" ht="13.5" customHeight="1" x14ac:dyDescent="0.2">
      <c r="B118" s="211" t="str">
        <f t="shared" ref="B118:B124" si="63">B110</f>
        <v>2026. évi eredeti előirányzat</v>
      </c>
      <c r="C118" s="226">
        <f>SUM('2.működés'!D129)</f>
        <v>8811</v>
      </c>
      <c r="D118" s="226">
        <f>SUM('9.Hivatal'!Y32)</f>
        <v>40800</v>
      </c>
      <c r="E118" s="225">
        <f t="shared" ref="E118:E124" si="64">SUM(D118)</f>
        <v>40800</v>
      </c>
      <c r="F118" s="225">
        <f t="shared" ref="F118:F124" si="65">SUM(C118+E118)</f>
        <v>49611</v>
      </c>
      <c r="G118" s="26"/>
    </row>
    <row r="119" spans="2:7" ht="13.5" customHeight="1" x14ac:dyDescent="0.2">
      <c r="B119" s="211" t="str">
        <f t="shared" si="63"/>
        <v>Módosított előirányzat 2026.10.hó</v>
      </c>
      <c r="C119" s="226">
        <f>SUM('2.működés'!F129)</f>
        <v>8881</v>
      </c>
      <c r="D119" s="226">
        <f>SUM('9.Hivatal'!Z32)</f>
        <v>40800</v>
      </c>
      <c r="E119" s="225">
        <f t="shared" si="64"/>
        <v>40800</v>
      </c>
      <c r="F119" s="225">
        <f t="shared" si="65"/>
        <v>49681</v>
      </c>
      <c r="G119" s="26"/>
    </row>
    <row r="120" spans="2:7" ht="13.5" hidden="1" customHeight="1" x14ac:dyDescent="0.2">
      <c r="B120" s="211" t="str">
        <f t="shared" si="63"/>
        <v>Módosított előirányzat 2025.09.hó</v>
      </c>
      <c r="C120" s="226">
        <f>SUM('2.működés'!H129)</f>
        <v>0</v>
      </c>
      <c r="D120" s="226">
        <f>SUM('9.Hivatal'!AA32)</f>
        <v>0</v>
      </c>
      <c r="E120" s="225">
        <f t="shared" si="64"/>
        <v>0</v>
      </c>
      <c r="F120" s="225">
        <f t="shared" si="65"/>
        <v>0</v>
      </c>
      <c r="G120" s="26"/>
    </row>
    <row r="121" spans="2:7" ht="13.5" hidden="1" customHeight="1" x14ac:dyDescent="0.2">
      <c r="B121" s="211" t="str">
        <f t="shared" si="63"/>
        <v>Módosított előirányzat 2025.12.hó</v>
      </c>
      <c r="C121" s="226">
        <f>SUM('2.működés'!J129)</f>
        <v>0</v>
      </c>
      <c r="D121" s="226">
        <f>SUM('9.Hivatal'!AB32)</f>
        <v>0</v>
      </c>
      <c r="E121" s="225">
        <f t="shared" si="64"/>
        <v>0</v>
      </c>
      <c r="F121" s="225">
        <f t="shared" si="65"/>
        <v>0</v>
      </c>
      <c r="G121" s="26"/>
    </row>
    <row r="122" spans="2:7" ht="13.5" hidden="1" customHeight="1" x14ac:dyDescent="0.2">
      <c r="B122" s="211" t="str">
        <f t="shared" si="63"/>
        <v>Módosított előirányzat 2025.12.31</v>
      </c>
      <c r="C122" s="226">
        <f>SUM('2.működés'!L129)</f>
        <v>0</v>
      </c>
      <c r="D122" s="226">
        <f>SUM('9.Hivatal'!AC32)</f>
        <v>0</v>
      </c>
      <c r="E122" s="225">
        <f t="shared" ref="E122" si="66">SUM(D122)</f>
        <v>0</v>
      </c>
      <c r="F122" s="225">
        <f t="shared" ref="F122" si="67">SUM(C122+E122)</f>
        <v>0</v>
      </c>
      <c r="G122" s="26"/>
    </row>
    <row r="123" spans="2:7" ht="13.5" hidden="1" customHeight="1" x14ac:dyDescent="0.2">
      <c r="B123" s="211" t="str">
        <f t="shared" si="63"/>
        <v>Beszámoló előtti ei.mód.</v>
      </c>
      <c r="C123" s="226"/>
      <c r="D123" s="226"/>
      <c r="E123" s="225">
        <f t="shared" si="64"/>
        <v>0</v>
      </c>
      <c r="F123" s="225">
        <f t="shared" si="65"/>
        <v>0</v>
      </c>
      <c r="G123" s="26"/>
    </row>
    <row r="124" spans="2:7" hidden="1" x14ac:dyDescent="0.2">
      <c r="B124" s="211" t="str">
        <f t="shared" si="63"/>
        <v>Teljesítés 2025.12.31.</v>
      </c>
      <c r="C124" s="226">
        <f>SUM('2.működés'!M129)</f>
        <v>0</v>
      </c>
      <c r="D124" s="226">
        <f>SUM('9.Hivatal'!AD32)</f>
        <v>0</v>
      </c>
      <c r="E124" s="225">
        <f t="shared" si="64"/>
        <v>0</v>
      </c>
      <c r="F124" s="225">
        <f t="shared" si="65"/>
        <v>0</v>
      </c>
      <c r="G124" s="26"/>
    </row>
    <row r="125" spans="2:7" ht="13.5" customHeight="1" x14ac:dyDescent="0.2">
      <c r="B125" s="251" t="s">
        <v>35</v>
      </c>
      <c r="C125" s="226"/>
      <c r="D125" s="226"/>
      <c r="E125" s="225"/>
      <c r="F125" s="225"/>
      <c r="G125" s="26"/>
    </row>
    <row r="126" spans="2:7" ht="13.5" customHeight="1" x14ac:dyDescent="0.2">
      <c r="B126" s="211" t="str">
        <f t="shared" ref="B126:B132" si="68">B118</f>
        <v>2026. évi eredeti előirányzat</v>
      </c>
      <c r="C126" s="226">
        <f>SUM('2.működés'!D132)</f>
        <v>591960</v>
      </c>
      <c r="D126" s="226">
        <f>SUM('9.Hivatal'!Y81)</f>
        <v>30892</v>
      </c>
      <c r="E126" s="225">
        <f t="shared" ref="E126:E132" si="69">SUM(D126)</f>
        <v>30892</v>
      </c>
      <c r="F126" s="225">
        <f t="shared" ref="F126:F132" si="70">SUM(C126+E126)</f>
        <v>622852</v>
      </c>
      <c r="G126" s="26"/>
    </row>
    <row r="127" spans="2:7" ht="13.5" customHeight="1" x14ac:dyDescent="0.2">
      <c r="B127" s="211" t="str">
        <f t="shared" si="68"/>
        <v>Módosított előirányzat 2026.10.hó</v>
      </c>
      <c r="C127" s="226">
        <f>SUM('2.működés'!F132)</f>
        <v>444667</v>
      </c>
      <c r="D127" s="226">
        <f>SUM('9.Hivatal'!Z81)</f>
        <v>30917</v>
      </c>
      <c r="E127" s="225">
        <f t="shared" si="69"/>
        <v>30917</v>
      </c>
      <c r="F127" s="225">
        <f t="shared" si="70"/>
        <v>475584</v>
      </c>
      <c r="G127" s="26"/>
    </row>
    <row r="128" spans="2:7" ht="13.5" hidden="1" customHeight="1" x14ac:dyDescent="0.2">
      <c r="B128" s="211" t="str">
        <f t="shared" si="68"/>
        <v>Módosított előirányzat 2025.09.hó</v>
      </c>
      <c r="C128" s="226">
        <f>SUM('2.működés'!H132)</f>
        <v>0</v>
      </c>
      <c r="D128" s="226">
        <f>SUM('9.Hivatal'!AA81)</f>
        <v>0</v>
      </c>
      <c r="E128" s="225">
        <f t="shared" si="69"/>
        <v>0</v>
      </c>
      <c r="F128" s="225">
        <f t="shared" si="70"/>
        <v>0</v>
      </c>
      <c r="G128" s="26"/>
    </row>
    <row r="129" spans="2:7" ht="13.5" hidden="1" customHeight="1" x14ac:dyDescent="0.2">
      <c r="B129" s="211" t="str">
        <f t="shared" si="68"/>
        <v>Módosított előirányzat 2025.12.hó</v>
      </c>
      <c r="C129" s="226">
        <f>SUM('2.működés'!J132)</f>
        <v>0</v>
      </c>
      <c r="D129" s="226">
        <f>SUM('9.Hivatal'!AB81)</f>
        <v>0</v>
      </c>
      <c r="E129" s="225">
        <f t="shared" si="69"/>
        <v>0</v>
      </c>
      <c r="F129" s="225">
        <f t="shared" si="70"/>
        <v>0</v>
      </c>
      <c r="G129" s="26"/>
    </row>
    <row r="130" spans="2:7" ht="13.5" hidden="1" customHeight="1" x14ac:dyDescent="0.2">
      <c r="B130" s="211" t="str">
        <f t="shared" si="68"/>
        <v>Módosított előirányzat 2025.12.31</v>
      </c>
      <c r="C130" s="226">
        <f>SUM('2.működés'!L132)</f>
        <v>0</v>
      </c>
      <c r="D130" s="226">
        <f>SUM('9.Hivatal'!AC81)</f>
        <v>0</v>
      </c>
      <c r="E130" s="225">
        <f t="shared" ref="E130" si="71">SUM(D130)</f>
        <v>0</v>
      </c>
      <c r="F130" s="225">
        <f t="shared" ref="F130" si="72">SUM(C130+E130)</f>
        <v>0</v>
      </c>
      <c r="G130" s="26"/>
    </row>
    <row r="131" spans="2:7" ht="13.5" hidden="1" customHeight="1" x14ac:dyDescent="0.2">
      <c r="B131" s="211" t="str">
        <f t="shared" si="68"/>
        <v>Beszámoló előtti ei.mód.</v>
      </c>
      <c r="C131" s="226"/>
      <c r="D131" s="226"/>
      <c r="E131" s="225">
        <f t="shared" si="69"/>
        <v>0</v>
      </c>
      <c r="F131" s="225">
        <f t="shared" si="70"/>
        <v>0</v>
      </c>
      <c r="G131" s="26"/>
    </row>
    <row r="132" spans="2:7" hidden="1" x14ac:dyDescent="0.2">
      <c r="B132" s="211" t="str">
        <f t="shared" si="68"/>
        <v>Teljesítés 2025.12.31.</v>
      </c>
      <c r="C132" s="226">
        <f>SUM('2.működés'!M132)</f>
        <v>0</v>
      </c>
      <c r="D132" s="226">
        <f>SUM('9.Hivatal'!AD81)</f>
        <v>0</v>
      </c>
      <c r="E132" s="225">
        <f t="shared" si="69"/>
        <v>0</v>
      </c>
      <c r="F132" s="225">
        <f t="shared" si="70"/>
        <v>0</v>
      </c>
      <c r="G132" s="26"/>
    </row>
    <row r="133" spans="2:7" ht="25.5" customHeight="1" x14ac:dyDescent="0.2">
      <c r="B133" s="252" t="s">
        <v>317</v>
      </c>
      <c r="C133" s="226"/>
      <c r="D133" s="226"/>
      <c r="E133" s="225"/>
      <c r="F133" s="225"/>
      <c r="G133" s="26"/>
    </row>
    <row r="134" spans="2:7" ht="13.5" customHeight="1" x14ac:dyDescent="0.2">
      <c r="B134" s="211" t="str">
        <f t="shared" ref="B134:B140" si="73">B126</f>
        <v>2026. évi eredeti előirányzat</v>
      </c>
      <c r="C134" s="226">
        <f>SUM('3.felh'!D48+'3.felh'!D74)+'3.felh'!D96+'3.felh'!D100</f>
        <v>1073538</v>
      </c>
      <c r="D134" s="226">
        <f>SUM('9.Hivatal'!Y85)</f>
        <v>700</v>
      </c>
      <c r="E134" s="225">
        <f t="shared" ref="E134:E140" si="74">SUM(D134)</f>
        <v>700</v>
      </c>
      <c r="F134" s="225">
        <f t="shared" ref="F134:F140" si="75">SUM(C134+E134)</f>
        <v>1074238</v>
      </c>
      <c r="G134" s="26"/>
    </row>
    <row r="135" spans="2:7" ht="13.5" customHeight="1" x14ac:dyDescent="0.2">
      <c r="B135" s="211" t="str">
        <f t="shared" si="73"/>
        <v>Módosított előirányzat 2026.10.hó</v>
      </c>
      <c r="C135" s="226">
        <f>SUM('3.felh'!F48+'3.felh'!F74)+'3.felh'!F96+'3.felh'!F100</f>
        <v>1043208</v>
      </c>
      <c r="D135" s="226">
        <f>SUM('9.Hivatal'!Z85)</f>
        <v>700</v>
      </c>
      <c r="E135" s="225">
        <f t="shared" si="74"/>
        <v>700</v>
      </c>
      <c r="F135" s="225">
        <f t="shared" si="75"/>
        <v>1043908</v>
      </c>
      <c r="G135" s="26"/>
    </row>
    <row r="136" spans="2:7" ht="13.5" hidden="1" customHeight="1" x14ac:dyDescent="0.2">
      <c r="B136" s="211" t="str">
        <f t="shared" si="73"/>
        <v>Módosított előirányzat 2025.09.hó</v>
      </c>
      <c r="C136" s="226">
        <f>SUM('3.felh'!H48+'3.felh'!H74)+'3.felh'!H96+'3.felh'!H100</f>
        <v>0</v>
      </c>
      <c r="D136" s="226">
        <f>SUM('9.Hivatal'!AA85)</f>
        <v>0</v>
      </c>
      <c r="E136" s="225">
        <f t="shared" si="74"/>
        <v>0</v>
      </c>
      <c r="F136" s="225">
        <f t="shared" si="75"/>
        <v>0</v>
      </c>
      <c r="G136" s="26"/>
    </row>
    <row r="137" spans="2:7" ht="13.5" hidden="1" customHeight="1" x14ac:dyDescent="0.2">
      <c r="B137" s="211" t="str">
        <f t="shared" si="73"/>
        <v>Módosított előirányzat 2025.12.hó</v>
      </c>
      <c r="C137" s="226">
        <f>SUM('3.felh'!J48+'3.felh'!J74)</f>
        <v>0</v>
      </c>
      <c r="D137" s="226">
        <f>SUM('9.Hivatal'!AB85)</f>
        <v>0</v>
      </c>
      <c r="E137" s="225">
        <f t="shared" si="74"/>
        <v>0</v>
      </c>
      <c r="F137" s="225">
        <f t="shared" si="75"/>
        <v>0</v>
      </c>
      <c r="G137" s="26"/>
    </row>
    <row r="138" spans="2:7" ht="13.5" hidden="1" customHeight="1" x14ac:dyDescent="0.2">
      <c r="B138" s="211" t="str">
        <f t="shared" si="73"/>
        <v>Módosított előirányzat 2025.12.31</v>
      </c>
      <c r="C138" s="226">
        <f>SUM('3.felh'!L48+'3.felh'!L74)</f>
        <v>0</v>
      </c>
      <c r="D138" s="226">
        <f>SUM('9.Hivatal'!AC85)</f>
        <v>0</v>
      </c>
      <c r="E138" s="225">
        <f t="shared" ref="E138" si="76">SUM(D138)</f>
        <v>0</v>
      </c>
      <c r="F138" s="225">
        <f t="shared" ref="F138" si="77">SUM(C138+E138)</f>
        <v>0</v>
      </c>
      <c r="G138" s="26"/>
    </row>
    <row r="139" spans="2:7" ht="13.5" hidden="1" customHeight="1" x14ac:dyDescent="0.2">
      <c r="B139" s="211" t="str">
        <f t="shared" si="73"/>
        <v>Beszámoló előtti ei.mód.</v>
      </c>
      <c r="C139" s="226"/>
      <c r="D139" s="226"/>
      <c r="E139" s="225">
        <f t="shared" si="74"/>
        <v>0</v>
      </c>
      <c r="F139" s="225">
        <f t="shared" si="75"/>
        <v>0</v>
      </c>
      <c r="G139" s="26"/>
    </row>
    <row r="140" spans="2:7" hidden="1" x14ac:dyDescent="0.2">
      <c r="B140" s="211" t="str">
        <f t="shared" si="73"/>
        <v>Teljesítés 2025.12.31.</v>
      </c>
      <c r="C140" s="226">
        <f>SUM('3.felh'!M48+'3.felh'!M74)</f>
        <v>0</v>
      </c>
      <c r="D140" s="226">
        <f>SUM('9.Hivatal'!AD85)</f>
        <v>0</v>
      </c>
      <c r="E140" s="225">
        <f t="shared" si="74"/>
        <v>0</v>
      </c>
      <c r="F140" s="225">
        <f t="shared" si="75"/>
        <v>0</v>
      </c>
      <c r="G140" s="26"/>
    </row>
    <row r="141" spans="2:7" ht="13.5" customHeight="1" x14ac:dyDescent="0.2">
      <c r="B141" s="250" t="s">
        <v>392</v>
      </c>
      <c r="C141" s="226"/>
      <c r="D141" s="226"/>
      <c r="E141" s="225"/>
      <c r="F141" s="225"/>
      <c r="G141" s="26"/>
    </row>
    <row r="142" spans="2:7" ht="13.5" customHeight="1" x14ac:dyDescent="0.2">
      <c r="B142" s="211" t="str">
        <f t="shared" ref="B142:B148" si="78">B134</f>
        <v>2026. évi eredeti előirányzat</v>
      </c>
      <c r="C142" s="226">
        <f>'8.Önk.'!AL108</f>
        <v>20000</v>
      </c>
      <c r="D142" s="226"/>
      <c r="E142" s="225">
        <f t="shared" ref="E142:E146" si="79">SUM(D142)</f>
        <v>0</v>
      </c>
      <c r="F142" s="225">
        <f t="shared" ref="F142:F148" si="80">SUM(C142)</f>
        <v>20000</v>
      </c>
      <c r="G142" s="26"/>
    </row>
    <row r="143" spans="2:7" ht="13.5" customHeight="1" x14ac:dyDescent="0.2">
      <c r="B143" s="211" t="str">
        <f t="shared" si="78"/>
        <v>Módosított előirányzat 2026.10.hó</v>
      </c>
      <c r="C143" s="226">
        <f>SUM('8.Önk.'!BV108)</f>
        <v>20000</v>
      </c>
      <c r="D143" s="226"/>
      <c r="E143" s="225">
        <f t="shared" si="79"/>
        <v>0</v>
      </c>
      <c r="F143" s="225">
        <f t="shared" si="80"/>
        <v>20000</v>
      </c>
      <c r="G143" s="26"/>
    </row>
    <row r="144" spans="2:7" ht="13.5" hidden="1" customHeight="1" x14ac:dyDescent="0.2">
      <c r="B144" s="211" t="str">
        <f t="shared" si="78"/>
        <v>Módosított előirányzat 2025.09.hó</v>
      </c>
      <c r="C144" s="226">
        <f>SUM('8.Önk.'!BW108)</f>
        <v>0</v>
      </c>
      <c r="D144" s="226"/>
      <c r="E144" s="225">
        <f t="shared" si="79"/>
        <v>0</v>
      </c>
      <c r="F144" s="225">
        <f t="shared" si="80"/>
        <v>0</v>
      </c>
      <c r="G144" s="26"/>
    </row>
    <row r="145" spans="2:7" ht="13.5" hidden="1" customHeight="1" x14ac:dyDescent="0.2">
      <c r="B145" s="211" t="str">
        <f t="shared" si="78"/>
        <v>Módosított előirányzat 2025.12.hó</v>
      </c>
      <c r="C145" s="226">
        <f>SUM('8.Önk.'!BX108)</f>
        <v>0</v>
      </c>
      <c r="D145" s="226"/>
      <c r="E145" s="225">
        <f t="shared" si="79"/>
        <v>0</v>
      </c>
      <c r="F145" s="225">
        <f t="shared" si="80"/>
        <v>0</v>
      </c>
      <c r="G145" s="26"/>
    </row>
    <row r="146" spans="2:7" ht="13.5" hidden="1" customHeight="1" x14ac:dyDescent="0.2">
      <c r="B146" s="211" t="str">
        <f t="shared" si="78"/>
        <v>Módosított előirányzat 2025.12.31</v>
      </c>
      <c r="C146" s="226">
        <f>SUM('8.Önk.'!BY108)</f>
        <v>0</v>
      </c>
      <c r="D146" s="226"/>
      <c r="E146" s="225">
        <f t="shared" si="79"/>
        <v>0</v>
      </c>
      <c r="F146" s="225">
        <f t="shared" ref="F146" si="81">SUM(C146)</f>
        <v>0</v>
      </c>
      <c r="G146" s="26"/>
    </row>
    <row r="147" spans="2:7" ht="13.5" hidden="1" customHeight="1" x14ac:dyDescent="0.2">
      <c r="B147" s="211" t="str">
        <f t="shared" si="78"/>
        <v>Beszámoló előtti ei.mód.</v>
      </c>
      <c r="C147" s="226"/>
      <c r="D147" s="226"/>
      <c r="E147" s="225"/>
      <c r="F147" s="225">
        <f t="shared" si="80"/>
        <v>0</v>
      </c>
      <c r="G147" s="26"/>
    </row>
    <row r="148" spans="2:7" hidden="1" x14ac:dyDescent="0.2">
      <c r="B148" s="211" t="str">
        <f t="shared" si="78"/>
        <v>Teljesítés 2025.12.31.</v>
      </c>
      <c r="C148" s="226">
        <f>SUM('8.Önk.'!BZ108)</f>
        <v>0</v>
      </c>
      <c r="D148" s="226"/>
      <c r="E148" s="225"/>
      <c r="F148" s="225">
        <f t="shared" si="80"/>
        <v>0</v>
      </c>
      <c r="G148" s="26"/>
    </row>
    <row r="149" spans="2:7" ht="13.5" customHeight="1" x14ac:dyDescent="0.2">
      <c r="B149" s="251" t="s">
        <v>36</v>
      </c>
      <c r="C149" s="226"/>
      <c r="D149" s="226"/>
      <c r="E149" s="225"/>
      <c r="F149" s="225"/>
      <c r="G149" s="26"/>
    </row>
    <row r="150" spans="2:7" ht="13.5" customHeight="1" x14ac:dyDescent="0.2">
      <c r="B150" s="211" t="str">
        <f t="shared" ref="B150:B156" si="82">B142</f>
        <v>2026. évi eredeti előirányzat</v>
      </c>
      <c r="C150" s="226">
        <f>'2.működés'!D136+'2.működés'!D138+'2.működés'!D139+'2.működés'!D140</f>
        <v>741989</v>
      </c>
      <c r="D150" s="226"/>
      <c r="E150" s="225">
        <f t="shared" ref="E150:E164" si="83">SUM(D150)</f>
        <v>0</v>
      </c>
      <c r="F150" s="225">
        <f t="shared" ref="F150:F156" si="84">SUM(C150+E150)</f>
        <v>741989</v>
      </c>
      <c r="G150" s="26"/>
    </row>
    <row r="151" spans="2:7" ht="13.5" customHeight="1" x14ac:dyDescent="0.2">
      <c r="B151" s="211" t="str">
        <f t="shared" si="82"/>
        <v>Módosított előirányzat 2026.10.hó</v>
      </c>
      <c r="C151" s="226">
        <f>'2.működés'!F136+'2.működés'!F138+'2.működés'!F139+'2.működés'!F140</f>
        <v>754719</v>
      </c>
      <c r="D151" s="226"/>
      <c r="E151" s="225">
        <f t="shared" si="83"/>
        <v>0</v>
      </c>
      <c r="F151" s="225">
        <f t="shared" si="84"/>
        <v>754719</v>
      </c>
      <c r="G151" s="26"/>
    </row>
    <row r="152" spans="2:7" ht="13.5" hidden="1" customHeight="1" x14ac:dyDescent="0.2">
      <c r="B152" s="211" t="str">
        <f t="shared" si="82"/>
        <v>Módosított előirányzat 2025.09.hó</v>
      </c>
      <c r="C152" s="226">
        <f>'2.működés'!H136+'2.működés'!H138+'2.működés'!H139+'2.működés'!H140</f>
        <v>0</v>
      </c>
      <c r="D152" s="226"/>
      <c r="E152" s="225">
        <f t="shared" si="83"/>
        <v>0</v>
      </c>
      <c r="F152" s="225">
        <f t="shared" si="84"/>
        <v>0</v>
      </c>
      <c r="G152" s="26"/>
    </row>
    <row r="153" spans="2:7" ht="13.5" hidden="1" customHeight="1" x14ac:dyDescent="0.2">
      <c r="B153" s="211" t="str">
        <f t="shared" si="82"/>
        <v>Módosított előirányzat 2025.12.hó</v>
      </c>
      <c r="C153" s="226">
        <f>'2.működés'!J136+'2.működés'!J138+'2.működés'!J139+'2.működés'!J140</f>
        <v>0</v>
      </c>
      <c r="D153" s="226"/>
      <c r="E153" s="225">
        <f t="shared" si="83"/>
        <v>0</v>
      </c>
      <c r="F153" s="225">
        <f t="shared" si="84"/>
        <v>0</v>
      </c>
      <c r="G153" s="26"/>
    </row>
    <row r="154" spans="2:7" ht="13.5" hidden="1" customHeight="1" x14ac:dyDescent="0.2">
      <c r="B154" s="211" t="str">
        <f t="shared" si="82"/>
        <v>Módosított előirányzat 2025.12.31</v>
      </c>
      <c r="C154" s="226">
        <f>'2.működés'!L136+'2.működés'!L138+'2.működés'!L139+'2.működés'!L140</f>
        <v>0</v>
      </c>
      <c r="D154" s="226"/>
      <c r="E154" s="225">
        <f t="shared" ref="E154" si="85">SUM(D154)</f>
        <v>0</v>
      </c>
      <c r="F154" s="225">
        <f t="shared" ref="F154" si="86">SUM(C154+E154)</f>
        <v>0</v>
      </c>
      <c r="G154" s="26"/>
    </row>
    <row r="155" spans="2:7" ht="13.5" hidden="1" customHeight="1" x14ac:dyDescent="0.2">
      <c r="B155" s="211" t="str">
        <f t="shared" si="82"/>
        <v>Beszámoló előtti ei.mód.</v>
      </c>
      <c r="C155" s="226">
        <f>'2.működés'!L137+'2.működés'!L139+'2.működés'!L140+'2.működés'!L141</f>
        <v>0</v>
      </c>
      <c r="D155" s="226"/>
      <c r="E155" s="225">
        <f t="shared" si="83"/>
        <v>0</v>
      </c>
      <c r="F155" s="225">
        <f t="shared" si="84"/>
        <v>0</v>
      </c>
      <c r="G155" s="26"/>
    </row>
    <row r="156" spans="2:7" hidden="1" x14ac:dyDescent="0.2">
      <c r="B156" s="211" t="str">
        <f t="shared" si="82"/>
        <v>Teljesítés 2025.12.31.</v>
      </c>
      <c r="C156" s="226">
        <f>'2.működés'!M136+'2.működés'!M138+'2.működés'!M139+'2.működés'!M140</f>
        <v>0</v>
      </c>
      <c r="D156" s="226"/>
      <c r="E156" s="225">
        <f t="shared" si="83"/>
        <v>0</v>
      </c>
      <c r="F156" s="225">
        <f t="shared" si="84"/>
        <v>0</v>
      </c>
      <c r="G156" s="26"/>
    </row>
    <row r="157" spans="2:7" ht="13.5" customHeight="1" x14ac:dyDescent="0.2">
      <c r="B157" s="251" t="s">
        <v>53</v>
      </c>
      <c r="C157" s="226"/>
      <c r="D157" s="226"/>
      <c r="E157" s="225"/>
      <c r="F157" s="225"/>
      <c r="G157" s="26"/>
    </row>
    <row r="158" spans="2:7" ht="13.5" customHeight="1" x14ac:dyDescent="0.2">
      <c r="B158" s="211" t="str">
        <f t="shared" ref="B158:B164" si="87">B150</f>
        <v>2026. évi eredeti előirányzat</v>
      </c>
      <c r="C158" s="226">
        <f>SUM('1.Bev-kiad.'!D84+-'7.finanszírozás.'!F85)</f>
        <v>425599</v>
      </c>
      <c r="D158" s="226"/>
      <c r="E158" s="225">
        <f t="shared" si="83"/>
        <v>0</v>
      </c>
      <c r="F158" s="225">
        <f t="shared" ref="F158:F164" si="88">SUM(C158)</f>
        <v>425599</v>
      </c>
      <c r="G158" s="26"/>
    </row>
    <row r="159" spans="2:7" ht="13.5" customHeight="1" x14ac:dyDescent="0.2">
      <c r="B159" s="211" t="str">
        <f t="shared" si="87"/>
        <v>Módosított előirányzat 2026.10.hó</v>
      </c>
      <c r="C159" s="226">
        <f>SUM('1.Bev-kiad.'!F84+-'7.finanszírozás.'!F86)</f>
        <v>433054</v>
      </c>
      <c r="D159" s="226"/>
      <c r="E159" s="225">
        <f t="shared" si="83"/>
        <v>0</v>
      </c>
      <c r="F159" s="225">
        <f t="shared" si="88"/>
        <v>433054</v>
      </c>
      <c r="G159" s="26"/>
    </row>
    <row r="160" spans="2:7" ht="13.5" hidden="1" customHeight="1" x14ac:dyDescent="0.2">
      <c r="B160" s="211" t="str">
        <f t="shared" si="87"/>
        <v>Módosított előirányzat 2025.09.hó</v>
      </c>
      <c r="C160" s="226">
        <f>SUM('1.Bev-kiad.'!H84+-'7.finanszírozás.'!F87)</f>
        <v>-5597</v>
      </c>
      <c r="D160" s="226"/>
      <c r="E160" s="225">
        <f t="shared" si="83"/>
        <v>0</v>
      </c>
      <c r="F160" s="225">
        <f t="shared" si="88"/>
        <v>-5597</v>
      </c>
      <c r="G160" s="26"/>
    </row>
    <row r="161" spans="2:7" ht="13.5" hidden="1" customHeight="1" x14ac:dyDescent="0.2">
      <c r="B161" s="211" t="str">
        <f t="shared" si="87"/>
        <v>Módosított előirányzat 2025.12.hó</v>
      </c>
      <c r="C161" s="226">
        <f>SUM('1.Bev-kiad.'!J84+-'7.finanszírozás.'!F88)</f>
        <v>-5597</v>
      </c>
      <c r="D161" s="226"/>
      <c r="E161" s="225">
        <f t="shared" si="83"/>
        <v>0</v>
      </c>
      <c r="F161" s="225">
        <f t="shared" si="88"/>
        <v>-5597</v>
      </c>
      <c r="G161" s="26"/>
    </row>
    <row r="162" spans="2:7" ht="13.5" hidden="1" customHeight="1" x14ac:dyDescent="0.2">
      <c r="B162" s="211" t="str">
        <f t="shared" si="87"/>
        <v>Módosított előirányzat 2025.12.31</v>
      </c>
      <c r="C162" s="226">
        <f>SUM('1.Bev-kiad.'!L84+-'7.finanszírozás.'!F89)</f>
        <v>-5597</v>
      </c>
      <c r="D162" s="226"/>
      <c r="E162" s="225">
        <f t="shared" ref="E162" si="89">SUM(D162)</f>
        <v>0</v>
      </c>
      <c r="F162" s="225">
        <f t="shared" ref="F162" si="90">SUM(C162)</f>
        <v>-5597</v>
      </c>
      <c r="G162" s="26"/>
    </row>
    <row r="163" spans="2:7" ht="13.5" hidden="1" customHeight="1" x14ac:dyDescent="0.2">
      <c r="B163" s="211" t="str">
        <f t="shared" si="87"/>
        <v>Beszámoló előtti ei.mód.</v>
      </c>
      <c r="C163" s="226"/>
      <c r="D163" s="226"/>
      <c r="E163" s="225">
        <f t="shared" si="83"/>
        <v>0</v>
      </c>
      <c r="F163" s="225">
        <f t="shared" si="88"/>
        <v>0</v>
      </c>
      <c r="G163" s="26"/>
    </row>
    <row r="164" spans="2:7" hidden="1" x14ac:dyDescent="0.2">
      <c r="B164" s="211" t="str">
        <f t="shared" si="87"/>
        <v>Teljesítés 2025.12.31.</v>
      </c>
      <c r="C164" s="226">
        <f>SUM('1.Bev-kiad.'!M84+-'7.finanszírozás.'!F91)</f>
        <v>246788</v>
      </c>
      <c r="D164" s="226"/>
      <c r="E164" s="225">
        <f t="shared" si="83"/>
        <v>0</v>
      </c>
      <c r="F164" s="225">
        <f t="shared" si="88"/>
        <v>246788</v>
      </c>
      <c r="G164" s="26"/>
    </row>
    <row r="165" spans="2:7" ht="13.5" customHeight="1" x14ac:dyDescent="0.2">
      <c r="B165" s="250" t="s">
        <v>318</v>
      </c>
      <c r="C165" s="226"/>
      <c r="D165" s="226"/>
      <c r="E165" s="225"/>
      <c r="F165" s="225"/>
      <c r="G165" s="26"/>
    </row>
    <row r="166" spans="2:7" ht="13.5" customHeight="1" x14ac:dyDescent="0.2">
      <c r="B166" s="211" t="str">
        <f t="shared" ref="B166:B172" si="91">B158</f>
        <v>2026. évi eredeti előirányzat</v>
      </c>
      <c r="C166" s="226">
        <f>'2.működés'!D137+'3.felh'!D101</f>
        <v>76000</v>
      </c>
      <c r="D166" s="226"/>
      <c r="E166" s="225">
        <f t="shared" ref="E166:E171" si="92">SUM(D166)</f>
        <v>0</v>
      </c>
      <c r="F166" s="225">
        <f t="shared" ref="F166:F172" si="93">SUM(C166)</f>
        <v>76000</v>
      </c>
      <c r="G166" s="26"/>
    </row>
    <row r="167" spans="2:7" ht="13.5" customHeight="1" x14ac:dyDescent="0.2">
      <c r="B167" s="211" t="str">
        <f t="shared" si="91"/>
        <v>Módosított előirányzat 2026.10.hó</v>
      </c>
      <c r="C167" s="226">
        <f>'2.működés'!F137+'3.felh'!F101</f>
        <v>161402</v>
      </c>
      <c r="D167" s="226"/>
      <c r="E167" s="225">
        <f t="shared" si="92"/>
        <v>0</v>
      </c>
      <c r="F167" s="225">
        <f t="shared" si="93"/>
        <v>161402</v>
      </c>
      <c r="G167" s="26"/>
    </row>
    <row r="168" spans="2:7" ht="13.5" hidden="1" customHeight="1" x14ac:dyDescent="0.2">
      <c r="B168" s="211" t="str">
        <f t="shared" si="91"/>
        <v>Módosított előirányzat 2025.09.hó</v>
      </c>
      <c r="C168" s="226">
        <f>'2.működés'!H137+'3.felh'!H101</f>
        <v>0</v>
      </c>
      <c r="D168" s="226"/>
      <c r="E168" s="225">
        <f t="shared" si="92"/>
        <v>0</v>
      </c>
      <c r="F168" s="225">
        <f t="shared" si="93"/>
        <v>0</v>
      </c>
      <c r="G168" s="26"/>
    </row>
    <row r="169" spans="2:7" ht="13.5" hidden="1" customHeight="1" x14ac:dyDescent="0.2">
      <c r="B169" s="211" t="str">
        <f t="shared" si="91"/>
        <v>Módosított előirányzat 2025.12.hó</v>
      </c>
      <c r="C169" s="226">
        <f>'2.működés'!J137+'3.felh'!J101</f>
        <v>0</v>
      </c>
      <c r="D169" s="226"/>
      <c r="E169" s="225">
        <f t="shared" si="92"/>
        <v>0</v>
      </c>
      <c r="F169" s="225">
        <f t="shared" si="93"/>
        <v>0</v>
      </c>
      <c r="G169" s="26"/>
    </row>
    <row r="170" spans="2:7" ht="13.5" hidden="1" customHeight="1" x14ac:dyDescent="0.2">
      <c r="B170" s="211" t="str">
        <f t="shared" si="91"/>
        <v>Módosított előirányzat 2025.12.31</v>
      </c>
      <c r="C170" s="226">
        <f>'2.működés'!L137+'3.felh'!L101</f>
        <v>0</v>
      </c>
      <c r="D170" s="226"/>
      <c r="E170" s="225">
        <f t="shared" ref="E170" si="94">SUM(D170)</f>
        <v>0</v>
      </c>
      <c r="F170" s="225">
        <f t="shared" ref="F170" si="95">SUM(C170)</f>
        <v>0</v>
      </c>
      <c r="G170" s="26"/>
    </row>
    <row r="171" spans="2:7" ht="13.5" hidden="1" customHeight="1" x14ac:dyDescent="0.2">
      <c r="B171" s="211" t="str">
        <f t="shared" si="91"/>
        <v>Beszámoló előtti ei.mód.</v>
      </c>
      <c r="C171" s="226">
        <f>'2.működés'!L138+'3.felh'!L102</f>
        <v>0</v>
      </c>
      <c r="D171" s="226"/>
      <c r="E171" s="225">
        <f t="shared" si="92"/>
        <v>0</v>
      </c>
      <c r="F171" s="225">
        <f t="shared" si="93"/>
        <v>0</v>
      </c>
      <c r="G171" s="26"/>
    </row>
    <row r="172" spans="2:7" hidden="1" x14ac:dyDescent="0.2">
      <c r="B172" s="211" t="str">
        <f t="shared" si="91"/>
        <v>Teljesítés 2025.12.31.</v>
      </c>
      <c r="C172" s="226">
        <f>'2.működés'!M137+'3.felh'!M101</f>
        <v>0</v>
      </c>
      <c r="D172" s="226"/>
      <c r="E172" s="225"/>
      <c r="F172" s="225">
        <f t="shared" si="93"/>
        <v>0</v>
      </c>
      <c r="G172" s="26"/>
    </row>
    <row r="173" spans="2:7" x14ac:dyDescent="0.2">
      <c r="C173" s="9"/>
      <c r="D173" s="9"/>
    </row>
    <row r="174" spans="2:7" x14ac:dyDescent="0.2">
      <c r="C174" s="73"/>
    </row>
  </sheetData>
  <mergeCells count="5">
    <mergeCell ref="F7:F8"/>
    <mergeCell ref="B5:F5"/>
    <mergeCell ref="B7:B8"/>
    <mergeCell ref="C7:C8"/>
    <mergeCell ref="E7:E8"/>
  </mergeCells>
  <pageMargins left="0.36" right="0.16" top="0.27559055118110237" bottom="0.15748031496062992" header="0.15748031496062992" footer="0.15748031496062992"/>
  <pageSetup paperSize="9" scale="83" orientation="portrait" r:id="rId1"/>
  <rowBreaks count="1" manualBreakCount="1">
    <brk id="17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P316"/>
  <sheetViews>
    <sheetView zoomScale="80" zoomScaleNormal="80" zoomScaleSheetLayoutView="50" zoomScalePageLayoutView="80" workbookViewId="0">
      <selection activeCell="B9" sqref="B9:B10"/>
    </sheetView>
  </sheetViews>
  <sheetFormatPr defaultRowHeight="12.75" x14ac:dyDescent="0.2"/>
  <cols>
    <col min="1" max="1" width="6" style="160" customWidth="1"/>
    <col min="2" max="2" width="59.5703125" customWidth="1"/>
    <col min="3" max="3" width="8" customWidth="1"/>
    <col min="4" max="5" width="12.28515625" customWidth="1"/>
    <col min="6" max="6" width="12.28515625" hidden="1" customWidth="1"/>
    <col min="7" max="9" width="11.5703125" hidden="1" customWidth="1"/>
    <col min="10" max="10" width="17.140625" style="9" hidden="1" customWidth="1"/>
    <col min="11" max="12" width="9.140625" style="9" hidden="1" customWidth="1"/>
    <col min="13" max="14" width="10.140625" style="9" hidden="1" customWidth="1"/>
    <col min="15" max="15" width="10.140625" hidden="1" customWidth="1"/>
    <col min="16" max="16" width="8" customWidth="1"/>
    <col min="17" max="18" width="12.28515625" customWidth="1"/>
    <col min="19" max="19" width="12.28515625" hidden="1" customWidth="1"/>
    <col min="20" max="22" width="10.140625" hidden="1" customWidth="1"/>
    <col min="23" max="23" width="8" customWidth="1"/>
    <col min="24" max="25" width="12.85546875" customWidth="1"/>
    <col min="26" max="26" width="12.85546875" hidden="1" customWidth="1"/>
    <col min="27" max="29" width="10.140625" hidden="1" customWidth="1"/>
    <col min="30" max="30" width="9.140625" customWidth="1"/>
    <col min="31" max="32" width="12.42578125" customWidth="1"/>
    <col min="33" max="33" width="12.42578125" hidden="1" customWidth="1"/>
    <col min="34" max="36" width="10.140625" hidden="1" customWidth="1"/>
    <col min="37" max="37" width="8.140625" customWidth="1"/>
    <col min="38" max="38" width="10.5703125" customWidth="1"/>
    <col min="39" max="39" width="11.85546875" customWidth="1"/>
    <col min="40" max="40" width="11" hidden="1" customWidth="1"/>
    <col min="41" max="43" width="10.140625" hidden="1" customWidth="1"/>
    <col min="44" max="45" width="10" hidden="1" customWidth="1"/>
    <col min="46" max="47" width="8.85546875" hidden="1" customWidth="1"/>
    <col min="48" max="50" width="10.140625" hidden="1" customWidth="1"/>
    <col min="51" max="52" width="9.5703125" hidden="1" customWidth="1"/>
    <col min="53" max="54" width="8.7109375" hidden="1" customWidth="1"/>
    <col min="55" max="57" width="10.140625" hidden="1" customWidth="1"/>
    <col min="58" max="58" width="7.85546875" customWidth="1"/>
    <col min="59" max="60" width="12.7109375" customWidth="1"/>
    <col min="61" max="61" width="12.7109375" hidden="1" customWidth="1"/>
    <col min="62" max="64" width="10.140625" hidden="1" customWidth="1"/>
    <col min="65" max="65" width="8.28515625" customWidth="1"/>
    <col min="66" max="67" width="12.140625" customWidth="1"/>
    <col min="68" max="68" width="12.140625" hidden="1" customWidth="1"/>
    <col min="69" max="71" width="10.140625" hidden="1" customWidth="1"/>
    <col min="72" max="72" width="8.140625" customWidth="1"/>
    <col min="73" max="74" width="12.42578125" customWidth="1"/>
    <col min="75" max="75" width="12.42578125" hidden="1" customWidth="1"/>
    <col min="76" max="78" width="11.7109375" hidden="1" customWidth="1"/>
    <col min="79" max="79" width="2.28515625" customWidth="1"/>
  </cols>
  <sheetData>
    <row r="1" spans="1:78" x14ac:dyDescent="0.2">
      <c r="A1" s="257"/>
      <c r="B1" s="1"/>
      <c r="C1" s="56"/>
      <c r="D1" s="56"/>
      <c r="E1" s="56"/>
      <c r="F1" s="56"/>
      <c r="G1" s="56"/>
      <c r="H1" s="56"/>
      <c r="I1" s="56"/>
      <c r="AD1" s="106"/>
      <c r="AE1" s="106"/>
      <c r="AI1" s="106"/>
      <c r="BV1" s="106" t="s">
        <v>319</v>
      </c>
      <c r="BZ1" s="53"/>
    </row>
    <row r="2" spans="1:78" x14ac:dyDescent="0.2">
      <c r="A2" s="257"/>
      <c r="B2" s="1"/>
      <c r="C2" s="56"/>
      <c r="D2" s="56"/>
      <c r="E2" s="56"/>
      <c r="F2" s="56"/>
      <c r="G2" s="56"/>
      <c r="H2" s="56"/>
      <c r="I2" s="56"/>
      <c r="AD2" s="106"/>
      <c r="AE2" s="106"/>
      <c r="AI2" s="362"/>
      <c r="BV2" s="106" t="str">
        <f>'1.Bev-kiad.'!F2</f>
        <v>a 12/2026.(X.2.) önkormányzati rendelethez</v>
      </c>
      <c r="BZ2" s="53"/>
    </row>
    <row r="3" spans="1:78" x14ac:dyDescent="0.2">
      <c r="A3" s="257"/>
      <c r="B3" s="1"/>
      <c r="C3" s="56"/>
      <c r="D3" s="56"/>
      <c r="E3" s="56"/>
      <c r="F3" s="56"/>
      <c r="G3" s="56"/>
      <c r="H3" s="56"/>
      <c r="I3" s="56"/>
      <c r="AI3" s="106"/>
      <c r="BV3" s="106" t="s">
        <v>1142</v>
      </c>
      <c r="BY3" s="106"/>
      <c r="BZ3" s="53"/>
    </row>
    <row r="4" spans="1:78" x14ac:dyDescent="0.2">
      <c r="A4" s="257"/>
      <c r="B4" s="1"/>
      <c r="C4" s="56"/>
      <c r="D4" s="56"/>
      <c r="E4" s="56"/>
      <c r="F4" s="56"/>
      <c r="G4" s="56"/>
      <c r="H4" s="56"/>
      <c r="I4" s="56"/>
      <c r="AF4" s="362"/>
      <c r="AG4" s="171"/>
      <c r="AM4" s="171"/>
      <c r="BZ4" s="53"/>
    </row>
    <row r="5" spans="1:78" ht="15.75" x14ac:dyDescent="0.25">
      <c r="A5"/>
      <c r="B5" s="834" t="s">
        <v>88</v>
      </c>
      <c r="C5" s="834"/>
      <c r="D5" s="834"/>
      <c r="E5" s="834"/>
      <c r="F5" s="834"/>
      <c r="G5" s="834"/>
      <c r="H5" s="834"/>
      <c r="I5" s="834"/>
      <c r="J5" s="834"/>
      <c r="K5" s="834"/>
      <c r="L5" s="834"/>
      <c r="M5" s="834"/>
      <c r="N5" s="834"/>
      <c r="O5" s="834"/>
      <c r="P5" s="834"/>
      <c r="Q5" s="834"/>
      <c r="R5" s="834"/>
      <c r="S5" s="834"/>
      <c r="T5" s="834"/>
      <c r="U5" s="834"/>
      <c r="V5" s="834"/>
      <c r="W5" s="834"/>
      <c r="X5" s="834"/>
      <c r="Y5" s="834"/>
      <c r="Z5" s="834"/>
      <c r="AA5" s="834"/>
      <c r="AB5" s="834"/>
      <c r="AC5" s="834"/>
      <c r="AD5" s="834"/>
      <c r="AE5" s="834"/>
      <c r="AF5" s="834"/>
      <c r="AG5" s="834"/>
      <c r="AH5" s="834"/>
      <c r="AI5" s="834"/>
      <c r="AJ5" s="834"/>
      <c r="AK5" s="834"/>
      <c r="AL5" s="834"/>
      <c r="AM5" s="834"/>
      <c r="AN5" s="834"/>
      <c r="AO5" s="834"/>
      <c r="AP5" s="834"/>
      <c r="AQ5" s="834"/>
      <c r="AR5" s="834"/>
      <c r="AS5" s="834"/>
      <c r="AT5" s="834"/>
      <c r="AU5" s="834"/>
      <c r="AV5" s="834"/>
      <c r="AW5" s="834"/>
      <c r="AX5" s="834"/>
      <c r="AY5" s="834"/>
      <c r="AZ5" s="834"/>
      <c r="BA5" s="834"/>
      <c r="BB5" s="834"/>
      <c r="BC5" s="834"/>
      <c r="BD5" s="834"/>
      <c r="BE5" s="834"/>
      <c r="BF5" s="834"/>
      <c r="BG5" s="834"/>
      <c r="BH5" s="834"/>
      <c r="BI5" s="834"/>
      <c r="BJ5" s="834"/>
      <c r="BK5" s="834"/>
      <c r="BL5" s="834"/>
      <c r="BM5" s="834"/>
      <c r="BN5" s="834"/>
      <c r="BO5" s="834"/>
      <c r="BP5" s="834"/>
      <c r="BQ5" s="834"/>
      <c r="BR5" s="834"/>
      <c r="BS5" s="834"/>
      <c r="BT5" s="834"/>
      <c r="BU5" s="834"/>
      <c r="BV5" s="834"/>
      <c r="BW5" s="405"/>
    </row>
    <row r="6" spans="1:78" ht="15.75" x14ac:dyDescent="0.25">
      <c r="A6"/>
      <c r="B6" s="834" t="s">
        <v>1025</v>
      </c>
      <c r="C6" s="834"/>
      <c r="D6" s="834"/>
      <c r="E6" s="834"/>
      <c r="F6" s="834"/>
      <c r="G6" s="834"/>
      <c r="H6" s="834"/>
      <c r="I6" s="834"/>
      <c r="J6" s="834"/>
      <c r="K6" s="834"/>
      <c r="L6" s="834"/>
      <c r="M6" s="834"/>
      <c r="N6" s="834"/>
      <c r="O6" s="834"/>
      <c r="P6" s="834"/>
      <c r="Q6" s="834"/>
      <c r="R6" s="834"/>
      <c r="S6" s="834"/>
      <c r="T6" s="834"/>
      <c r="U6" s="834"/>
      <c r="V6" s="834"/>
      <c r="W6" s="834"/>
      <c r="X6" s="834"/>
      <c r="Y6" s="834"/>
      <c r="Z6" s="834"/>
      <c r="AA6" s="834"/>
      <c r="AB6" s="834"/>
      <c r="AC6" s="834"/>
      <c r="AD6" s="834"/>
      <c r="AE6" s="834"/>
      <c r="AF6" s="834"/>
      <c r="AG6" s="834"/>
      <c r="AH6" s="834"/>
      <c r="AI6" s="834"/>
      <c r="AJ6" s="834"/>
      <c r="AK6" s="834"/>
      <c r="AL6" s="834"/>
      <c r="AM6" s="834"/>
      <c r="AN6" s="834"/>
      <c r="AO6" s="834"/>
      <c r="AP6" s="834"/>
      <c r="AQ6" s="834"/>
      <c r="AR6" s="834"/>
      <c r="AS6" s="834"/>
      <c r="AT6" s="834"/>
      <c r="AU6" s="834"/>
      <c r="AV6" s="834"/>
      <c r="AW6" s="834"/>
      <c r="AX6" s="834"/>
      <c r="AY6" s="834"/>
      <c r="AZ6" s="834"/>
      <c r="BA6" s="834"/>
      <c r="BB6" s="834"/>
      <c r="BC6" s="834"/>
      <c r="BD6" s="834"/>
      <c r="BE6" s="834"/>
      <c r="BF6" s="834"/>
      <c r="BG6" s="834"/>
      <c r="BH6" s="834"/>
      <c r="BI6" s="834"/>
      <c r="BJ6" s="834"/>
      <c r="BK6" s="834"/>
      <c r="BL6" s="834"/>
      <c r="BM6" s="834"/>
      <c r="BN6" s="834"/>
      <c r="BO6" s="834"/>
      <c r="BP6" s="834"/>
      <c r="BQ6" s="834"/>
      <c r="BR6" s="834"/>
      <c r="BS6" s="834"/>
      <c r="BT6" s="834"/>
      <c r="BU6" s="834"/>
      <c r="BV6" s="834"/>
      <c r="BW6" s="405"/>
    </row>
    <row r="7" spans="1:78" ht="15.75" x14ac:dyDescent="0.25">
      <c r="A7"/>
      <c r="B7" s="834" t="s">
        <v>279</v>
      </c>
      <c r="C7" s="834"/>
      <c r="D7" s="834"/>
      <c r="E7" s="834"/>
      <c r="F7" s="834"/>
      <c r="G7" s="834"/>
      <c r="H7" s="834"/>
      <c r="I7" s="834"/>
      <c r="J7" s="834"/>
      <c r="K7" s="834"/>
      <c r="L7" s="834"/>
      <c r="M7" s="834"/>
      <c r="N7" s="834"/>
      <c r="O7" s="834"/>
      <c r="P7" s="834"/>
      <c r="Q7" s="834"/>
      <c r="R7" s="834"/>
      <c r="S7" s="834"/>
      <c r="T7" s="834"/>
      <c r="U7" s="834"/>
      <c r="V7" s="834"/>
      <c r="W7" s="834"/>
      <c r="X7" s="834"/>
      <c r="Y7" s="834"/>
      <c r="Z7" s="834"/>
      <c r="AA7" s="834"/>
      <c r="AB7" s="834"/>
      <c r="AC7" s="834"/>
      <c r="AD7" s="834"/>
      <c r="AE7" s="834"/>
      <c r="AF7" s="834"/>
      <c r="AG7" s="834"/>
      <c r="AH7" s="834"/>
      <c r="AI7" s="834"/>
      <c r="AJ7" s="834"/>
      <c r="AK7" s="834"/>
      <c r="AL7" s="834"/>
      <c r="AM7" s="834"/>
      <c r="AN7" s="834"/>
      <c r="AO7" s="834"/>
      <c r="AP7" s="834"/>
      <c r="AQ7" s="834"/>
      <c r="AR7" s="834"/>
      <c r="AS7" s="834"/>
      <c r="AT7" s="834"/>
      <c r="AU7" s="834"/>
      <c r="AV7" s="834"/>
      <c r="AW7" s="834"/>
      <c r="AX7" s="834"/>
      <c r="AY7" s="834"/>
      <c r="AZ7" s="834"/>
      <c r="BA7" s="834"/>
      <c r="BB7" s="834"/>
      <c r="BC7" s="834"/>
      <c r="BD7" s="834"/>
      <c r="BE7" s="834"/>
      <c r="BF7" s="834"/>
      <c r="BG7" s="834"/>
      <c r="BH7" s="834"/>
      <c r="BI7" s="834"/>
      <c r="BJ7" s="834"/>
      <c r="BK7" s="834"/>
      <c r="BL7" s="834"/>
      <c r="BM7" s="834"/>
      <c r="BN7" s="834"/>
      <c r="BO7" s="834"/>
      <c r="BP7" s="834"/>
      <c r="BQ7" s="834"/>
      <c r="BR7" s="834"/>
      <c r="BS7" s="834"/>
      <c r="BT7" s="834"/>
      <c r="BU7" s="834"/>
      <c r="BV7" s="834"/>
      <c r="BW7" s="405"/>
    </row>
    <row r="8" spans="1:78" x14ac:dyDescent="0.2">
      <c r="B8" s="195">
        <v>27790</v>
      </c>
      <c r="C8" s="246"/>
      <c r="D8" s="246"/>
      <c r="E8" s="246"/>
      <c r="F8" s="246"/>
      <c r="G8" s="246"/>
      <c r="H8" s="246"/>
      <c r="I8" s="246"/>
      <c r="J8" s="172"/>
      <c r="K8" s="172"/>
      <c r="L8" s="172"/>
      <c r="M8" s="172"/>
      <c r="N8" s="172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V8" s="10" t="s">
        <v>0</v>
      </c>
    </row>
    <row r="9" spans="1:78" ht="99.75" customHeight="1" x14ac:dyDescent="0.2">
      <c r="A9" s="827" t="s">
        <v>108</v>
      </c>
      <c r="B9" s="829" t="s">
        <v>25</v>
      </c>
      <c r="C9" s="831" t="s">
        <v>691</v>
      </c>
      <c r="D9" s="832"/>
      <c r="E9" s="832"/>
      <c r="F9" s="832"/>
      <c r="G9" s="832"/>
      <c r="H9" s="832"/>
      <c r="I9" s="833"/>
      <c r="J9" s="831"/>
      <c r="K9" s="832"/>
      <c r="L9" s="832"/>
      <c r="M9" s="832"/>
      <c r="N9" s="832"/>
      <c r="O9" s="832"/>
      <c r="P9" s="831" t="s">
        <v>107</v>
      </c>
      <c r="Q9" s="832"/>
      <c r="R9" s="832"/>
      <c r="S9" s="832"/>
      <c r="T9" s="832"/>
      <c r="U9" s="832"/>
      <c r="V9" s="833"/>
      <c r="W9" s="831" t="s">
        <v>806</v>
      </c>
      <c r="X9" s="832"/>
      <c r="Y9" s="832"/>
      <c r="Z9" s="832"/>
      <c r="AA9" s="832"/>
      <c r="AB9" s="832"/>
      <c r="AC9" s="832"/>
      <c r="AD9" s="831" t="s">
        <v>874</v>
      </c>
      <c r="AE9" s="832"/>
      <c r="AF9" s="832"/>
      <c r="AG9" s="832"/>
      <c r="AH9" s="832"/>
      <c r="AI9" s="832"/>
      <c r="AJ9" s="833"/>
      <c r="AK9" s="831" t="s">
        <v>805</v>
      </c>
      <c r="AL9" s="832"/>
      <c r="AM9" s="832"/>
      <c r="AN9" s="832"/>
      <c r="AO9" s="832"/>
      <c r="AP9" s="832"/>
      <c r="AQ9" s="833"/>
      <c r="AR9" s="831"/>
      <c r="AS9" s="832"/>
      <c r="AT9" s="832"/>
      <c r="AU9" s="832"/>
      <c r="AV9" s="832"/>
      <c r="AW9" s="832"/>
      <c r="AX9" s="833"/>
      <c r="AY9" s="831"/>
      <c r="AZ9" s="832"/>
      <c r="BA9" s="832"/>
      <c r="BB9" s="832"/>
      <c r="BC9" s="832"/>
      <c r="BD9" s="832"/>
      <c r="BE9" s="833"/>
      <c r="BF9" s="831" t="s">
        <v>698</v>
      </c>
      <c r="BG9" s="832"/>
      <c r="BH9" s="832"/>
      <c r="BI9" s="832"/>
      <c r="BJ9" s="832"/>
      <c r="BK9" s="832"/>
      <c r="BL9" s="832"/>
      <c r="BM9" s="831" t="s">
        <v>690</v>
      </c>
      <c r="BN9" s="832"/>
      <c r="BO9" s="832"/>
      <c r="BP9" s="832"/>
      <c r="BQ9" s="832"/>
      <c r="BR9" s="832"/>
      <c r="BS9" s="833"/>
      <c r="BT9" s="835" t="s">
        <v>28</v>
      </c>
      <c r="BU9" s="836"/>
      <c r="BV9" s="836"/>
      <c r="BW9" s="836"/>
      <c r="BX9" s="836"/>
      <c r="BY9" s="836"/>
      <c r="BZ9" s="837"/>
    </row>
    <row r="10" spans="1:78" ht="34.5" customHeight="1" x14ac:dyDescent="0.2">
      <c r="A10" s="828"/>
      <c r="B10" s="830"/>
      <c r="C10" s="635" t="s">
        <v>1021</v>
      </c>
      <c r="D10" s="323" t="s">
        <v>1028</v>
      </c>
      <c r="E10" s="323" t="s">
        <v>1290</v>
      </c>
      <c r="F10" s="323"/>
      <c r="G10" s="323"/>
      <c r="H10" s="323"/>
      <c r="I10" s="323"/>
      <c r="J10" s="323" t="str">
        <f>C10</f>
        <v>2025. évi teljesítés</v>
      </c>
      <c r="K10" s="323" t="str">
        <f>E10</f>
        <v>mód.ei.          2026.10.hó</v>
      </c>
      <c r="L10" s="323">
        <f>F10</f>
        <v>0</v>
      </c>
      <c r="M10" s="323">
        <f>G10</f>
        <v>0</v>
      </c>
      <c r="N10" s="323"/>
      <c r="O10" s="323">
        <f>I10</f>
        <v>0</v>
      </c>
      <c r="P10" s="635" t="str">
        <f t="shared" ref="P10:U10" si="0">C10</f>
        <v>2025. évi teljesítés</v>
      </c>
      <c r="Q10" s="323" t="str">
        <f t="shared" si="0"/>
        <v>2026. évi eredeti ei.</v>
      </c>
      <c r="R10" s="323" t="str">
        <f t="shared" si="0"/>
        <v>mód.ei.          2026.10.hó</v>
      </c>
      <c r="S10" s="323">
        <f t="shared" si="0"/>
        <v>0</v>
      </c>
      <c r="T10" s="323">
        <f t="shared" si="0"/>
        <v>0</v>
      </c>
      <c r="U10" s="323">
        <f t="shared" si="0"/>
        <v>0</v>
      </c>
      <c r="V10" s="323">
        <f t="shared" ref="V10" si="1">I10</f>
        <v>0</v>
      </c>
      <c r="W10" s="635" t="str">
        <f>C10</f>
        <v>2025. évi teljesítés</v>
      </c>
      <c r="X10" s="323" t="str">
        <f>D10</f>
        <v>2026. évi eredeti ei.</v>
      </c>
      <c r="Y10" s="323" t="str">
        <f>E10</f>
        <v>mód.ei.          2026.10.hó</v>
      </c>
      <c r="Z10" s="323">
        <f>F10</f>
        <v>0</v>
      </c>
      <c r="AA10" s="323">
        <f t="shared" ref="AA10:AB10" si="2">G10</f>
        <v>0</v>
      </c>
      <c r="AB10" s="323">
        <f t="shared" si="2"/>
        <v>0</v>
      </c>
      <c r="AC10" s="323">
        <f>O10</f>
        <v>0</v>
      </c>
      <c r="AD10" s="635" t="str">
        <f t="shared" ref="AD10:AI10" si="3">C10</f>
        <v>2025. évi teljesítés</v>
      </c>
      <c r="AE10" s="323" t="str">
        <f t="shared" si="3"/>
        <v>2026. évi eredeti ei.</v>
      </c>
      <c r="AF10" s="323" t="str">
        <f t="shared" si="3"/>
        <v>mód.ei.          2026.10.hó</v>
      </c>
      <c r="AG10" s="323">
        <f t="shared" si="3"/>
        <v>0</v>
      </c>
      <c r="AH10" s="323">
        <f t="shared" si="3"/>
        <v>0</v>
      </c>
      <c r="AI10" s="323">
        <f t="shared" si="3"/>
        <v>0</v>
      </c>
      <c r="AJ10" s="323">
        <f t="shared" ref="AJ10" si="4">I10</f>
        <v>0</v>
      </c>
      <c r="AK10" s="635" t="str">
        <f t="shared" ref="AK10:AP10" si="5">C10</f>
        <v>2025. évi teljesítés</v>
      </c>
      <c r="AL10" s="323" t="str">
        <f t="shared" si="5"/>
        <v>2026. évi eredeti ei.</v>
      </c>
      <c r="AM10" s="323" t="str">
        <f t="shared" si="5"/>
        <v>mód.ei.          2026.10.hó</v>
      </c>
      <c r="AN10" s="323">
        <f t="shared" si="5"/>
        <v>0</v>
      </c>
      <c r="AO10" s="323">
        <f t="shared" si="5"/>
        <v>0</v>
      </c>
      <c r="AP10" s="323">
        <f t="shared" si="5"/>
        <v>0</v>
      </c>
      <c r="AQ10" s="323">
        <f t="shared" ref="AQ10" si="6">I10</f>
        <v>0</v>
      </c>
      <c r="AR10" s="323" t="str">
        <f>C10</f>
        <v>2025. évi teljesítés</v>
      </c>
      <c r="AS10" s="323"/>
      <c r="AT10" s="323" t="str">
        <f>E10</f>
        <v>mód.ei.          2026.10.hó</v>
      </c>
      <c r="AU10" s="323">
        <f>F10</f>
        <v>0</v>
      </c>
      <c r="AV10" s="323">
        <f>G10</f>
        <v>0</v>
      </c>
      <c r="AW10" s="323"/>
      <c r="AX10" s="323">
        <f>I10</f>
        <v>0</v>
      </c>
      <c r="AY10" s="323" t="str">
        <f>C10</f>
        <v>2025. évi teljesítés</v>
      </c>
      <c r="AZ10" s="323"/>
      <c r="BA10" s="323" t="str">
        <f>E10</f>
        <v>mód.ei.          2026.10.hó</v>
      </c>
      <c r="BB10" s="323">
        <f>F10</f>
        <v>0</v>
      </c>
      <c r="BC10" s="323">
        <f>G10</f>
        <v>0</v>
      </c>
      <c r="BD10" s="323"/>
      <c r="BE10" s="323">
        <f>I10</f>
        <v>0</v>
      </c>
      <c r="BF10" s="635" t="str">
        <f t="shared" ref="BF10:BK10" si="7">AK10</f>
        <v>2025. évi teljesítés</v>
      </c>
      <c r="BG10" s="323" t="str">
        <f t="shared" si="7"/>
        <v>2026. évi eredeti ei.</v>
      </c>
      <c r="BH10" s="323" t="str">
        <f t="shared" si="7"/>
        <v>mód.ei.          2026.10.hó</v>
      </c>
      <c r="BI10" s="323">
        <f t="shared" si="7"/>
        <v>0</v>
      </c>
      <c r="BJ10" s="323">
        <f t="shared" si="7"/>
        <v>0</v>
      </c>
      <c r="BK10" s="323">
        <f t="shared" si="7"/>
        <v>0</v>
      </c>
      <c r="BL10" s="323">
        <f t="shared" ref="BL10" si="8">AQ10</f>
        <v>0</v>
      </c>
      <c r="BM10" s="635" t="str">
        <f t="shared" ref="BM10:BS10" si="9">C10</f>
        <v>2025. évi teljesítés</v>
      </c>
      <c r="BN10" s="323" t="str">
        <f t="shared" si="9"/>
        <v>2026. évi eredeti ei.</v>
      </c>
      <c r="BO10" s="323" t="str">
        <f t="shared" si="9"/>
        <v>mód.ei.          2026.10.hó</v>
      </c>
      <c r="BP10" s="323">
        <f t="shared" si="9"/>
        <v>0</v>
      </c>
      <c r="BQ10" s="323">
        <f t="shared" si="9"/>
        <v>0</v>
      </c>
      <c r="BR10" s="323">
        <f t="shared" si="9"/>
        <v>0</v>
      </c>
      <c r="BS10" s="323">
        <f t="shared" si="9"/>
        <v>0</v>
      </c>
      <c r="BT10" s="643" t="str">
        <f t="shared" ref="BT10:BZ10" si="10">C10</f>
        <v>2025. évi teljesítés</v>
      </c>
      <c r="BU10" s="333" t="str">
        <f t="shared" si="10"/>
        <v>2026. évi eredeti ei.</v>
      </c>
      <c r="BV10" s="333" t="str">
        <f t="shared" si="10"/>
        <v>mód.ei.          2026.10.hó</v>
      </c>
      <c r="BW10" s="333">
        <f t="shared" si="10"/>
        <v>0</v>
      </c>
      <c r="BX10" s="333">
        <f t="shared" si="10"/>
        <v>0</v>
      </c>
      <c r="BY10" s="333">
        <f t="shared" si="10"/>
        <v>0</v>
      </c>
      <c r="BZ10" s="333">
        <f t="shared" si="10"/>
        <v>0</v>
      </c>
    </row>
    <row r="11" spans="1:78" x14ac:dyDescent="0.2">
      <c r="A11" s="258" t="s">
        <v>264</v>
      </c>
      <c r="B11" s="16" t="s">
        <v>265</v>
      </c>
      <c r="C11" s="636">
        <f t="shared" ref="C11:I11" si="11">SUM(C12:C19)</f>
        <v>0</v>
      </c>
      <c r="D11" s="241">
        <f t="shared" si="11"/>
        <v>0</v>
      </c>
      <c r="E11" s="241">
        <f t="shared" si="11"/>
        <v>0</v>
      </c>
      <c r="F11" s="241">
        <f t="shared" si="11"/>
        <v>0</v>
      </c>
      <c r="G11" s="241">
        <f t="shared" si="11"/>
        <v>0</v>
      </c>
      <c r="H11" s="241">
        <f t="shared" si="11"/>
        <v>0</v>
      </c>
      <c r="I11" s="241">
        <f t="shared" si="11"/>
        <v>0</v>
      </c>
      <c r="J11" s="241">
        <f t="shared" ref="J11:AT11" si="12">SUM(J12:J19)</f>
        <v>0</v>
      </c>
      <c r="K11" s="241">
        <f t="shared" ref="K11:O11" si="13">SUM(K12:K19)</f>
        <v>0</v>
      </c>
      <c r="L11" s="241">
        <f t="shared" si="13"/>
        <v>0</v>
      </c>
      <c r="M11" s="241">
        <f t="shared" si="13"/>
        <v>0</v>
      </c>
      <c r="N11" s="241"/>
      <c r="O11" s="241">
        <f t="shared" si="13"/>
        <v>0</v>
      </c>
      <c r="P11" s="636">
        <f t="shared" si="12"/>
        <v>0</v>
      </c>
      <c r="Q11" s="241">
        <f t="shared" ref="Q11" si="14">SUM(Q12:Q19)</f>
        <v>0</v>
      </c>
      <c r="R11" s="241">
        <f t="shared" si="12"/>
        <v>0</v>
      </c>
      <c r="S11" s="241">
        <f t="shared" si="12"/>
        <v>0</v>
      </c>
      <c r="T11" s="241">
        <f t="shared" ref="T11" si="15">SUM(T12:T19)</f>
        <v>0</v>
      </c>
      <c r="U11" s="241">
        <f t="shared" ref="U11:V11" si="16">SUM(U12:U19)</f>
        <v>0</v>
      </c>
      <c r="V11" s="241">
        <f t="shared" si="16"/>
        <v>0</v>
      </c>
      <c r="W11" s="636">
        <f t="shared" ref="W11:X11" si="17">SUM(W12:W19)</f>
        <v>0</v>
      </c>
      <c r="X11" s="241">
        <f t="shared" si="17"/>
        <v>0</v>
      </c>
      <c r="Y11" s="241">
        <f t="shared" ref="Y11:Z11" si="18">SUM(Y12:Y19)</f>
        <v>0</v>
      </c>
      <c r="Z11" s="241">
        <f t="shared" si="18"/>
        <v>0</v>
      </c>
      <c r="AA11" s="241">
        <f t="shared" ref="AA11:AC11" si="19">SUM(AA12:AA19)</f>
        <v>0</v>
      </c>
      <c r="AB11" s="241">
        <f t="shared" si="19"/>
        <v>0</v>
      </c>
      <c r="AC11" s="241">
        <f t="shared" si="19"/>
        <v>0</v>
      </c>
      <c r="AD11" s="636">
        <f t="shared" ref="AD11" si="20">SUM(AD12:AD19)</f>
        <v>10443</v>
      </c>
      <c r="AE11" s="241">
        <f t="shared" ref="AE11:AF11" si="21">SUM(AE12:AE19)</f>
        <v>10189</v>
      </c>
      <c r="AF11" s="241">
        <f t="shared" si="21"/>
        <v>9556</v>
      </c>
      <c r="AG11" s="241">
        <f t="shared" ref="AG11:AJ11" si="22">SUM(AG12:AG19)</f>
        <v>0</v>
      </c>
      <c r="AH11" s="241">
        <f t="shared" si="22"/>
        <v>0</v>
      </c>
      <c r="AI11" s="241">
        <f t="shared" si="22"/>
        <v>0</v>
      </c>
      <c r="AJ11" s="241">
        <f t="shared" si="22"/>
        <v>0</v>
      </c>
      <c r="AK11" s="636">
        <f t="shared" ref="AK11" si="23">SUM(AK12:AK19)</f>
        <v>2671</v>
      </c>
      <c r="AL11" s="241">
        <f t="shared" ref="AL11:AM11" si="24">SUM(AL12:AL19)</f>
        <v>3103</v>
      </c>
      <c r="AM11" s="241">
        <f t="shared" si="24"/>
        <v>3783</v>
      </c>
      <c r="AN11" s="241">
        <f t="shared" ref="AN11:AQ11" si="25">SUM(AN12:AN19)</f>
        <v>0</v>
      </c>
      <c r="AO11" s="241">
        <f t="shared" si="25"/>
        <v>0</v>
      </c>
      <c r="AP11" s="241">
        <f t="shared" si="25"/>
        <v>0</v>
      </c>
      <c r="AQ11" s="241">
        <f t="shared" si="25"/>
        <v>0</v>
      </c>
      <c r="AR11" s="241">
        <f t="shared" si="12"/>
        <v>0</v>
      </c>
      <c r="AS11" s="241"/>
      <c r="AT11" s="241">
        <f t="shared" si="12"/>
        <v>0</v>
      </c>
      <c r="AU11" s="241">
        <f t="shared" ref="AU11:BN11" si="26">SUM(AU12:AU19)</f>
        <v>0</v>
      </c>
      <c r="AV11" s="241">
        <f t="shared" si="26"/>
        <v>0</v>
      </c>
      <c r="AW11" s="241"/>
      <c r="AX11" s="241">
        <f t="shared" si="26"/>
        <v>0</v>
      </c>
      <c r="AY11" s="241">
        <f t="shared" si="26"/>
        <v>0</v>
      </c>
      <c r="AZ11" s="241"/>
      <c r="BA11" s="241">
        <f t="shared" si="26"/>
        <v>0</v>
      </c>
      <c r="BB11" s="241">
        <f t="shared" si="26"/>
        <v>0</v>
      </c>
      <c r="BC11" s="241">
        <f t="shared" si="26"/>
        <v>0</v>
      </c>
      <c r="BD11" s="241"/>
      <c r="BE11" s="241">
        <f t="shared" si="26"/>
        <v>0</v>
      </c>
      <c r="BF11" s="636">
        <f t="shared" ref="BF11:BG11" si="27">SUM(BF12:BF19)</f>
        <v>4259</v>
      </c>
      <c r="BG11" s="241">
        <f t="shared" si="27"/>
        <v>4750</v>
      </c>
      <c r="BH11" s="241">
        <f t="shared" ref="BH11" si="28">SUM(BH12:BH19)</f>
        <v>4723</v>
      </c>
      <c r="BI11" s="241">
        <f t="shared" ref="BI11:BL11" si="29">SUM(BI12:BI19)</f>
        <v>0</v>
      </c>
      <c r="BJ11" s="241">
        <f t="shared" si="29"/>
        <v>0</v>
      </c>
      <c r="BK11" s="241">
        <f t="shared" si="29"/>
        <v>0</v>
      </c>
      <c r="BL11" s="241">
        <f t="shared" si="29"/>
        <v>0</v>
      </c>
      <c r="BM11" s="636">
        <f t="shared" si="26"/>
        <v>6288</v>
      </c>
      <c r="BN11" s="241">
        <f t="shared" si="26"/>
        <v>6127</v>
      </c>
      <c r="BO11" s="241">
        <f t="shared" ref="BO11" si="30">SUM(BO12:BO19)</f>
        <v>6107</v>
      </c>
      <c r="BP11" s="241">
        <f t="shared" ref="BP11:BS11" si="31">SUM(BP12:BP19)</f>
        <v>0</v>
      </c>
      <c r="BQ11" s="241">
        <f t="shared" si="31"/>
        <v>0</v>
      </c>
      <c r="BR11" s="241">
        <f t="shared" si="31"/>
        <v>0</v>
      </c>
      <c r="BS11" s="241">
        <f t="shared" si="31"/>
        <v>0</v>
      </c>
      <c r="BT11" s="644">
        <f t="shared" ref="BT11:BT33" si="32">C11+J11+P11+W11+AD11+AK11+AR11+AY11+BF11+BM11</f>
        <v>23661</v>
      </c>
      <c r="BU11" s="269">
        <f t="shared" ref="BU11:BU33" si="33">D11+K11+Q11+X11+AE11+AL11+AS11+AZ11+BG11+BN11</f>
        <v>24169</v>
      </c>
      <c r="BV11" s="269">
        <f t="shared" ref="BV11:BV33" si="34">E11+K11+R11+Y11+AF11+AM11+AT11+BA11+BH11+BO11</f>
        <v>24169</v>
      </c>
      <c r="BW11" s="269">
        <f t="shared" ref="BW11:BW33" si="35">F11+L11+S11+Z11+AG11+AN11+AU11+BB11+BI11+BP11</f>
        <v>0</v>
      </c>
      <c r="BX11" s="269">
        <f t="shared" ref="BX11:BX33" si="36">G11+M11+T11+AA11+AH11+AO11+AV11+BC11+BJ11+BQ11</f>
        <v>0</v>
      </c>
      <c r="BY11" s="269">
        <f t="shared" ref="BY11:BZ26" si="37">H11+N11+U11+AB11+AI11+AP11+AW11+BD11+BK11+BR11</f>
        <v>0</v>
      </c>
      <c r="BZ11" s="269">
        <f t="shared" si="37"/>
        <v>0</v>
      </c>
    </row>
    <row r="12" spans="1:78" x14ac:dyDescent="0.2">
      <c r="A12" s="58">
        <v>1101</v>
      </c>
      <c r="B12" s="8" t="s">
        <v>864</v>
      </c>
      <c r="C12" s="637"/>
      <c r="D12" s="219"/>
      <c r="E12" s="219"/>
      <c r="F12" s="219"/>
      <c r="G12" s="219"/>
      <c r="H12" s="219"/>
      <c r="I12" s="219"/>
      <c r="J12" s="78"/>
      <c r="K12" s="78"/>
      <c r="L12" s="78"/>
      <c r="M12" s="78"/>
      <c r="N12" s="78"/>
      <c r="O12" s="78"/>
      <c r="P12" s="637"/>
      <c r="Q12" s="78"/>
      <c r="R12" s="78"/>
      <c r="S12" s="78"/>
      <c r="T12" s="78"/>
      <c r="U12" s="78"/>
      <c r="V12" s="78"/>
      <c r="W12" s="637"/>
      <c r="X12" s="78"/>
      <c r="Y12" s="78"/>
      <c r="Z12" s="78"/>
      <c r="AA12" s="78"/>
      <c r="AB12" s="78"/>
      <c r="AC12" s="78"/>
      <c r="AD12" s="637">
        <v>9990</v>
      </c>
      <c r="AE12" s="78">
        <v>9797</v>
      </c>
      <c r="AF12" s="78">
        <f>9797-680</f>
        <v>9117</v>
      </c>
      <c r="AG12" s="78">
        <v>0</v>
      </c>
      <c r="AH12" s="78">
        <v>0</v>
      </c>
      <c r="AI12" s="78">
        <v>0</v>
      </c>
      <c r="AJ12" s="78">
        <v>0</v>
      </c>
      <c r="AK12" s="637">
        <v>2599</v>
      </c>
      <c r="AL12" s="78">
        <v>2881</v>
      </c>
      <c r="AM12" s="78">
        <f>2881+680</f>
        <v>3561</v>
      </c>
      <c r="AN12" s="78">
        <v>0</v>
      </c>
      <c r="AO12" s="78">
        <v>0</v>
      </c>
      <c r="AP12" s="78">
        <v>0</v>
      </c>
      <c r="AQ12" s="78">
        <v>0</v>
      </c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637">
        <v>4163</v>
      </c>
      <c r="BG12" s="78">
        <v>4454</v>
      </c>
      <c r="BH12" s="78">
        <v>4454</v>
      </c>
      <c r="BI12" s="78">
        <v>0</v>
      </c>
      <c r="BJ12" s="78">
        <v>0</v>
      </c>
      <c r="BK12" s="78">
        <v>0</v>
      </c>
      <c r="BL12" s="78">
        <v>0</v>
      </c>
      <c r="BM12" s="637">
        <v>5146</v>
      </c>
      <c r="BN12" s="78">
        <v>5881</v>
      </c>
      <c r="BO12" s="78">
        <v>5881</v>
      </c>
      <c r="BP12" s="78">
        <v>0</v>
      </c>
      <c r="BQ12" s="78">
        <v>0</v>
      </c>
      <c r="BR12" s="78">
        <v>0</v>
      </c>
      <c r="BS12" s="78">
        <v>0</v>
      </c>
      <c r="BT12" s="645">
        <f t="shared" si="32"/>
        <v>21898</v>
      </c>
      <c r="BU12" s="268">
        <f t="shared" si="33"/>
        <v>23013</v>
      </c>
      <c r="BV12" s="268">
        <f t="shared" si="34"/>
        <v>23013</v>
      </c>
      <c r="BW12" s="268">
        <f t="shared" si="35"/>
        <v>0</v>
      </c>
      <c r="BX12" s="268">
        <f t="shared" si="36"/>
        <v>0</v>
      </c>
      <c r="BY12" s="268">
        <f t="shared" si="37"/>
        <v>0</v>
      </c>
      <c r="BZ12" s="268">
        <f t="shared" si="37"/>
        <v>0</v>
      </c>
    </row>
    <row r="13" spans="1:78" hidden="1" x14ac:dyDescent="0.2">
      <c r="A13" s="58">
        <v>1104</v>
      </c>
      <c r="B13" s="8" t="s">
        <v>419</v>
      </c>
      <c r="C13" s="637"/>
      <c r="D13" s="219"/>
      <c r="E13" s="219"/>
      <c r="F13" s="219"/>
      <c r="G13" s="219"/>
      <c r="H13" s="219"/>
      <c r="I13" s="219"/>
      <c r="J13" s="78"/>
      <c r="K13" s="78"/>
      <c r="L13" s="78"/>
      <c r="M13" s="78"/>
      <c r="N13" s="78"/>
      <c r="O13" s="78"/>
      <c r="P13" s="637"/>
      <c r="Q13" s="78"/>
      <c r="R13" s="78"/>
      <c r="S13" s="78"/>
      <c r="T13" s="78"/>
      <c r="U13" s="78"/>
      <c r="V13" s="78"/>
      <c r="W13" s="637"/>
      <c r="X13" s="78"/>
      <c r="Y13" s="78"/>
      <c r="Z13" s="78"/>
      <c r="AA13" s="78"/>
      <c r="AB13" s="78"/>
      <c r="AC13" s="78"/>
      <c r="AD13" s="637"/>
      <c r="AE13" s="78"/>
      <c r="AF13" s="78"/>
      <c r="AG13" s="78">
        <v>0</v>
      </c>
      <c r="AH13" s="78">
        <v>0</v>
      </c>
      <c r="AI13" s="78">
        <v>0</v>
      </c>
      <c r="AJ13" s="78">
        <v>0</v>
      </c>
      <c r="AK13" s="637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637"/>
      <c r="BG13" s="78"/>
      <c r="BH13" s="78"/>
      <c r="BI13" s="78"/>
      <c r="BJ13" s="78"/>
      <c r="BK13" s="78"/>
      <c r="BL13" s="78"/>
      <c r="BM13" s="637"/>
      <c r="BN13" s="78"/>
      <c r="BO13" s="78"/>
      <c r="BP13" s="78"/>
      <c r="BQ13" s="78"/>
      <c r="BR13" s="78"/>
      <c r="BS13" s="78"/>
      <c r="BT13" s="645">
        <f t="shared" si="32"/>
        <v>0</v>
      </c>
      <c r="BU13" s="268">
        <f t="shared" si="33"/>
        <v>0</v>
      </c>
      <c r="BV13" s="268">
        <f t="shared" si="34"/>
        <v>0</v>
      </c>
      <c r="BW13" s="268">
        <f t="shared" si="35"/>
        <v>0</v>
      </c>
      <c r="BX13" s="268">
        <f t="shared" si="36"/>
        <v>0</v>
      </c>
      <c r="BY13" s="268">
        <f t="shared" si="37"/>
        <v>0</v>
      </c>
      <c r="BZ13" s="268">
        <f t="shared" si="37"/>
        <v>0</v>
      </c>
    </row>
    <row r="14" spans="1:78" x14ac:dyDescent="0.2">
      <c r="A14" s="58">
        <v>1106</v>
      </c>
      <c r="B14" s="8" t="s">
        <v>847</v>
      </c>
      <c r="C14" s="637"/>
      <c r="D14" s="219"/>
      <c r="E14" s="219"/>
      <c r="F14" s="219"/>
      <c r="G14" s="219"/>
      <c r="H14" s="219"/>
      <c r="I14" s="219"/>
      <c r="J14" s="78"/>
      <c r="K14" s="78"/>
      <c r="L14" s="78"/>
      <c r="M14" s="78"/>
      <c r="N14" s="78"/>
      <c r="O14" s="78"/>
      <c r="P14" s="637"/>
      <c r="Q14" s="78"/>
      <c r="R14" s="78"/>
      <c r="S14" s="78"/>
      <c r="T14" s="78"/>
      <c r="U14" s="78"/>
      <c r="V14" s="78"/>
      <c r="W14" s="637"/>
      <c r="X14" s="78"/>
      <c r="Y14" s="78"/>
      <c r="Z14" s="78"/>
      <c r="AA14" s="78"/>
      <c r="AB14" s="78"/>
      <c r="AC14" s="78"/>
      <c r="AD14" s="637"/>
      <c r="AE14" s="78"/>
      <c r="AF14" s="78"/>
      <c r="AG14" s="78"/>
      <c r="AH14" s="78"/>
      <c r="AI14" s="78"/>
      <c r="AJ14" s="78"/>
      <c r="AK14" s="637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637"/>
      <c r="BG14" s="78"/>
      <c r="BH14" s="78"/>
      <c r="BI14" s="78"/>
      <c r="BJ14" s="78"/>
      <c r="BK14" s="78"/>
      <c r="BL14" s="78"/>
      <c r="BM14" s="637">
        <v>1046</v>
      </c>
      <c r="BN14" s="78">
        <v>0</v>
      </c>
      <c r="BO14" s="78">
        <v>0</v>
      </c>
      <c r="BP14" s="78"/>
      <c r="BQ14" s="78"/>
      <c r="BR14" s="78"/>
      <c r="BS14" s="78"/>
      <c r="BT14" s="645">
        <f t="shared" si="32"/>
        <v>1046</v>
      </c>
      <c r="BU14" s="268">
        <f t="shared" si="33"/>
        <v>0</v>
      </c>
      <c r="BV14" s="268">
        <f t="shared" si="34"/>
        <v>0</v>
      </c>
      <c r="BW14" s="268">
        <f t="shared" si="35"/>
        <v>0</v>
      </c>
      <c r="BX14" s="268">
        <f t="shared" si="36"/>
        <v>0</v>
      </c>
      <c r="BY14" s="268">
        <f t="shared" si="37"/>
        <v>0</v>
      </c>
      <c r="BZ14" s="268">
        <f t="shared" si="37"/>
        <v>0</v>
      </c>
    </row>
    <row r="15" spans="1:78" x14ac:dyDescent="0.2">
      <c r="A15" s="58">
        <v>1107</v>
      </c>
      <c r="B15" s="8" t="s">
        <v>29</v>
      </c>
      <c r="C15" s="217"/>
      <c r="D15" s="8"/>
      <c r="E15" s="8"/>
      <c r="F15" s="8"/>
      <c r="G15" s="8"/>
      <c r="H15" s="8"/>
      <c r="I15" s="8"/>
      <c r="J15" s="11"/>
      <c r="K15" s="11"/>
      <c r="L15" s="11"/>
      <c r="M15" s="11"/>
      <c r="N15" s="11"/>
      <c r="O15" s="11"/>
      <c r="P15" s="217"/>
      <c r="Q15" s="11"/>
      <c r="R15" s="11"/>
      <c r="S15" s="11"/>
      <c r="T15" s="11"/>
      <c r="U15" s="11"/>
      <c r="V15" s="11"/>
      <c r="W15" s="217"/>
      <c r="X15" s="11"/>
      <c r="Y15" s="11"/>
      <c r="Z15" s="11"/>
      <c r="AA15" s="11"/>
      <c r="AB15" s="11"/>
      <c r="AC15" s="11"/>
      <c r="AD15" s="217">
        <v>216</v>
      </c>
      <c r="AE15" s="11">
        <v>192</v>
      </c>
      <c r="AF15" s="11">
        <v>192</v>
      </c>
      <c r="AG15" s="11">
        <v>0</v>
      </c>
      <c r="AH15" s="11">
        <v>0</v>
      </c>
      <c r="AI15" s="11">
        <v>0</v>
      </c>
      <c r="AJ15" s="11">
        <v>0</v>
      </c>
      <c r="AK15" s="217">
        <v>72</v>
      </c>
      <c r="AL15" s="11">
        <v>72</v>
      </c>
      <c r="AM15" s="11">
        <v>72</v>
      </c>
      <c r="AN15" s="11">
        <v>0</v>
      </c>
      <c r="AO15" s="11">
        <v>0</v>
      </c>
      <c r="AP15" s="11">
        <v>0</v>
      </c>
      <c r="AQ15" s="11">
        <v>0</v>
      </c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217">
        <v>96</v>
      </c>
      <c r="BG15" s="11">
        <v>96</v>
      </c>
      <c r="BH15" s="11">
        <v>96</v>
      </c>
      <c r="BI15" s="11">
        <v>0</v>
      </c>
      <c r="BJ15" s="11">
        <v>0</v>
      </c>
      <c r="BK15" s="11">
        <v>0</v>
      </c>
      <c r="BL15" s="11">
        <v>0</v>
      </c>
      <c r="BM15" s="217">
        <v>96</v>
      </c>
      <c r="BN15" s="11">
        <v>96</v>
      </c>
      <c r="BO15" s="11">
        <v>96</v>
      </c>
      <c r="BP15" s="11">
        <v>0</v>
      </c>
      <c r="BQ15" s="11">
        <v>0</v>
      </c>
      <c r="BR15" s="11">
        <v>0</v>
      </c>
      <c r="BS15" s="11">
        <v>0</v>
      </c>
      <c r="BT15" s="645">
        <f t="shared" si="32"/>
        <v>480</v>
      </c>
      <c r="BU15" s="268">
        <f t="shared" si="33"/>
        <v>456</v>
      </c>
      <c r="BV15" s="268">
        <f t="shared" si="34"/>
        <v>456</v>
      </c>
      <c r="BW15" s="268">
        <f t="shared" si="35"/>
        <v>0</v>
      </c>
      <c r="BX15" s="268">
        <f t="shared" si="36"/>
        <v>0</v>
      </c>
      <c r="BY15" s="268">
        <f t="shared" si="37"/>
        <v>0</v>
      </c>
      <c r="BZ15" s="268">
        <f t="shared" si="37"/>
        <v>0</v>
      </c>
    </row>
    <row r="16" spans="1:78" hidden="1" x14ac:dyDescent="0.2">
      <c r="A16" s="58">
        <v>1109</v>
      </c>
      <c r="B16" s="50" t="s">
        <v>56</v>
      </c>
      <c r="C16" s="637"/>
      <c r="D16" s="219"/>
      <c r="E16" s="219"/>
      <c r="F16" s="219"/>
      <c r="G16" s="219"/>
      <c r="H16" s="219"/>
      <c r="I16" s="219"/>
      <c r="J16" s="78"/>
      <c r="K16" s="78"/>
      <c r="L16" s="78"/>
      <c r="M16" s="78"/>
      <c r="N16" s="78"/>
      <c r="O16" s="78"/>
      <c r="P16" s="637"/>
      <c r="Q16" s="78"/>
      <c r="R16" s="78"/>
      <c r="S16" s="78"/>
      <c r="T16" s="78"/>
      <c r="U16" s="78"/>
      <c r="V16" s="78"/>
      <c r="W16" s="637"/>
      <c r="X16" s="78"/>
      <c r="Y16" s="78"/>
      <c r="Z16" s="78"/>
      <c r="AA16" s="78"/>
      <c r="AB16" s="78"/>
      <c r="AC16" s="78"/>
      <c r="AD16" s="637"/>
      <c r="AE16" s="78"/>
      <c r="AF16" s="78"/>
      <c r="AG16" s="78"/>
      <c r="AH16" s="78"/>
      <c r="AI16" s="78"/>
      <c r="AJ16" s="78"/>
      <c r="AK16" s="637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637"/>
      <c r="BG16" s="78"/>
      <c r="BH16" s="78"/>
      <c r="BI16" s="78"/>
      <c r="BJ16" s="78"/>
      <c r="BK16" s="78"/>
      <c r="BL16" s="78"/>
      <c r="BM16" s="637"/>
      <c r="BN16" s="78"/>
      <c r="BO16" s="78"/>
      <c r="BP16" s="78"/>
      <c r="BQ16" s="78"/>
      <c r="BR16" s="78"/>
      <c r="BS16" s="78"/>
      <c r="BT16" s="645">
        <f t="shared" si="32"/>
        <v>0</v>
      </c>
      <c r="BU16" s="268">
        <f t="shared" si="33"/>
        <v>0</v>
      </c>
      <c r="BV16" s="268">
        <f t="shared" si="34"/>
        <v>0</v>
      </c>
      <c r="BW16" s="268">
        <f t="shared" si="35"/>
        <v>0</v>
      </c>
      <c r="BX16" s="268">
        <f t="shared" si="36"/>
        <v>0</v>
      </c>
      <c r="BY16" s="268">
        <f t="shared" si="37"/>
        <v>0</v>
      </c>
      <c r="BZ16" s="268">
        <f t="shared" si="37"/>
        <v>0</v>
      </c>
    </row>
    <row r="17" spans="1:78" s="9" customFormat="1" x14ac:dyDescent="0.2">
      <c r="A17" s="58">
        <v>1113</v>
      </c>
      <c r="B17" s="8" t="s">
        <v>831</v>
      </c>
      <c r="C17" s="18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86"/>
      <c r="Q17" s="11"/>
      <c r="R17" s="11"/>
      <c r="S17" s="11"/>
      <c r="T17" s="11"/>
      <c r="U17" s="11"/>
      <c r="V17" s="11"/>
      <c r="W17" s="186"/>
      <c r="X17" s="11"/>
      <c r="Y17" s="11"/>
      <c r="Z17" s="11"/>
      <c r="AA17" s="11"/>
      <c r="AB17" s="11"/>
      <c r="AC17" s="11"/>
      <c r="AD17" s="186">
        <v>237</v>
      </c>
      <c r="AE17" s="11">
        <v>200</v>
      </c>
      <c r="AF17" s="11">
        <f>200+47</f>
        <v>247</v>
      </c>
      <c r="AG17" s="11">
        <v>0</v>
      </c>
      <c r="AH17" s="11">
        <v>0</v>
      </c>
      <c r="AI17" s="11">
        <v>0</v>
      </c>
      <c r="AJ17" s="11">
        <v>0</v>
      </c>
      <c r="AK17" s="186">
        <v>0</v>
      </c>
      <c r="AL17" s="11">
        <v>150</v>
      </c>
      <c r="AM17" s="11">
        <v>150</v>
      </c>
      <c r="AN17" s="11">
        <v>0</v>
      </c>
      <c r="AO17" s="11">
        <v>0</v>
      </c>
      <c r="AP17" s="11">
        <v>0</v>
      </c>
      <c r="AQ17" s="11">
        <v>0</v>
      </c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86">
        <v>0</v>
      </c>
      <c r="BG17" s="11">
        <v>200</v>
      </c>
      <c r="BH17" s="11">
        <f>200-27</f>
        <v>173</v>
      </c>
      <c r="BI17" s="11">
        <v>0</v>
      </c>
      <c r="BJ17" s="11">
        <v>0</v>
      </c>
      <c r="BK17" s="11">
        <v>0</v>
      </c>
      <c r="BL17" s="11">
        <v>0</v>
      </c>
      <c r="BM17" s="186">
        <v>0</v>
      </c>
      <c r="BN17" s="11">
        <v>150</v>
      </c>
      <c r="BO17" s="11">
        <f>150-20</f>
        <v>130</v>
      </c>
      <c r="BP17" s="11">
        <v>0</v>
      </c>
      <c r="BQ17" s="11">
        <v>0</v>
      </c>
      <c r="BR17" s="11">
        <v>0</v>
      </c>
      <c r="BS17" s="11">
        <v>0</v>
      </c>
      <c r="BT17" s="645">
        <f t="shared" si="32"/>
        <v>237</v>
      </c>
      <c r="BU17" s="268">
        <f t="shared" si="33"/>
        <v>700</v>
      </c>
      <c r="BV17" s="268">
        <f t="shared" si="34"/>
        <v>700</v>
      </c>
      <c r="BW17" s="268">
        <f t="shared" si="35"/>
        <v>0</v>
      </c>
      <c r="BX17" s="268">
        <f t="shared" si="36"/>
        <v>0</v>
      </c>
      <c r="BY17" s="268">
        <f t="shared" si="37"/>
        <v>0</v>
      </c>
      <c r="BZ17" s="268">
        <f t="shared" si="37"/>
        <v>0</v>
      </c>
    </row>
    <row r="18" spans="1:78" s="9" customFormat="1" ht="12.75" hidden="1" customHeight="1" x14ac:dyDescent="0.2">
      <c r="A18" s="58"/>
      <c r="B18" s="8"/>
      <c r="C18" s="217"/>
      <c r="D18" s="8"/>
      <c r="E18" s="8"/>
      <c r="F18" s="8"/>
      <c r="G18" s="8"/>
      <c r="H18" s="8"/>
      <c r="I18" s="8"/>
      <c r="J18" s="11"/>
      <c r="K18" s="11"/>
      <c r="L18" s="11"/>
      <c r="M18" s="11">
        <v>0</v>
      </c>
      <c r="N18" s="11"/>
      <c r="O18" s="11">
        <v>0</v>
      </c>
      <c r="P18" s="217"/>
      <c r="Q18" s="11"/>
      <c r="R18" s="11"/>
      <c r="S18" s="11"/>
      <c r="T18" s="11"/>
      <c r="U18" s="11"/>
      <c r="V18" s="11"/>
      <c r="W18" s="217"/>
      <c r="X18" s="11"/>
      <c r="Y18" s="11"/>
      <c r="Z18" s="11"/>
      <c r="AA18" s="11"/>
      <c r="AB18" s="11"/>
      <c r="AC18" s="11"/>
      <c r="AD18" s="217"/>
      <c r="AE18" s="11"/>
      <c r="AF18" s="11"/>
      <c r="AG18" s="11"/>
      <c r="AH18" s="11"/>
      <c r="AI18" s="11"/>
      <c r="AJ18" s="11"/>
      <c r="AK18" s="217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217"/>
      <c r="BG18" s="11"/>
      <c r="BH18" s="11"/>
      <c r="BI18" s="11"/>
      <c r="BJ18" s="11"/>
      <c r="BK18" s="11"/>
      <c r="BL18" s="11"/>
      <c r="BM18" s="217"/>
      <c r="BN18" s="11"/>
      <c r="BO18" s="11"/>
      <c r="BP18" s="11"/>
      <c r="BQ18" s="11"/>
      <c r="BR18" s="11"/>
      <c r="BS18" s="11"/>
      <c r="BT18" s="645">
        <f t="shared" si="32"/>
        <v>0</v>
      </c>
      <c r="BU18" s="268">
        <f t="shared" si="33"/>
        <v>0</v>
      </c>
      <c r="BV18" s="268">
        <f t="shared" si="34"/>
        <v>0</v>
      </c>
      <c r="BW18" s="268">
        <f t="shared" si="35"/>
        <v>0</v>
      </c>
      <c r="BX18" s="268">
        <f t="shared" si="36"/>
        <v>0</v>
      </c>
      <c r="BY18" s="268">
        <f t="shared" si="37"/>
        <v>0</v>
      </c>
      <c r="BZ18" s="268">
        <f t="shared" si="37"/>
        <v>0</v>
      </c>
    </row>
    <row r="19" spans="1:78" s="9" customFormat="1" ht="12.75" hidden="1" customHeight="1" x14ac:dyDescent="0.2">
      <c r="A19" s="58"/>
      <c r="B19" s="8"/>
      <c r="C19" s="186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86"/>
      <c r="Q19" s="11"/>
      <c r="R19" s="11"/>
      <c r="S19" s="11"/>
      <c r="T19" s="11"/>
      <c r="U19" s="11"/>
      <c r="V19" s="11"/>
      <c r="W19" s="186"/>
      <c r="X19" s="11"/>
      <c r="Y19" s="11"/>
      <c r="Z19" s="11"/>
      <c r="AA19" s="11"/>
      <c r="AB19" s="11"/>
      <c r="AC19" s="11"/>
      <c r="AD19" s="186"/>
      <c r="AE19" s="11"/>
      <c r="AF19" s="11"/>
      <c r="AG19" s="11"/>
      <c r="AH19" s="11"/>
      <c r="AI19" s="11"/>
      <c r="AJ19" s="11"/>
      <c r="AK19" s="186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86"/>
      <c r="BG19" s="11"/>
      <c r="BH19" s="11"/>
      <c r="BI19" s="11"/>
      <c r="BJ19" s="11"/>
      <c r="BK19" s="11"/>
      <c r="BL19" s="11"/>
      <c r="BM19" s="186"/>
      <c r="BN19" s="11"/>
      <c r="BO19" s="11"/>
      <c r="BP19" s="11"/>
      <c r="BQ19" s="11"/>
      <c r="BR19" s="11"/>
      <c r="BS19" s="11"/>
      <c r="BT19" s="645">
        <f t="shared" si="32"/>
        <v>0</v>
      </c>
      <c r="BU19" s="268">
        <f t="shared" si="33"/>
        <v>0</v>
      </c>
      <c r="BV19" s="268">
        <f t="shared" si="34"/>
        <v>0</v>
      </c>
      <c r="BW19" s="268">
        <f t="shared" si="35"/>
        <v>0</v>
      </c>
      <c r="BX19" s="268">
        <f t="shared" si="36"/>
        <v>0</v>
      </c>
      <c r="BY19" s="268">
        <f t="shared" si="37"/>
        <v>0</v>
      </c>
      <c r="BZ19" s="268">
        <f t="shared" si="37"/>
        <v>0</v>
      </c>
    </row>
    <row r="20" spans="1:78" s="9" customFormat="1" x14ac:dyDescent="0.2">
      <c r="A20" s="259" t="s">
        <v>266</v>
      </c>
      <c r="B20" s="14" t="s">
        <v>293</v>
      </c>
      <c r="C20" s="542">
        <f t="shared" ref="C20:D20" si="38">SUM(C21:C31)</f>
        <v>49758</v>
      </c>
      <c r="D20" s="6">
        <f t="shared" si="38"/>
        <v>44580</v>
      </c>
      <c r="E20" s="6">
        <f t="shared" ref="E20" si="39">SUM(E21:E31)</f>
        <v>44954</v>
      </c>
      <c r="F20" s="6">
        <f t="shared" ref="F20:I20" si="40">SUM(F21:F31)</f>
        <v>0</v>
      </c>
      <c r="G20" s="6">
        <f t="shared" si="40"/>
        <v>0</v>
      </c>
      <c r="H20" s="6">
        <f t="shared" si="40"/>
        <v>0</v>
      </c>
      <c r="I20" s="6">
        <f t="shared" si="40"/>
        <v>0</v>
      </c>
      <c r="J20" s="6">
        <f t="shared" ref="J20:AD20" si="41">SUM(J21:J31)</f>
        <v>0</v>
      </c>
      <c r="K20" s="6">
        <f t="shared" si="41"/>
        <v>0</v>
      </c>
      <c r="L20" s="6">
        <f t="shared" si="41"/>
        <v>0</v>
      </c>
      <c r="M20" s="6">
        <f t="shared" si="41"/>
        <v>0</v>
      </c>
      <c r="N20" s="6"/>
      <c r="O20" s="6">
        <f t="shared" si="41"/>
        <v>0</v>
      </c>
      <c r="P20" s="542">
        <f t="shared" si="41"/>
        <v>0</v>
      </c>
      <c r="Q20" s="6">
        <f t="shared" ref="Q20" si="42">SUM(Q21:Q31)</f>
        <v>0</v>
      </c>
      <c r="R20" s="6">
        <f t="shared" ref="R20:S20" si="43">SUM(R21:R31)</f>
        <v>0</v>
      </c>
      <c r="S20" s="6">
        <f t="shared" si="43"/>
        <v>0</v>
      </c>
      <c r="T20" s="6">
        <f t="shared" ref="T20" si="44">SUM(T21:T31)</f>
        <v>0</v>
      </c>
      <c r="U20" s="6">
        <f t="shared" ref="U20:V20" si="45">SUM(U21:U31)</f>
        <v>0</v>
      </c>
      <c r="V20" s="6">
        <f t="shared" si="45"/>
        <v>0</v>
      </c>
      <c r="W20" s="542">
        <f t="shared" si="41"/>
        <v>1398</v>
      </c>
      <c r="X20" s="6">
        <f t="shared" ref="X20:Y20" si="46">SUM(X21:X31)</f>
        <v>1537</v>
      </c>
      <c r="Y20" s="6">
        <f t="shared" si="46"/>
        <v>1563</v>
      </c>
      <c r="Z20" s="6">
        <f t="shared" ref="Z20:AC20" si="47">SUM(Z21:Z31)</f>
        <v>0</v>
      </c>
      <c r="AA20" s="6">
        <f t="shared" si="47"/>
        <v>0</v>
      </c>
      <c r="AB20" s="6">
        <f t="shared" si="47"/>
        <v>0</v>
      </c>
      <c r="AC20" s="6">
        <f t="shared" si="47"/>
        <v>0</v>
      </c>
      <c r="AD20" s="542">
        <f t="shared" si="41"/>
        <v>0</v>
      </c>
      <c r="AE20" s="6">
        <f t="shared" ref="AE20:AF20" si="48">SUM(AE21:AE31)</f>
        <v>0</v>
      </c>
      <c r="AF20" s="6">
        <f t="shared" si="48"/>
        <v>0</v>
      </c>
      <c r="AG20" s="6">
        <f t="shared" ref="AG20:AJ20" si="49">SUM(AG21:AG31)</f>
        <v>0</v>
      </c>
      <c r="AH20" s="6">
        <f t="shared" si="49"/>
        <v>0</v>
      </c>
      <c r="AI20" s="6">
        <f t="shared" si="49"/>
        <v>0</v>
      </c>
      <c r="AJ20" s="6">
        <f t="shared" si="49"/>
        <v>0</v>
      </c>
      <c r="AK20" s="542">
        <f t="shared" ref="AK20:BM20" si="50">SUM(AK21:AK31)</f>
        <v>189</v>
      </c>
      <c r="AL20" s="6">
        <f t="shared" si="50"/>
        <v>225</v>
      </c>
      <c r="AM20" s="6">
        <f t="shared" ref="AM20" si="51">SUM(AM21:AM31)</f>
        <v>218</v>
      </c>
      <c r="AN20" s="6">
        <f t="shared" ref="AN20" si="52">SUM(AN21:AN31)</f>
        <v>0</v>
      </c>
      <c r="AO20" s="6">
        <f t="shared" ref="AO20:AQ20" si="53">SUM(AO21:AO31)</f>
        <v>0</v>
      </c>
      <c r="AP20" s="6">
        <f t="shared" si="53"/>
        <v>0</v>
      </c>
      <c r="AQ20" s="6">
        <f t="shared" si="53"/>
        <v>0</v>
      </c>
      <c r="AR20" s="6">
        <f t="shared" si="50"/>
        <v>0</v>
      </c>
      <c r="AS20" s="6"/>
      <c r="AT20" s="6">
        <f t="shared" si="50"/>
        <v>0</v>
      </c>
      <c r="AU20" s="6">
        <f t="shared" si="50"/>
        <v>0</v>
      </c>
      <c r="AV20" s="6">
        <f t="shared" si="50"/>
        <v>0</v>
      </c>
      <c r="AW20" s="6"/>
      <c r="AX20" s="6">
        <f t="shared" si="50"/>
        <v>0</v>
      </c>
      <c r="AY20" s="6">
        <f t="shared" si="50"/>
        <v>0</v>
      </c>
      <c r="AZ20" s="6"/>
      <c r="BA20" s="6">
        <f t="shared" si="50"/>
        <v>0</v>
      </c>
      <c r="BB20" s="6">
        <f t="shared" si="50"/>
        <v>0</v>
      </c>
      <c r="BC20" s="6">
        <f t="shared" si="50"/>
        <v>0</v>
      </c>
      <c r="BD20" s="6"/>
      <c r="BE20" s="6">
        <f t="shared" si="50"/>
        <v>0</v>
      </c>
      <c r="BF20" s="542">
        <f t="shared" si="50"/>
        <v>412</v>
      </c>
      <c r="BG20" s="6">
        <f t="shared" ref="BG20:BH20" si="54">SUM(BG21:BG31)</f>
        <v>1500</v>
      </c>
      <c r="BH20" s="6">
        <f t="shared" si="54"/>
        <v>1481</v>
      </c>
      <c r="BI20" s="6">
        <f t="shared" ref="BI20" si="55">SUM(BI21:BI31)</f>
        <v>0</v>
      </c>
      <c r="BJ20" s="6">
        <f t="shared" ref="BJ20:BL20" si="56">SUM(BJ21:BJ31)</f>
        <v>0</v>
      </c>
      <c r="BK20" s="6">
        <f t="shared" si="56"/>
        <v>0</v>
      </c>
      <c r="BL20" s="6">
        <f t="shared" si="56"/>
        <v>0</v>
      </c>
      <c r="BM20" s="542">
        <f t="shared" si="50"/>
        <v>2096</v>
      </c>
      <c r="BN20" s="6">
        <f t="shared" ref="BN20:BO20" si="57">SUM(BN21:BN31)</f>
        <v>2000</v>
      </c>
      <c r="BO20" s="6">
        <f t="shared" si="57"/>
        <v>2000</v>
      </c>
      <c r="BP20" s="6">
        <f t="shared" ref="BP20:BS20" si="58">SUM(BP21:BP31)</f>
        <v>0</v>
      </c>
      <c r="BQ20" s="6">
        <f t="shared" si="58"/>
        <v>0</v>
      </c>
      <c r="BR20" s="6">
        <f t="shared" si="58"/>
        <v>0</v>
      </c>
      <c r="BS20" s="6">
        <f t="shared" si="58"/>
        <v>0</v>
      </c>
      <c r="BT20" s="644">
        <f t="shared" si="32"/>
        <v>53853</v>
      </c>
      <c r="BU20" s="269">
        <f t="shared" si="33"/>
        <v>49842</v>
      </c>
      <c r="BV20" s="269">
        <f t="shared" si="34"/>
        <v>50216</v>
      </c>
      <c r="BW20" s="269">
        <f t="shared" si="35"/>
        <v>0</v>
      </c>
      <c r="BX20" s="269">
        <f t="shared" si="36"/>
        <v>0</v>
      </c>
      <c r="BY20" s="269">
        <f t="shared" si="37"/>
        <v>0</v>
      </c>
      <c r="BZ20" s="269">
        <f t="shared" si="37"/>
        <v>0</v>
      </c>
    </row>
    <row r="21" spans="1:78" s="9" customFormat="1" x14ac:dyDescent="0.2">
      <c r="A21" s="58">
        <v>121</v>
      </c>
      <c r="B21" s="8" t="s">
        <v>825</v>
      </c>
      <c r="C21" s="637">
        <v>21320</v>
      </c>
      <c r="D21" s="219">
        <v>18019</v>
      </c>
      <c r="E21" s="219">
        <v>18019</v>
      </c>
      <c r="F21" s="219">
        <v>0</v>
      </c>
      <c r="G21" s="219">
        <v>0</v>
      </c>
      <c r="H21" s="219">
        <v>0</v>
      </c>
      <c r="I21" s="219">
        <v>0</v>
      </c>
      <c r="J21" s="6"/>
      <c r="K21" s="6"/>
      <c r="L21" s="6"/>
      <c r="M21" s="6"/>
      <c r="N21" s="6"/>
      <c r="O21" s="6"/>
      <c r="P21" s="637"/>
      <c r="Q21" s="6"/>
      <c r="R21" s="6"/>
      <c r="S21" s="6"/>
      <c r="T21" s="6"/>
      <c r="U21" s="6"/>
      <c r="V21" s="6"/>
      <c r="W21" s="637"/>
      <c r="X21" s="6"/>
      <c r="Y21" s="6"/>
      <c r="Z21" s="6"/>
      <c r="AA21" s="6"/>
      <c r="AB21" s="6"/>
      <c r="AC21" s="6"/>
      <c r="AD21" s="637"/>
      <c r="AE21" s="6"/>
      <c r="AF21" s="6"/>
      <c r="AG21" s="6"/>
      <c r="AH21" s="6"/>
      <c r="AI21" s="6"/>
      <c r="AJ21" s="6"/>
      <c r="AK21" s="637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37"/>
      <c r="BG21" s="6"/>
      <c r="BH21" s="6"/>
      <c r="BI21" s="6"/>
      <c r="BJ21" s="6"/>
      <c r="BK21" s="6"/>
      <c r="BL21" s="6"/>
      <c r="BM21" s="637"/>
      <c r="BN21" s="6"/>
      <c r="BO21" s="6"/>
      <c r="BP21" s="6"/>
      <c r="BQ21" s="6"/>
      <c r="BR21" s="6"/>
      <c r="BS21" s="6"/>
      <c r="BT21" s="646">
        <f t="shared" si="32"/>
        <v>21320</v>
      </c>
      <c r="BU21" s="379">
        <f t="shared" si="33"/>
        <v>18019</v>
      </c>
      <c r="BV21" s="379">
        <f t="shared" si="34"/>
        <v>18019</v>
      </c>
      <c r="BW21" s="379">
        <f t="shared" si="35"/>
        <v>0</v>
      </c>
      <c r="BX21" s="379">
        <f t="shared" si="36"/>
        <v>0</v>
      </c>
      <c r="BY21" s="379">
        <f t="shared" si="37"/>
        <v>0</v>
      </c>
      <c r="BZ21" s="379">
        <f t="shared" si="37"/>
        <v>0</v>
      </c>
    </row>
    <row r="22" spans="1:78" s="9" customFormat="1" x14ac:dyDescent="0.2">
      <c r="A22" s="58">
        <v>121</v>
      </c>
      <c r="B22" s="154" t="s">
        <v>406</v>
      </c>
      <c r="C22" s="637">
        <v>4136</v>
      </c>
      <c r="D22" s="219">
        <v>4143</v>
      </c>
      <c r="E22" s="219">
        <f>4143-1726</f>
        <v>2417</v>
      </c>
      <c r="F22" s="219">
        <v>0</v>
      </c>
      <c r="G22" s="219">
        <v>0</v>
      </c>
      <c r="H22" s="219">
        <v>0</v>
      </c>
      <c r="I22" s="219">
        <v>0</v>
      </c>
      <c r="J22" s="6"/>
      <c r="K22" s="6"/>
      <c r="L22" s="6"/>
      <c r="M22" s="6"/>
      <c r="N22" s="6"/>
      <c r="O22" s="6"/>
      <c r="P22" s="637"/>
      <c r="Q22" s="6"/>
      <c r="R22" s="6"/>
      <c r="S22" s="6"/>
      <c r="T22" s="6"/>
      <c r="U22" s="6"/>
      <c r="V22" s="6"/>
      <c r="W22" s="637"/>
      <c r="X22" s="6"/>
      <c r="Y22" s="6"/>
      <c r="Z22" s="6"/>
      <c r="AA22" s="6"/>
      <c r="AB22" s="6"/>
      <c r="AC22" s="6"/>
      <c r="AD22" s="637"/>
      <c r="AE22" s="6"/>
      <c r="AF22" s="6"/>
      <c r="AG22" s="6"/>
      <c r="AH22" s="6"/>
      <c r="AI22" s="6"/>
      <c r="AJ22" s="6"/>
      <c r="AK22" s="637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37"/>
      <c r="BG22" s="6"/>
      <c r="BH22" s="6"/>
      <c r="BI22" s="6"/>
      <c r="BJ22" s="6"/>
      <c r="BK22" s="6"/>
      <c r="BL22" s="6"/>
      <c r="BM22" s="637"/>
      <c r="BN22" s="6"/>
      <c r="BO22" s="6"/>
      <c r="BP22" s="6"/>
      <c r="BQ22" s="6"/>
      <c r="BR22" s="6"/>
      <c r="BS22" s="6"/>
      <c r="BT22" s="646">
        <f t="shared" si="32"/>
        <v>4136</v>
      </c>
      <c r="BU22" s="379">
        <f t="shared" si="33"/>
        <v>4143</v>
      </c>
      <c r="BV22" s="379">
        <f t="shared" si="34"/>
        <v>2417</v>
      </c>
      <c r="BW22" s="379">
        <f t="shared" si="35"/>
        <v>0</v>
      </c>
      <c r="BX22" s="379">
        <f t="shared" si="36"/>
        <v>0</v>
      </c>
      <c r="BY22" s="379">
        <f t="shared" si="37"/>
        <v>0</v>
      </c>
      <c r="BZ22" s="379">
        <f t="shared" si="37"/>
        <v>0</v>
      </c>
    </row>
    <row r="23" spans="1:78" s="9" customFormat="1" x14ac:dyDescent="0.2">
      <c r="A23" s="58">
        <v>121</v>
      </c>
      <c r="B23" s="154" t="s">
        <v>845</v>
      </c>
      <c r="C23" s="637">
        <v>9693</v>
      </c>
      <c r="D23" s="219">
        <v>9600</v>
      </c>
      <c r="E23" s="219">
        <v>9600</v>
      </c>
      <c r="F23" s="219">
        <v>0</v>
      </c>
      <c r="G23" s="219">
        <v>0</v>
      </c>
      <c r="H23" s="219">
        <v>0</v>
      </c>
      <c r="I23" s="219">
        <v>0</v>
      </c>
      <c r="J23" s="6"/>
      <c r="K23" s="6"/>
      <c r="L23" s="6"/>
      <c r="M23" s="6"/>
      <c r="N23" s="6"/>
      <c r="O23" s="6"/>
      <c r="P23" s="637"/>
      <c r="Q23" s="6"/>
      <c r="R23" s="6"/>
      <c r="S23" s="6"/>
      <c r="T23" s="6"/>
      <c r="U23" s="6"/>
      <c r="V23" s="6"/>
      <c r="W23" s="637"/>
      <c r="X23" s="6"/>
      <c r="Y23" s="6"/>
      <c r="Z23" s="6"/>
      <c r="AA23" s="6"/>
      <c r="AB23" s="6"/>
      <c r="AC23" s="6"/>
      <c r="AD23" s="637"/>
      <c r="AE23" s="6"/>
      <c r="AF23" s="6"/>
      <c r="AG23" s="6"/>
      <c r="AH23" s="6"/>
      <c r="AI23" s="6"/>
      <c r="AJ23" s="6"/>
      <c r="AK23" s="637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37"/>
      <c r="BG23" s="6"/>
      <c r="BH23" s="6"/>
      <c r="BI23" s="6"/>
      <c r="BJ23" s="6"/>
      <c r="BK23" s="6"/>
      <c r="BL23" s="6"/>
      <c r="BM23" s="637"/>
      <c r="BN23" s="6"/>
      <c r="BO23" s="6"/>
      <c r="BP23" s="6"/>
      <c r="BQ23" s="6"/>
      <c r="BR23" s="6"/>
      <c r="BS23" s="6"/>
      <c r="BT23" s="646">
        <f t="shared" si="32"/>
        <v>9693</v>
      </c>
      <c r="BU23" s="379">
        <f t="shared" si="33"/>
        <v>9600</v>
      </c>
      <c r="BV23" s="379">
        <f t="shared" si="34"/>
        <v>9600</v>
      </c>
      <c r="BW23" s="379">
        <f t="shared" si="35"/>
        <v>0</v>
      </c>
      <c r="BX23" s="379">
        <f t="shared" si="36"/>
        <v>0</v>
      </c>
      <c r="BY23" s="379">
        <f t="shared" si="37"/>
        <v>0</v>
      </c>
      <c r="BZ23" s="379">
        <f t="shared" si="37"/>
        <v>0</v>
      </c>
    </row>
    <row r="24" spans="1:78" s="9" customFormat="1" x14ac:dyDescent="0.2">
      <c r="A24" s="58">
        <v>121</v>
      </c>
      <c r="B24" s="8" t="s">
        <v>29</v>
      </c>
      <c r="C24" s="186">
        <v>188</v>
      </c>
      <c r="D24" s="11">
        <v>188</v>
      </c>
      <c r="E24" s="11">
        <v>188</v>
      </c>
      <c r="F24" s="11">
        <v>0</v>
      </c>
      <c r="G24" s="11">
        <v>0</v>
      </c>
      <c r="H24" s="11">
        <v>0</v>
      </c>
      <c r="I24" s="11">
        <v>0</v>
      </c>
      <c r="J24" s="11"/>
      <c r="K24" s="11"/>
      <c r="L24" s="11"/>
      <c r="M24" s="11"/>
      <c r="N24" s="11"/>
      <c r="O24" s="11"/>
      <c r="P24" s="186"/>
      <c r="Q24" s="6"/>
      <c r="R24" s="6"/>
      <c r="S24" s="6"/>
      <c r="T24" s="6"/>
      <c r="U24" s="6"/>
      <c r="V24" s="6"/>
      <c r="W24" s="186"/>
      <c r="X24" s="6"/>
      <c r="Y24" s="6"/>
      <c r="Z24" s="6"/>
      <c r="AA24" s="6"/>
      <c r="AB24" s="6"/>
      <c r="AC24" s="6"/>
      <c r="AD24" s="186"/>
      <c r="AE24" s="6"/>
      <c r="AF24" s="6"/>
      <c r="AG24" s="6"/>
      <c r="AH24" s="6"/>
      <c r="AI24" s="6"/>
      <c r="AJ24" s="6"/>
      <c r="AK24" s="18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186"/>
      <c r="BG24" s="6"/>
      <c r="BH24" s="6"/>
      <c r="BI24" s="6"/>
      <c r="BJ24" s="6"/>
      <c r="BK24" s="6"/>
      <c r="BL24" s="6"/>
      <c r="BM24" s="186"/>
      <c r="BN24" s="6"/>
      <c r="BO24" s="6"/>
      <c r="BP24" s="6"/>
      <c r="BQ24" s="6"/>
      <c r="BR24" s="6"/>
      <c r="BS24" s="6"/>
      <c r="BT24" s="646">
        <f t="shared" si="32"/>
        <v>188</v>
      </c>
      <c r="BU24" s="379">
        <f t="shared" si="33"/>
        <v>188</v>
      </c>
      <c r="BV24" s="379">
        <f t="shared" si="34"/>
        <v>188</v>
      </c>
      <c r="BW24" s="379">
        <f t="shared" si="35"/>
        <v>0</v>
      </c>
      <c r="BX24" s="379">
        <f t="shared" si="36"/>
        <v>0</v>
      </c>
      <c r="BY24" s="379">
        <f t="shared" si="37"/>
        <v>0</v>
      </c>
      <c r="BZ24" s="379">
        <f t="shared" si="37"/>
        <v>0</v>
      </c>
    </row>
    <row r="25" spans="1:78" s="9" customFormat="1" x14ac:dyDescent="0.2">
      <c r="A25" s="58">
        <v>121</v>
      </c>
      <c r="B25" s="8" t="s">
        <v>846</v>
      </c>
      <c r="C25" s="186">
        <v>7136</v>
      </c>
      <c r="D25" s="11">
        <v>6240</v>
      </c>
      <c r="E25" s="11">
        <v>6240</v>
      </c>
      <c r="F25" s="11">
        <v>0</v>
      </c>
      <c r="G25" s="11">
        <v>0</v>
      </c>
      <c r="H25" s="11">
        <v>0</v>
      </c>
      <c r="I25" s="11">
        <v>0</v>
      </c>
      <c r="J25" s="11"/>
      <c r="K25" s="11"/>
      <c r="L25" s="11"/>
      <c r="M25" s="11"/>
      <c r="N25" s="11"/>
      <c r="O25" s="11"/>
      <c r="P25" s="186"/>
      <c r="Q25" s="6"/>
      <c r="R25" s="6"/>
      <c r="S25" s="6"/>
      <c r="T25" s="6"/>
      <c r="U25" s="6"/>
      <c r="V25" s="6"/>
      <c r="W25" s="186"/>
      <c r="X25" s="6"/>
      <c r="Y25" s="6"/>
      <c r="Z25" s="6"/>
      <c r="AA25" s="6"/>
      <c r="AB25" s="6"/>
      <c r="AC25" s="6"/>
      <c r="AD25" s="186"/>
      <c r="AE25" s="6"/>
      <c r="AF25" s="6"/>
      <c r="AG25" s="6"/>
      <c r="AH25" s="6"/>
      <c r="AI25" s="6"/>
      <c r="AJ25" s="6"/>
      <c r="AK25" s="18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186"/>
      <c r="BG25" s="6"/>
      <c r="BH25" s="6"/>
      <c r="BI25" s="6"/>
      <c r="BJ25" s="6"/>
      <c r="BK25" s="6"/>
      <c r="BL25" s="6"/>
      <c r="BM25" s="186"/>
      <c r="BN25" s="6"/>
      <c r="BO25" s="6"/>
      <c r="BP25" s="6"/>
      <c r="BQ25" s="6"/>
      <c r="BR25" s="6"/>
      <c r="BS25" s="6"/>
      <c r="BT25" s="646">
        <f t="shared" si="32"/>
        <v>7136</v>
      </c>
      <c r="BU25" s="379">
        <f t="shared" si="33"/>
        <v>6240</v>
      </c>
      <c r="BV25" s="379">
        <f t="shared" si="34"/>
        <v>6240</v>
      </c>
      <c r="BW25" s="379">
        <f t="shared" si="35"/>
        <v>0</v>
      </c>
      <c r="BX25" s="379">
        <f t="shared" si="36"/>
        <v>0</v>
      </c>
      <c r="BY25" s="379">
        <f t="shared" si="37"/>
        <v>0</v>
      </c>
      <c r="BZ25" s="379">
        <f t="shared" si="37"/>
        <v>0</v>
      </c>
    </row>
    <row r="26" spans="1:78" s="9" customFormat="1" x14ac:dyDescent="0.2">
      <c r="A26" s="58">
        <v>121</v>
      </c>
      <c r="B26" s="8" t="s">
        <v>1106</v>
      </c>
      <c r="C26" s="186">
        <v>0</v>
      </c>
      <c r="D26" s="11">
        <v>1000</v>
      </c>
      <c r="E26" s="11">
        <v>1000</v>
      </c>
      <c r="F26" s="11">
        <v>0</v>
      </c>
      <c r="G26" s="11">
        <v>0</v>
      </c>
      <c r="H26" s="11">
        <v>0</v>
      </c>
      <c r="I26" s="11">
        <v>0</v>
      </c>
      <c r="J26" s="11"/>
      <c r="K26" s="11"/>
      <c r="L26" s="11"/>
      <c r="M26" s="11"/>
      <c r="N26" s="11"/>
      <c r="O26" s="11"/>
      <c r="P26" s="186"/>
      <c r="Q26" s="6"/>
      <c r="R26" s="6"/>
      <c r="S26" s="6"/>
      <c r="T26" s="6"/>
      <c r="U26" s="6"/>
      <c r="V26" s="6"/>
      <c r="W26" s="186"/>
      <c r="X26" s="6"/>
      <c r="Y26" s="6"/>
      <c r="Z26" s="6"/>
      <c r="AA26" s="6"/>
      <c r="AB26" s="6"/>
      <c r="AC26" s="6"/>
      <c r="AD26" s="186"/>
      <c r="AE26" s="6"/>
      <c r="AF26" s="6"/>
      <c r="AG26" s="6"/>
      <c r="AH26" s="6"/>
      <c r="AI26" s="6"/>
      <c r="AJ26" s="6"/>
      <c r="AK26" s="18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186"/>
      <c r="BG26" s="6"/>
      <c r="BH26" s="6"/>
      <c r="BI26" s="6"/>
      <c r="BJ26" s="6"/>
      <c r="BK26" s="6"/>
      <c r="BL26" s="6"/>
      <c r="BM26" s="186"/>
      <c r="BN26" s="6"/>
      <c r="BO26" s="6"/>
      <c r="BP26" s="6"/>
      <c r="BQ26" s="6"/>
      <c r="BR26" s="6"/>
      <c r="BS26" s="6"/>
      <c r="BT26" s="646">
        <f t="shared" si="32"/>
        <v>0</v>
      </c>
      <c r="BU26" s="379">
        <f t="shared" si="33"/>
        <v>1000</v>
      </c>
      <c r="BV26" s="379">
        <f t="shared" si="34"/>
        <v>1000</v>
      </c>
      <c r="BW26" s="379">
        <f t="shared" si="35"/>
        <v>0</v>
      </c>
      <c r="BX26" s="379">
        <f t="shared" si="36"/>
        <v>0</v>
      </c>
      <c r="BY26" s="379">
        <f t="shared" si="37"/>
        <v>0</v>
      </c>
      <c r="BZ26" s="379">
        <f t="shared" si="37"/>
        <v>0</v>
      </c>
    </row>
    <row r="27" spans="1:78" s="9" customFormat="1" x14ac:dyDescent="0.2">
      <c r="A27" s="58">
        <v>122</v>
      </c>
      <c r="B27" s="8" t="s">
        <v>741</v>
      </c>
      <c r="C27" s="186">
        <v>5040</v>
      </c>
      <c r="D27" s="11">
        <v>2940</v>
      </c>
      <c r="E27" s="11">
        <f>2940+2100</f>
        <v>5040</v>
      </c>
      <c r="F27" s="11">
        <v>0</v>
      </c>
      <c r="G27" s="11">
        <v>0</v>
      </c>
      <c r="H27" s="11">
        <v>0</v>
      </c>
      <c r="I27" s="11">
        <v>0</v>
      </c>
      <c r="J27" s="11"/>
      <c r="K27" s="11"/>
      <c r="L27" s="11"/>
      <c r="M27" s="11"/>
      <c r="N27" s="11"/>
      <c r="O27" s="11"/>
      <c r="P27" s="186"/>
      <c r="Q27" s="6"/>
      <c r="R27" s="6"/>
      <c r="S27" s="6"/>
      <c r="T27" s="6"/>
      <c r="U27" s="6"/>
      <c r="V27" s="6"/>
      <c r="W27" s="186"/>
      <c r="X27" s="11"/>
      <c r="Y27" s="11"/>
      <c r="Z27" s="11"/>
      <c r="AA27" s="11"/>
      <c r="AB27" s="11"/>
      <c r="AC27" s="11"/>
      <c r="AD27" s="186"/>
      <c r="AE27" s="11"/>
      <c r="AF27" s="11"/>
      <c r="AG27" s="11"/>
      <c r="AH27" s="11"/>
      <c r="AI27" s="11"/>
      <c r="AJ27" s="11"/>
      <c r="AK27" s="186"/>
      <c r="AL27" s="11"/>
      <c r="AM27" s="11"/>
      <c r="AN27" s="11"/>
      <c r="AO27" s="11"/>
      <c r="AP27" s="11"/>
      <c r="AQ27" s="11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186"/>
      <c r="BG27" s="6"/>
      <c r="BH27" s="6"/>
      <c r="BI27" s="6"/>
      <c r="BJ27" s="6"/>
      <c r="BK27" s="6"/>
      <c r="BL27" s="6"/>
      <c r="BM27" s="186"/>
      <c r="BN27" s="6"/>
      <c r="BO27" s="6"/>
      <c r="BP27" s="6"/>
      <c r="BQ27" s="6"/>
      <c r="BR27" s="6"/>
      <c r="BS27" s="6"/>
      <c r="BT27" s="646">
        <f t="shared" si="32"/>
        <v>5040</v>
      </c>
      <c r="BU27" s="379">
        <f t="shared" si="33"/>
        <v>2940</v>
      </c>
      <c r="BV27" s="379">
        <f t="shared" si="34"/>
        <v>5040</v>
      </c>
      <c r="BW27" s="379">
        <f t="shared" si="35"/>
        <v>0</v>
      </c>
      <c r="BX27" s="379">
        <f t="shared" si="36"/>
        <v>0</v>
      </c>
      <c r="BY27" s="379">
        <f t="shared" ref="BY27:BZ33" si="59">H27+N27+U27+AB27+AI27+AP27+AW27+BD27+BK27+BR27</f>
        <v>0</v>
      </c>
      <c r="BZ27" s="379">
        <f t="shared" si="59"/>
        <v>0</v>
      </c>
    </row>
    <row r="28" spans="1:78" s="9" customFormat="1" x14ac:dyDescent="0.2">
      <c r="A28" s="58">
        <v>122</v>
      </c>
      <c r="B28" s="8" t="s">
        <v>740</v>
      </c>
      <c r="C28" s="628">
        <v>600</v>
      </c>
      <c r="D28" s="78">
        <v>600</v>
      </c>
      <c r="E28" s="78">
        <v>600</v>
      </c>
      <c r="F28" s="78">
        <v>0</v>
      </c>
      <c r="G28" s="78">
        <v>0</v>
      </c>
      <c r="H28" s="78">
        <v>0</v>
      </c>
      <c r="I28" s="78">
        <v>0</v>
      </c>
      <c r="J28" s="11"/>
      <c r="K28" s="11"/>
      <c r="L28" s="11"/>
      <c r="M28" s="11"/>
      <c r="N28" s="11"/>
      <c r="O28" s="11"/>
      <c r="P28" s="628"/>
      <c r="Q28" s="6"/>
      <c r="R28" s="6"/>
      <c r="S28" s="6"/>
      <c r="T28" s="6"/>
      <c r="U28" s="6"/>
      <c r="V28" s="6"/>
      <c r="W28" s="628">
        <v>1398</v>
      </c>
      <c r="X28" s="11">
        <v>1537</v>
      </c>
      <c r="Y28" s="11">
        <f>1537+26</f>
        <v>1563</v>
      </c>
      <c r="Z28" s="11">
        <v>0</v>
      </c>
      <c r="AA28" s="11">
        <v>0</v>
      </c>
      <c r="AB28" s="11">
        <v>0</v>
      </c>
      <c r="AC28" s="11">
        <v>0</v>
      </c>
      <c r="AD28" s="628"/>
      <c r="AE28" s="11"/>
      <c r="AF28" s="11"/>
      <c r="AG28" s="11"/>
      <c r="AH28" s="11"/>
      <c r="AI28" s="11"/>
      <c r="AJ28" s="11"/>
      <c r="AK28" s="628">
        <v>189</v>
      </c>
      <c r="AL28" s="11">
        <v>225</v>
      </c>
      <c r="AM28" s="11">
        <f>225-7</f>
        <v>218</v>
      </c>
      <c r="AN28" s="11">
        <v>0</v>
      </c>
      <c r="AO28" s="11">
        <v>0</v>
      </c>
      <c r="AP28" s="11">
        <v>0</v>
      </c>
      <c r="AQ28" s="11">
        <v>0</v>
      </c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28">
        <v>412</v>
      </c>
      <c r="BG28" s="11">
        <f>400+100</f>
        <v>500</v>
      </c>
      <c r="BH28" s="11">
        <f>400+100-19</f>
        <v>481</v>
      </c>
      <c r="BI28" s="11">
        <v>0</v>
      </c>
      <c r="BJ28" s="11">
        <v>0</v>
      </c>
      <c r="BK28" s="11">
        <v>0</v>
      </c>
      <c r="BL28" s="11">
        <v>0</v>
      </c>
      <c r="BM28" s="628"/>
      <c r="BN28" s="6"/>
      <c r="BO28" s="6"/>
      <c r="BP28" s="11"/>
      <c r="BQ28" s="11"/>
      <c r="BR28" s="11"/>
      <c r="BS28" s="11"/>
      <c r="BT28" s="646">
        <f t="shared" si="32"/>
        <v>2599</v>
      </c>
      <c r="BU28" s="379">
        <f t="shared" si="33"/>
        <v>2862</v>
      </c>
      <c r="BV28" s="379">
        <f t="shared" si="34"/>
        <v>2862</v>
      </c>
      <c r="BW28" s="379">
        <f t="shared" si="35"/>
        <v>0</v>
      </c>
      <c r="BX28" s="379">
        <f t="shared" si="36"/>
        <v>0</v>
      </c>
      <c r="BY28" s="379">
        <f t="shared" si="59"/>
        <v>0</v>
      </c>
      <c r="BZ28" s="379">
        <f t="shared" si="59"/>
        <v>0</v>
      </c>
    </row>
    <row r="29" spans="1:78" s="9" customFormat="1" x14ac:dyDescent="0.2">
      <c r="A29" s="58">
        <v>122</v>
      </c>
      <c r="B29" s="8" t="s">
        <v>886</v>
      </c>
      <c r="C29" s="628">
        <v>501</v>
      </c>
      <c r="D29" s="78">
        <v>550</v>
      </c>
      <c r="E29" s="78">
        <v>550</v>
      </c>
      <c r="F29" s="78">
        <v>0</v>
      </c>
      <c r="G29" s="78">
        <v>0</v>
      </c>
      <c r="H29" s="78">
        <v>0</v>
      </c>
      <c r="I29" s="78">
        <v>0</v>
      </c>
      <c r="J29" s="11"/>
      <c r="K29" s="11"/>
      <c r="L29" s="11"/>
      <c r="M29" s="11"/>
      <c r="N29" s="11"/>
      <c r="O29" s="11"/>
      <c r="P29" s="628"/>
      <c r="Q29" s="6"/>
      <c r="R29" s="6"/>
      <c r="S29" s="6"/>
      <c r="T29" s="6"/>
      <c r="U29" s="6"/>
      <c r="V29" s="6"/>
      <c r="W29" s="628"/>
      <c r="X29" s="11"/>
      <c r="Y29" s="11"/>
      <c r="Z29" s="11"/>
      <c r="AA29" s="11"/>
      <c r="AB29" s="11"/>
      <c r="AC29" s="11"/>
      <c r="AD29" s="628"/>
      <c r="AE29" s="11"/>
      <c r="AF29" s="11"/>
      <c r="AG29" s="11"/>
      <c r="AH29" s="11"/>
      <c r="AI29" s="11"/>
      <c r="AJ29" s="11"/>
      <c r="AK29" s="628"/>
      <c r="AL29" s="11"/>
      <c r="AM29" s="11"/>
      <c r="AN29" s="11"/>
      <c r="AO29" s="11"/>
      <c r="AP29" s="11"/>
      <c r="AQ29" s="11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28"/>
      <c r="BG29" s="11"/>
      <c r="BH29" s="11"/>
      <c r="BI29" s="11"/>
      <c r="BJ29" s="11"/>
      <c r="BK29" s="11"/>
      <c r="BL29" s="11"/>
      <c r="BM29" s="628"/>
      <c r="BN29" s="6"/>
      <c r="BO29" s="6"/>
      <c r="BP29" s="11"/>
      <c r="BQ29" s="11"/>
      <c r="BR29" s="11"/>
      <c r="BS29" s="11"/>
      <c r="BT29" s="646">
        <f t="shared" si="32"/>
        <v>501</v>
      </c>
      <c r="BU29" s="379">
        <f t="shared" si="33"/>
        <v>550</v>
      </c>
      <c r="BV29" s="379">
        <f t="shared" si="34"/>
        <v>550</v>
      </c>
      <c r="BW29" s="379">
        <f t="shared" si="35"/>
        <v>0</v>
      </c>
      <c r="BX29" s="379">
        <f t="shared" si="36"/>
        <v>0</v>
      </c>
      <c r="BY29" s="379">
        <f t="shared" si="59"/>
        <v>0</v>
      </c>
      <c r="BZ29" s="379">
        <f t="shared" si="59"/>
        <v>0</v>
      </c>
    </row>
    <row r="30" spans="1:78" x14ac:dyDescent="0.2">
      <c r="A30" s="58">
        <v>123</v>
      </c>
      <c r="B30" s="8" t="s">
        <v>705</v>
      </c>
      <c r="C30" s="628">
        <v>1144</v>
      </c>
      <c r="D30" s="78">
        <v>1300</v>
      </c>
      <c r="E30" s="78">
        <v>1300</v>
      </c>
      <c r="F30" s="78">
        <v>0</v>
      </c>
      <c r="G30" s="78">
        <v>0</v>
      </c>
      <c r="H30" s="78">
        <v>0</v>
      </c>
      <c r="I30" s="78">
        <v>0</v>
      </c>
      <c r="J30" s="11"/>
      <c r="K30" s="11"/>
      <c r="L30" s="11"/>
      <c r="M30" s="11"/>
      <c r="N30" s="11"/>
      <c r="O30" s="11"/>
      <c r="P30" s="628"/>
      <c r="Q30" s="11"/>
      <c r="R30" s="11"/>
      <c r="S30" s="11"/>
      <c r="T30" s="11"/>
      <c r="U30" s="11"/>
      <c r="V30" s="11"/>
      <c r="W30" s="628"/>
      <c r="X30" s="11"/>
      <c r="Y30" s="11"/>
      <c r="Z30" s="11"/>
      <c r="AA30" s="11"/>
      <c r="AB30" s="11"/>
      <c r="AC30" s="11"/>
      <c r="AD30" s="628"/>
      <c r="AE30" s="11"/>
      <c r="AF30" s="11"/>
      <c r="AG30" s="11"/>
      <c r="AH30" s="11"/>
      <c r="AI30" s="11"/>
      <c r="AJ30" s="11"/>
      <c r="AK30" s="628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628"/>
      <c r="BG30" s="11"/>
      <c r="BH30" s="11"/>
      <c r="BI30" s="11"/>
      <c r="BJ30" s="11"/>
      <c r="BK30" s="11"/>
      <c r="BL30" s="11"/>
      <c r="BM30" s="628">
        <v>2096</v>
      </c>
      <c r="BN30" s="11">
        <v>2000</v>
      </c>
      <c r="BO30" s="11">
        <v>2000</v>
      </c>
      <c r="BP30" s="11"/>
      <c r="BQ30" s="11"/>
      <c r="BR30" s="11"/>
      <c r="BS30" s="11"/>
      <c r="BT30" s="646">
        <f t="shared" si="32"/>
        <v>3240</v>
      </c>
      <c r="BU30" s="379">
        <f t="shared" si="33"/>
        <v>3300</v>
      </c>
      <c r="BV30" s="379">
        <f t="shared" si="34"/>
        <v>3300</v>
      </c>
      <c r="BW30" s="379">
        <f t="shared" si="35"/>
        <v>0</v>
      </c>
      <c r="BX30" s="379">
        <f t="shared" si="36"/>
        <v>0</v>
      </c>
      <c r="BY30" s="379">
        <f t="shared" si="59"/>
        <v>0</v>
      </c>
      <c r="BZ30" s="379">
        <f t="shared" si="59"/>
        <v>0</v>
      </c>
    </row>
    <row r="31" spans="1:78" ht="12.75" customHeight="1" x14ac:dyDescent="0.2">
      <c r="A31" s="58">
        <v>123</v>
      </c>
      <c r="B31" s="8" t="s">
        <v>1107</v>
      </c>
      <c r="C31" s="186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86"/>
      <c r="Q31" s="11"/>
      <c r="R31" s="11"/>
      <c r="S31" s="11"/>
      <c r="T31" s="11"/>
      <c r="U31" s="11"/>
      <c r="V31" s="11"/>
      <c r="W31" s="186"/>
      <c r="X31" s="11"/>
      <c r="Y31" s="11"/>
      <c r="Z31" s="11"/>
      <c r="AA31" s="11"/>
      <c r="AB31" s="11"/>
      <c r="AC31" s="11"/>
      <c r="AD31" s="186"/>
      <c r="AE31" s="11"/>
      <c r="AF31" s="11"/>
      <c r="AG31" s="11"/>
      <c r="AH31" s="11"/>
      <c r="AI31" s="11"/>
      <c r="AJ31" s="11"/>
      <c r="AK31" s="186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86">
        <v>0</v>
      </c>
      <c r="BG31" s="11">
        <v>1000</v>
      </c>
      <c r="BH31" s="11">
        <v>1000</v>
      </c>
      <c r="BI31" s="11"/>
      <c r="BJ31" s="11"/>
      <c r="BK31" s="11"/>
      <c r="BL31" s="11"/>
      <c r="BM31" s="186"/>
      <c r="BN31" s="11"/>
      <c r="BO31" s="11"/>
      <c r="BP31" s="11"/>
      <c r="BQ31" s="11"/>
      <c r="BR31" s="11"/>
      <c r="BS31" s="11"/>
      <c r="BT31" s="646">
        <f t="shared" si="32"/>
        <v>0</v>
      </c>
      <c r="BU31" s="379">
        <f t="shared" si="33"/>
        <v>1000</v>
      </c>
      <c r="BV31" s="379">
        <f t="shared" si="34"/>
        <v>1000</v>
      </c>
      <c r="BW31" s="379">
        <f t="shared" si="35"/>
        <v>0</v>
      </c>
      <c r="BX31" s="379">
        <f t="shared" si="36"/>
        <v>0</v>
      </c>
      <c r="BY31" s="379">
        <f t="shared" si="59"/>
        <v>0</v>
      </c>
      <c r="BZ31" s="379">
        <f t="shared" si="59"/>
        <v>0</v>
      </c>
    </row>
    <row r="32" spans="1:78" x14ac:dyDescent="0.2">
      <c r="A32" s="259" t="s">
        <v>205</v>
      </c>
      <c r="B32" s="109" t="s">
        <v>263</v>
      </c>
      <c r="C32" s="638">
        <f t="shared" ref="C32" si="60">SUM(C11+C20)</f>
        <v>49758</v>
      </c>
      <c r="D32" s="142">
        <f t="shared" ref="D32:E32" si="61">SUM(D11+D20)</f>
        <v>44580</v>
      </c>
      <c r="E32" s="142">
        <f t="shared" si="61"/>
        <v>44954</v>
      </c>
      <c r="F32" s="142">
        <f t="shared" ref="F32:I32" si="62">SUM(F11+F20)</f>
        <v>0</v>
      </c>
      <c r="G32" s="142">
        <f t="shared" si="62"/>
        <v>0</v>
      </c>
      <c r="H32" s="142">
        <f t="shared" si="62"/>
        <v>0</v>
      </c>
      <c r="I32" s="142">
        <f t="shared" si="62"/>
        <v>0</v>
      </c>
      <c r="J32" s="142">
        <f t="shared" ref="J32:W32" si="63">SUM(J11+J20)</f>
        <v>0</v>
      </c>
      <c r="K32" s="142">
        <f t="shared" si="63"/>
        <v>0</v>
      </c>
      <c r="L32" s="142">
        <f t="shared" si="63"/>
        <v>0</v>
      </c>
      <c r="M32" s="142">
        <f t="shared" si="63"/>
        <v>0</v>
      </c>
      <c r="N32" s="142"/>
      <c r="O32" s="142">
        <f t="shared" si="63"/>
        <v>0</v>
      </c>
      <c r="P32" s="638">
        <f t="shared" si="63"/>
        <v>0</v>
      </c>
      <c r="Q32" s="142">
        <f t="shared" ref="Q32" si="64">SUM(Q11+Q20)</f>
        <v>0</v>
      </c>
      <c r="R32" s="142">
        <f t="shared" ref="R32:S32" si="65">SUM(R11+R20)</f>
        <v>0</v>
      </c>
      <c r="S32" s="142">
        <f t="shared" si="65"/>
        <v>0</v>
      </c>
      <c r="T32" s="142">
        <f t="shared" ref="T32" si="66">SUM(T11+T20)</f>
        <v>0</v>
      </c>
      <c r="U32" s="142">
        <f t="shared" ref="U32:V32" si="67">SUM(U11+U20)</f>
        <v>0</v>
      </c>
      <c r="V32" s="142">
        <f t="shared" si="67"/>
        <v>0</v>
      </c>
      <c r="W32" s="638">
        <f t="shared" si="63"/>
        <v>1398</v>
      </c>
      <c r="X32" s="142">
        <f t="shared" ref="X32:Y32" si="68">SUM(X11+X20)</f>
        <v>1537</v>
      </c>
      <c r="Y32" s="142">
        <f t="shared" si="68"/>
        <v>1563</v>
      </c>
      <c r="Z32" s="142">
        <f t="shared" ref="Z32:AC32" si="69">SUM(Z11+Z20)</f>
        <v>0</v>
      </c>
      <c r="AA32" s="142">
        <f t="shared" si="69"/>
        <v>0</v>
      </c>
      <c r="AB32" s="142">
        <f t="shared" si="69"/>
        <v>0</v>
      </c>
      <c r="AC32" s="142">
        <f t="shared" si="69"/>
        <v>0</v>
      </c>
      <c r="AD32" s="638">
        <f t="shared" ref="AD32:AE32" si="70">SUM(AD11+AD20)</f>
        <v>10443</v>
      </c>
      <c r="AE32" s="142">
        <f t="shared" si="70"/>
        <v>10189</v>
      </c>
      <c r="AF32" s="142">
        <f t="shared" ref="AF32" si="71">SUM(AF11+AF20)</f>
        <v>9556</v>
      </c>
      <c r="AG32" s="142">
        <f t="shared" ref="AG32:AJ32" si="72">SUM(AG11+AG20)</f>
        <v>0</v>
      </c>
      <c r="AH32" s="142">
        <f t="shared" si="72"/>
        <v>0</v>
      </c>
      <c r="AI32" s="142">
        <f t="shared" si="72"/>
        <v>0</v>
      </c>
      <c r="AJ32" s="142">
        <f t="shared" si="72"/>
        <v>0</v>
      </c>
      <c r="AK32" s="638">
        <f t="shared" ref="AK32:BM32" si="73">SUM(AK11+AK20)</f>
        <v>2860</v>
      </c>
      <c r="AL32" s="142">
        <f t="shared" si="73"/>
        <v>3328</v>
      </c>
      <c r="AM32" s="142">
        <f t="shared" ref="AM32" si="74">SUM(AM11+AM20)</f>
        <v>4001</v>
      </c>
      <c r="AN32" s="142">
        <f t="shared" ref="AN32:AQ32" si="75">SUM(AN11+AN20)</f>
        <v>0</v>
      </c>
      <c r="AO32" s="142">
        <f t="shared" si="75"/>
        <v>0</v>
      </c>
      <c r="AP32" s="142">
        <f t="shared" si="75"/>
        <v>0</v>
      </c>
      <c r="AQ32" s="142">
        <f t="shared" si="75"/>
        <v>0</v>
      </c>
      <c r="AR32" s="142">
        <f t="shared" si="73"/>
        <v>0</v>
      </c>
      <c r="AS32" s="142"/>
      <c r="AT32" s="142">
        <f t="shared" si="73"/>
        <v>0</v>
      </c>
      <c r="AU32" s="142">
        <f t="shared" si="73"/>
        <v>0</v>
      </c>
      <c r="AV32" s="142">
        <f t="shared" si="73"/>
        <v>0</v>
      </c>
      <c r="AW32" s="142"/>
      <c r="AX32" s="142">
        <f t="shared" si="73"/>
        <v>0</v>
      </c>
      <c r="AY32" s="142">
        <f t="shared" si="73"/>
        <v>0</v>
      </c>
      <c r="AZ32" s="142"/>
      <c r="BA32" s="142">
        <f t="shared" si="73"/>
        <v>0</v>
      </c>
      <c r="BB32" s="142">
        <f t="shared" si="73"/>
        <v>0</v>
      </c>
      <c r="BC32" s="142">
        <f t="shared" si="73"/>
        <v>0</v>
      </c>
      <c r="BD32" s="142"/>
      <c r="BE32" s="142">
        <f t="shared" si="73"/>
        <v>0</v>
      </c>
      <c r="BF32" s="638">
        <f t="shared" si="73"/>
        <v>4671</v>
      </c>
      <c r="BG32" s="142">
        <f t="shared" ref="BG32:BH32" si="76">SUM(BG11+BG20)</f>
        <v>6250</v>
      </c>
      <c r="BH32" s="142">
        <f t="shared" si="76"/>
        <v>6204</v>
      </c>
      <c r="BI32" s="142">
        <f t="shared" ref="BI32:BL32" si="77">SUM(BI11+BI20)</f>
        <v>0</v>
      </c>
      <c r="BJ32" s="142">
        <f t="shared" si="77"/>
        <v>0</v>
      </c>
      <c r="BK32" s="142">
        <f t="shared" si="77"/>
        <v>0</v>
      </c>
      <c r="BL32" s="142">
        <f t="shared" si="77"/>
        <v>0</v>
      </c>
      <c r="BM32" s="638">
        <f t="shared" si="73"/>
        <v>8384</v>
      </c>
      <c r="BN32" s="142">
        <f t="shared" ref="BN32:BO32" si="78">SUM(BN11+BN20)</f>
        <v>8127</v>
      </c>
      <c r="BO32" s="142">
        <f t="shared" si="78"/>
        <v>8107</v>
      </c>
      <c r="BP32" s="142">
        <f t="shared" ref="BP32:BS32" si="79">SUM(BP11+BP20)</f>
        <v>0</v>
      </c>
      <c r="BQ32" s="142">
        <f t="shared" si="79"/>
        <v>0</v>
      </c>
      <c r="BR32" s="142">
        <f t="shared" si="79"/>
        <v>0</v>
      </c>
      <c r="BS32" s="142">
        <f t="shared" si="79"/>
        <v>0</v>
      </c>
      <c r="BT32" s="638">
        <f t="shared" si="32"/>
        <v>77514</v>
      </c>
      <c r="BU32" s="142">
        <f t="shared" si="33"/>
        <v>74011</v>
      </c>
      <c r="BV32" s="142">
        <f t="shared" si="34"/>
        <v>74385</v>
      </c>
      <c r="BW32" s="142">
        <f t="shared" si="35"/>
        <v>0</v>
      </c>
      <c r="BX32" s="142">
        <f t="shared" si="36"/>
        <v>0</v>
      </c>
      <c r="BY32" s="142">
        <f t="shared" si="59"/>
        <v>0</v>
      </c>
      <c r="BZ32" s="142">
        <f t="shared" si="59"/>
        <v>0</v>
      </c>
    </row>
    <row r="33" spans="1:78" x14ac:dyDescent="0.2">
      <c r="A33" s="58"/>
      <c r="B33" s="8" t="s">
        <v>26</v>
      </c>
      <c r="C33" s="186">
        <v>5393</v>
      </c>
      <c r="D33" s="11">
        <f>4738+280</f>
        <v>5018</v>
      </c>
      <c r="E33" s="11">
        <f>4738+280-175+245</f>
        <v>5088</v>
      </c>
      <c r="F33" s="11">
        <v>0</v>
      </c>
      <c r="G33" s="11">
        <v>0</v>
      </c>
      <c r="H33" s="11">
        <v>0</v>
      </c>
      <c r="I33" s="11">
        <v>0</v>
      </c>
      <c r="J33" s="11"/>
      <c r="K33" s="11"/>
      <c r="L33" s="11"/>
      <c r="M33" s="11"/>
      <c r="N33" s="11"/>
      <c r="O33" s="11"/>
      <c r="P33" s="186"/>
      <c r="Q33" s="11"/>
      <c r="R33" s="11"/>
      <c r="S33" s="11"/>
      <c r="T33" s="11"/>
      <c r="U33" s="11"/>
      <c r="V33" s="11"/>
      <c r="W33" s="186">
        <v>164</v>
      </c>
      <c r="X33" s="11">
        <v>180</v>
      </c>
      <c r="Y33" s="11">
        <f>180+3</f>
        <v>183</v>
      </c>
      <c r="Z33" s="11">
        <v>0</v>
      </c>
      <c r="AA33" s="11">
        <v>0</v>
      </c>
      <c r="AB33" s="11">
        <v>0</v>
      </c>
      <c r="AC33" s="11">
        <v>0</v>
      </c>
      <c r="AD33" s="186">
        <v>796</v>
      </c>
      <c r="AE33" s="11">
        <v>746</v>
      </c>
      <c r="AF33" s="11">
        <f>746-3</f>
        <v>743</v>
      </c>
      <c r="AG33" s="11">
        <v>0</v>
      </c>
      <c r="AH33" s="11">
        <v>0</v>
      </c>
      <c r="AI33" s="11">
        <v>0</v>
      </c>
      <c r="AJ33" s="11">
        <v>0</v>
      </c>
      <c r="AK33" s="186">
        <v>347</v>
      </c>
      <c r="AL33" s="11">
        <v>431</v>
      </c>
      <c r="AM33" s="11">
        <v>431</v>
      </c>
      <c r="AN33" s="11">
        <v>0</v>
      </c>
      <c r="AO33" s="11">
        <v>0</v>
      </c>
      <c r="AP33" s="11">
        <v>0</v>
      </c>
      <c r="AQ33" s="11">
        <v>0</v>
      </c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86">
        <v>562</v>
      </c>
      <c r="BG33" s="11">
        <f>676+280</f>
        <v>956</v>
      </c>
      <c r="BH33" s="11">
        <f>676+280</f>
        <v>956</v>
      </c>
      <c r="BI33" s="11">
        <v>0</v>
      </c>
      <c r="BJ33" s="11">
        <v>0</v>
      </c>
      <c r="BK33" s="11">
        <v>0</v>
      </c>
      <c r="BL33" s="11">
        <v>0</v>
      </c>
      <c r="BM33" s="186">
        <v>819</v>
      </c>
      <c r="BN33" s="11">
        <v>797</v>
      </c>
      <c r="BO33" s="11">
        <v>797</v>
      </c>
      <c r="BP33" s="11">
        <v>0</v>
      </c>
      <c r="BQ33" s="11">
        <v>0</v>
      </c>
      <c r="BR33" s="11">
        <v>0</v>
      </c>
      <c r="BS33" s="11">
        <v>0</v>
      </c>
      <c r="BT33" s="645">
        <f t="shared" si="32"/>
        <v>8081</v>
      </c>
      <c r="BU33" s="268">
        <f t="shared" si="33"/>
        <v>8128</v>
      </c>
      <c r="BV33" s="268">
        <f t="shared" si="34"/>
        <v>8198</v>
      </c>
      <c r="BW33" s="268">
        <f t="shared" si="35"/>
        <v>0</v>
      </c>
      <c r="BX33" s="268">
        <f t="shared" si="36"/>
        <v>0</v>
      </c>
      <c r="BY33" s="268">
        <f t="shared" si="59"/>
        <v>0</v>
      </c>
      <c r="BZ33" s="268">
        <f t="shared" si="59"/>
        <v>0</v>
      </c>
    </row>
    <row r="34" spans="1:78" ht="12.75" hidden="1" customHeight="1" x14ac:dyDescent="0.2">
      <c r="A34" s="58"/>
      <c r="B34" s="8" t="s">
        <v>353</v>
      </c>
      <c r="C34" s="186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86"/>
      <c r="Q34" s="11"/>
      <c r="R34" s="11"/>
      <c r="S34" s="11"/>
      <c r="T34" s="11"/>
      <c r="U34" s="11"/>
      <c r="V34" s="11"/>
      <c r="W34" s="186"/>
      <c r="X34" s="11"/>
      <c r="Y34" s="11"/>
      <c r="Z34" s="11"/>
      <c r="AA34" s="11"/>
      <c r="AB34" s="11"/>
      <c r="AC34" s="11"/>
      <c r="AD34" s="186"/>
      <c r="AE34" s="11"/>
      <c r="AF34" s="11"/>
      <c r="AG34" s="11"/>
      <c r="AH34" s="11"/>
      <c r="AI34" s="11"/>
      <c r="AJ34" s="11"/>
      <c r="AK34" s="186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86"/>
      <c r="BG34" s="11"/>
      <c r="BH34" s="11"/>
      <c r="BI34" s="11"/>
      <c r="BJ34" s="11"/>
      <c r="BK34" s="11"/>
      <c r="BL34" s="11"/>
      <c r="BM34" s="186"/>
      <c r="BN34" s="11"/>
      <c r="BO34" s="11"/>
      <c r="BP34" s="11"/>
      <c r="BQ34" s="11"/>
      <c r="BR34" s="11"/>
      <c r="BS34" s="11"/>
      <c r="BT34" s="645" t="e">
        <f>C34+J34+P34+W34+AD34+AK34+AR34+AY34+BF34+BM34+#REF!</f>
        <v>#REF!</v>
      </c>
      <c r="BU34" s="268" t="e">
        <f>D34+K34+Q34+X34+AE34+AL34+AS34+AZ34+BG34+BN34+#REF!</f>
        <v>#REF!</v>
      </c>
      <c r="BV34" s="268" t="e">
        <f>E34+K34+R34+Y34+AF34+AM34+AT34+BA34+BH34+BO34+#REF!</f>
        <v>#REF!</v>
      </c>
      <c r="BW34" s="268" t="e">
        <f>F34+L34+S34+Z34+AG34+AN34+AU34+BB34+BI34+BP34+#REF!</f>
        <v>#REF!</v>
      </c>
      <c r="BX34" s="268" t="e">
        <f>G34+M34+T34+AA34+AH34+AO34+AV34+BC34+BJ34+BQ34+#REF!</f>
        <v>#REF!</v>
      </c>
      <c r="BY34" s="268" t="e">
        <f>H34+N34+U34+AB34+AI34+AP34+AW34+BD34+BK34+BR34+#REF!</f>
        <v>#REF!</v>
      </c>
      <c r="BZ34" s="268" t="e">
        <f>I34+O34+V34+AC34+AJ34+AQ34+AX34+BE34+BL34+BS34+#REF!</f>
        <v>#REF!</v>
      </c>
    </row>
    <row r="35" spans="1:78" x14ac:dyDescent="0.2">
      <c r="A35" s="58"/>
      <c r="B35" s="8" t="s">
        <v>106</v>
      </c>
      <c r="C35" s="186">
        <v>528</v>
      </c>
      <c r="D35" s="11">
        <v>613</v>
      </c>
      <c r="E35" s="11">
        <f>613-156</f>
        <v>457</v>
      </c>
      <c r="F35" s="11">
        <v>0</v>
      </c>
      <c r="G35" s="11">
        <v>0</v>
      </c>
      <c r="H35" s="11">
        <v>0</v>
      </c>
      <c r="I35" s="11">
        <v>0</v>
      </c>
      <c r="J35" s="11"/>
      <c r="K35" s="11"/>
      <c r="L35" s="11"/>
      <c r="M35" s="11"/>
      <c r="N35" s="11"/>
      <c r="O35" s="11"/>
      <c r="P35" s="186"/>
      <c r="Q35" s="11"/>
      <c r="R35" s="11"/>
      <c r="S35" s="11"/>
      <c r="T35" s="11"/>
      <c r="U35" s="11"/>
      <c r="V35" s="11"/>
      <c r="W35" s="186"/>
      <c r="X35" s="11"/>
      <c r="Y35" s="11"/>
      <c r="Z35" s="11"/>
      <c r="AA35" s="11"/>
      <c r="AB35" s="11"/>
      <c r="AC35" s="11"/>
      <c r="AD35" s="186">
        <v>32</v>
      </c>
      <c r="AE35" s="11">
        <v>29</v>
      </c>
      <c r="AF35" s="11">
        <f>29-2</f>
        <v>27</v>
      </c>
      <c r="AG35" s="11">
        <v>0</v>
      </c>
      <c r="AH35" s="11">
        <v>0</v>
      </c>
      <c r="AI35" s="11">
        <v>0</v>
      </c>
      <c r="AJ35" s="11">
        <v>0</v>
      </c>
      <c r="AK35" s="186">
        <v>11</v>
      </c>
      <c r="AL35" s="11">
        <v>11</v>
      </c>
      <c r="AM35" s="11">
        <v>11</v>
      </c>
      <c r="AN35" s="11">
        <v>0</v>
      </c>
      <c r="AO35" s="11">
        <v>0</v>
      </c>
      <c r="AP35" s="11">
        <v>0</v>
      </c>
      <c r="AQ35" s="11">
        <v>0</v>
      </c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86">
        <v>19</v>
      </c>
      <c r="BG35" s="11">
        <v>15</v>
      </c>
      <c r="BH35" s="11">
        <f>15+156</f>
        <v>171</v>
      </c>
      <c r="BI35" s="11">
        <v>0</v>
      </c>
      <c r="BJ35" s="11">
        <v>0</v>
      </c>
      <c r="BK35" s="11">
        <v>0</v>
      </c>
      <c r="BL35" s="11">
        <v>0</v>
      </c>
      <c r="BM35" s="186">
        <v>17</v>
      </c>
      <c r="BN35" s="11">
        <v>15</v>
      </c>
      <c r="BO35" s="11">
        <f>15+2</f>
        <v>17</v>
      </c>
      <c r="BP35" s="11">
        <v>0</v>
      </c>
      <c r="BQ35" s="11">
        <v>0</v>
      </c>
      <c r="BR35" s="11">
        <v>0</v>
      </c>
      <c r="BS35" s="11">
        <v>0</v>
      </c>
      <c r="BT35" s="645">
        <f t="shared" ref="BT35:BT68" si="80">C35+J35+P35+W35+AD35+AK35+AR35+AY35+BF35+BM35</f>
        <v>607</v>
      </c>
      <c r="BU35" s="268">
        <f t="shared" ref="BU35:BU66" si="81">D35+K35+Q35+X35+AE35+AL35+AS35+AZ35+BG35+BN35</f>
        <v>683</v>
      </c>
      <c r="BV35" s="268">
        <f t="shared" ref="BV35:BV66" si="82">E35+K35+R35+Y35+AF35+AM35+AT35+BA35+BH35+BO35</f>
        <v>683</v>
      </c>
      <c r="BW35" s="268">
        <f t="shared" ref="BW35:BW66" si="83">F35+L35+S35+Z35+AG35+AN35+AU35+BB35+BI35+BP35</f>
        <v>0</v>
      </c>
      <c r="BX35" s="268">
        <f t="shared" ref="BX35:BX66" si="84">G35+M35+T35+AA35+AH35+AO35+AV35+BC35+BJ35+BQ35</f>
        <v>0</v>
      </c>
      <c r="BY35" s="268">
        <f t="shared" ref="BY35:BZ50" si="85">H35+N35+U35+AB35+AI35+AP35+AW35+BD35+BK35+BR35</f>
        <v>0</v>
      </c>
      <c r="BZ35" s="268">
        <f t="shared" si="85"/>
        <v>0</v>
      </c>
    </row>
    <row r="36" spans="1:78" x14ac:dyDescent="0.2">
      <c r="A36" s="259" t="s">
        <v>206</v>
      </c>
      <c r="B36" s="109" t="s">
        <v>93</v>
      </c>
      <c r="C36" s="638">
        <f t="shared" ref="C36" si="86">SUM(C33:C35)</f>
        <v>5921</v>
      </c>
      <c r="D36" s="142">
        <f t="shared" ref="D36:E36" si="87">SUM(D33:D35)</f>
        <v>5631</v>
      </c>
      <c r="E36" s="142">
        <f t="shared" si="87"/>
        <v>5545</v>
      </c>
      <c r="F36" s="142">
        <f t="shared" ref="F36:I36" si="88">SUM(F33:F35)</f>
        <v>0</v>
      </c>
      <c r="G36" s="142">
        <f t="shared" si="88"/>
        <v>0</v>
      </c>
      <c r="H36" s="142">
        <f t="shared" si="88"/>
        <v>0</v>
      </c>
      <c r="I36" s="142">
        <f t="shared" si="88"/>
        <v>0</v>
      </c>
      <c r="J36" s="142">
        <f t="shared" ref="J36" si="89">SUM(J33:J35)</f>
        <v>0</v>
      </c>
      <c r="K36" s="142">
        <f t="shared" ref="K36:O36" si="90">SUM(K33:K35)</f>
        <v>0</v>
      </c>
      <c r="L36" s="142">
        <f t="shared" si="90"/>
        <v>0</v>
      </c>
      <c r="M36" s="142">
        <f t="shared" si="90"/>
        <v>0</v>
      </c>
      <c r="N36" s="142"/>
      <c r="O36" s="142">
        <f t="shared" si="90"/>
        <v>0</v>
      </c>
      <c r="P36" s="638">
        <f t="shared" ref="P36:W36" si="91">SUM(P33:P35)</f>
        <v>0</v>
      </c>
      <c r="Q36" s="142">
        <f t="shared" ref="Q36" si="92">SUM(Q33:Q35)</f>
        <v>0</v>
      </c>
      <c r="R36" s="142">
        <f t="shared" ref="R36:S36" si="93">SUM(R33:R35)</f>
        <v>0</v>
      </c>
      <c r="S36" s="142">
        <f t="shared" si="93"/>
        <v>0</v>
      </c>
      <c r="T36" s="142">
        <f t="shared" ref="T36" si="94">SUM(T33:T35)</f>
        <v>0</v>
      </c>
      <c r="U36" s="142">
        <f t="shared" ref="U36:V36" si="95">SUM(U33:U35)</f>
        <v>0</v>
      </c>
      <c r="V36" s="142">
        <f t="shared" si="95"/>
        <v>0</v>
      </c>
      <c r="W36" s="638">
        <f t="shared" si="91"/>
        <v>164</v>
      </c>
      <c r="X36" s="142">
        <f t="shared" ref="X36:Y36" si="96">SUM(X33:X35)</f>
        <v>180</v>
      </c>
      <c r="Y36" s="142">
        <f t="shared" si="96"/>
        <v>183</v>
      </c>
      <c r="Z36" s="142">
        <f t="shared" ref="Z36:AC36" si="97">SUM(Z33:Z35)</f>
        <v>0</v>
      </c>
      <c r="AA36" s="142">
        <f t="shared" si="97"/>
        <v>0</v>
      </c>
      <c r="AB36" s="142">
        <f t="shared" si="97"/>
        <v>0</v>
      </c>
      <c r="AC36" s="142">
        <f t="shared" si="97"/>
        <v>0</v>
      </c>
      <c r="AD36" s="638">
        <f t="shared" ref="AD36:AE36" si="98">SUM(AD33:AD35)</f>
        <v>828</v>
      </c>
      <c r="AE36" s="142">
        <f t="shared" si="98"/>
        <v>775</v>
      </c>
      <c r="AF36" s="142">
        <f t="shared" ref="AF36" si="99">SUM(AF33:AF35)</f>
        <v>770</v>
      </c>
      <c r="AG36" s="142">
        <f t="shared" ref="AG36:AJ36" si="100">SUM(AG33:AG35)</f>
        <v>0</v>
      </c>
      <c r="AH36" s="142">
        <f t="shared" si="100"/>
        <v>0</v>
      </c>
      <c r="AI36" s="142">
        <f t="shared" si="100"/>
        <v>0</v>
      </c>
      <c r="AJ36" s="142">
        <f t="shared" si="100"/>
        <v>0</v>
      </c>
      <c r="AK36" s="638">
        <f t="shared" ref="AK36" si="101">SUM(AK33:AK35)</f>
        <v>358</v>
      </c>
      <c r="AL36" s="142">
        <f t="shared" ref="AL36:AM36" si="102">SUM(AL33:AL35)</f>
        <v>442</v>
      </c>
      <c r="AM36" s="142">
        <f t="shared" si="102"/>
        <v>442</v>
      </c>
      <c r="AN36" s="142">
        <f t="shared" ref="AN36:AQ36" si="103">SUM(AN33:AN35)</f>
        <v>0</v>
      </c>
      <c r="AO36" s="142">
        <f t="shared" si="103"/>
        <v>0</v>
      </c>
      <c r="AP36" s="142">
        <f t="shared" si="103"/>
        <v>0</v>
      </c>
      <c r="AQ36" s="142">
        <f t="shared" si="103"/>
        <v>0</v>
      </c>
      <c r="AR36" s="142">
        <f t="shared" ref="AR36:BF36" si="104">SUM(AR33:AR35)</f>
        <v>0</v>
      </c>
      <c r="AS36" s="142"/>
      <c r="AT36" s="142">
        <f t="shared" si="104"/>
        <v>0</v>
      </c>
      <c r="AU36" s="142">
        <f>SUM(AU33:AU35)</f>
        <v>0</v>
      </c>
      <c r="AV36" s="142">
        <f t="shared" si="104"/>
        <v>0</v>
      </c>
      <c r="AW36" s="142"/>
      <c r="AX36" s="142">
        <f t="shared" si="104"/>
        <v>0</v>
      </c>
      <c r="AY36" s="142">
        <f t="shared" si="104"/>
        <v>0</v>
      </c>
      <c r="AZ36" s="142"/>
      <c r="BA36" s="142">
        <f>SUM(BA33:BA35)</f>
        <v>0</v>
      </c>
      <c r="BB36" s="142">
        <f>SUM(BB33:BB35)</f>
        <v>0</v>
      </c>
      <c r="BC36" s="142">
        <f>SUM(BC33:BC35)</f>
        <v>0</v>
      </c>
      <c r="BD36" s="142"/>
      <c r="BE36" s="142">
        <f t="shared" si="104"/>
        <v>0</v>
      </c>
      <c r="BF36" s="638">
        <f t="shared" si="104"/>
        <v>581</v>
      </c>
      <c r="BG36" s="142">
        <f t="shared" ref="BG36:BH36" si="105">SUM(BG33:BG35)</f>
        <v>971</v>
      </c>
      <c r="BH36" s="142">
        <f t="shared" si="105"/>
        <v>1127</v>
      </c>
      <c r="BI36" s="142">
        <f t="shared" ref="BI36:BJ36" si="106">SUM(BI33:BI35)</f>
        <v>0</v>
      </c>
      <c r="BJ36" s="142">
        <f t="shared" si="106"/>
        <v>0</v>
      </c>
      <c r="BK36" s="142">
        <f t="shared" ref="BK36:BL36" si="107">SUM(BK33:BK35)</f>
        <v>0</v>
      </c>
      <c r="BL36" s="142">
        <f t="shared" si="107"/>
        <v>0</v>
      </c>
      <c r="BM36" s="638">
        <f t="shared" ref="BM36:BQ36" si="108">SUM(BM33:BM35)</f>
        <v>836</v>
      </c>
      <c r="BN36" s="142">
        <f t="shared" ref="BN36:BO36" si="109">SUM(BN33:BN35)</f>
        <v>812</v>
      </c>
      <c r="BO36" s="142">
        <f t="shared" si="109"/>
        <v>814</v>
      </c>
      <c r="BP36" s="142">
        <f t="shared" si="108"/>
        <v>0</v>
      </c>
      <c r="BQ36" s="142">
        <f t="shared" si="108"/>
        <v>0</v>
      </c>
      <c r="BR36" s="142">
        <f t="shared" ref="BR36:BS36" si="110">SUM(BR33:BR35)</f>
        <v>0</v>
      </c>
      <c r="BS36" s="142">
        <f t="shared" si="110"/>
        <v>0</v>
      </c>
      <c r="BT36" s="638">
        <f t="shared" si="80"/>
        <v>8688</v>
      </c>
      <c r="BU36" s="142">
        <f t="shared" si="81"/>
        <v>8811</v>
      </c>
      <c r="BV36" s="142">
        <f t="shared" si="82"/>
        <v>8881</v>
      </c>
      <c r="BW36" s="142">
        <f t="shared" si="83"/>
        <v>0</v>
      </c>
      <c r="BX36" s="142">
        <f t="shared" si="84"/>
        <v>0</v>
      </c>
      <c r="BY36" s="142">
        <f t="shared" si="85"/>
        <v>0</v>
      </c>
      <c r="BZ36" s="142">
        <f t="shared" si="85"/>
        <v>0</v>
      </c>
    </row>
    <row r="37" spans="1:78" x14ac:dyDescent="0.2">
      <c r="A37" s="259" t="s">
        <v>246</v>
      </c>
      <c r="B37" s="14" t="s">
        <v>252</v>
      </c>
      <c r="C37" s="542">
        <f t="shared" ref="C37" si="111">SUM(C38:C45)</f>
        <v>812</v>
      </c>
      <c r="D37" s="6">
        <f t="shared" ref="D37:E37" si="112">SUM(D38:D45)</f>
        <v>1060</v>
      </c>
      <c r="E37" s="6">
        <f t="shared" si="112"/>
        <v>951</v>
      </c>
      <c r="F37" s="6">
        <f t="shared" ref="F37:I37" si="113">SUM(F38:F45)</f>
        <v>0</v>
      </c>
      <c r="G37" s="6">
        <f t="shared" si="113"/>
        <v>0</v>
      </c>
      <c r="H37" s="6">
        <f t="shared" si="113"/>
        <v>0</v>
      </c>
      <c r="I37" s="6">
        <f t="shared" si="113"/>
        <v>0</v>
      </c>
      <c r="J37" s="6">
        <f t="shared" ref="J37" si="114">SUM(J38:J45)</f>
        <v>0</v>
      </c>
      <c r="K37" s="6">
        <f t="shared" ref="K37:O37" si="115">SUM(K38:K45)</f>
        <v>0</v>
      </c>
      <c r="L37" s="6">
        <f t="shared" si="115"/>
        <v>0</v>
      </c>
      <c r="M37" s="6">
        <f t="shared" si="115"/>
        <v>0</v>
      </c>
      <c r="N37" s="6"/>
      <c r="O37" s="6">
        <f t="shared" si="115"/>
        <v>0</v>
      </c>
      <c r="P37" s="542">
        <f t="shared" ref="P37:Q37" si="116">SUM(P38:P45)</f>
        <v>0</v>
      </c>
      <c r="Q37" s="6">
        <f t="shared" si="116"/>
        <v>0</v>
      </c>
      <c r="R37" s="6">
        <f t="shared" ref="R37:S37" si="117">SUM(R38:R45)</f>
        <v>0</v>
      </c>
      <c r="S37" s="6">
        <f t="shared" si="117"/>
        <v>0</v>
      </c>
      <c r="T37" s="6">
        <f t="shared" ref="T37" si="118">SUM(T38:T45)</f>
        <v>0</v>
      </c>
      <c r="U37" s="6">
        <f t="shared" ref="U37:V37" si="119">SUM(U38:U45)</f>
        <v>0</v>
      </c>
      <c r="V37" s="6">
        <f t="shared" si="119"/>
        <v>0</v>
      </c>
      <c r="W37" s="542">
        <f t="shared" ref="W37" si="120">SUM(W38:W45)</f>
        <v>1756</v>
      </c>
      <c r="X37" s="6">
        <f t="shared" ref="X37:Y37" si="121">SUM(X38:X45)</f>
        <v>2300</v>
      </c>
      <c r="Y37" s="6">
        <f t="shared" si="121"/>
        <v>2300</v>
      </c>
      <c r="Z37" s="6">
        <f t="shared" ref="Z37:AC37" si="122">SUM(Z38:Z45)</f>
        <v>0</v>
      </c>
      <c r="AA37" s="6">
        <f t="shared" si="122"/>
        <v>0</v>
      </c>
      <c r="AB37" s="6">
        <f t="shared" si="122"/>
        <v>0</v>
      </c>
      <c r="AC37" s="6">
        <f t="shared" si="122"/>
        <v>0</v>
      </c>
      <c r="AD37" s="542">
        <f t="shared" ref="AD37:AE37" si="123">SUM(AD38:AD45)</f>
        <v>269</v>
      </c>
      <c r="AE37" s="6">
        <f t="shared" si="123"/>
        <v>400</v>
      </c>
      <c r="AF37" s="6">
        <f t="shared" ref="AF37" si="124">SUM(AF38:AF45)</f>
        <v>400</v>
      </c>
      <c r="AG37" s="6">
        <f t="shared" ref="AG37:AJ37" si="125">SUM(AG38:AG45)</f>
        <v>0</v>
      </c>
      <c r="AH37" s="6">
        <f t="shared" si="125"/>
        <v>0</v>
      </c>
      <c r="AI37" s="6">
        <f t="shared" si="125"/>
        <v>0</v>
      </c>
      <c r="AJ37" s="6">
        <f t="shared" si="125"/>
        <v>0</v>
      </c>
      <c r="AK37" s="542">
        <f t="shared" ref="AK37" si="126">SUM(AK38:AK45)</f>
        <v>2125</v>
      </c>
      <c r="AL37" s="6">
        <f t="shared" ref="AL37:AM37" si="127">SUM(AL38:AL45)</f>
        <v>70</v>
      </c>
      <c r="AM37" s="6">
        <f t="shared" si="127"/>
        <v>3106</v>
      </c>
      <c r="AN37" s="6">
        <f t="shared" ref="AN37:AQ37" si="128">SUM(AN38:AN45)</f>
        <v>0</v>
      </c>
      <c r="AO37" s="6">
        <f t="shared" si="128"/>
        <v>0</v>
      </c>
      <c r="AP37" s="6">
        <f t="shared" si="128"/>
        <v>0</v>
      </c>
      <c r="AQ37" s="6">
        <f t="shared" si="128"/>
        <v>0</v>
      </c>
      <c r="AR37" s="6">
        <f t="shared" ref="AR37:BF37" si="129">SUM(AR38:AR45)</f>
        <v>0</v>
      </c>
      <c r="AS37" s="6"/>
      <c r="AT37" s="6">
        <f t="shared" si="129"/>
        <v>0</v>
      </c>
      <c r="AU37" s="6">
        <f>SUM(AU38:AU45)</f>
        <v>0</v>
      </c>
      <c r="AV37" s="6">
        <f t="shared" si="129"/>
        <v>0</v>
      </c>
      <c r="AW37" s="6"/>
      <c r="AX37" s="6">
        <f t="shared" si="129"/>
        <v>0</v>
      </c>
      <c r="AY37" s="6">
        <f t="shared" si="129"/>
        <v>0</v>
      </c>
      <c r="AZ37" s="6"/>
      <c r="BA37" s="6">
        <f>SUM(BA38:BA45)</f>
        <v>0</v>
      </c>
      <c r="BB37" s="6">
        <f>SUM(BB38:BB45)</f>
        <v>0</v>
      </c>
      <c r="BC37" s="6">
        <f>SUM(BC38:BC45)</f>
        <v>0</v>
      </c>
      <c r="BD37" s="6"/>
      <c r="BE37" s="6">
        <f t="shared" si="129"/>
        <v>0</v>
      </c>
      <c r="BF37" s="542">
        <f t="shared" si="129"/>
        <v>486</v>
      </c>
      <c r="BG37" s="6">
        <f t="shared" ref="BG37:BH37" si="130">SUM(BG38:BG45)</f>
        <v>650</v>
      </c>
      <c r="BH37" s="6">
        <f t="shared" si="130"/>
        <v>650</v>
      </c>
      <c r="BI37" s="6">
        <f t="shared" ref="BI37:BJ37" si="131">SUM(BI38:BI45)</f>
        <v>0</v>
      </c>
      <c r="BJ37" s="6">
        <f t="shared" si="131"/>
        <v>0</v>
      </c>
      <c r="BK37" s="6">
        <f t="shared" ref="BK37:BL37" si="132">SUM(BK38:BK45)</f>
        <v>0</v>
      </c>
      <c r="BL37" s="6">
        <f t="shared" si="132"/>
        <v>0</v>
      </c>
      <c r="BM37" s="542">
        <f t="shared" ref="BM37:BQ37" si="133">SUM(BM38:BM45)</f>
        <v>417</v>
      </c>
      <c r="BN37" s="6">
        <f t="shared" ref="BN37:BO37" si="134">SUM(BN38:BN45)</f>
        <v>1150</v>
      </c>
      <c r="BO37" s="6">
        <f t="shared" si="134"/>
        <v>1264</v>
      </c>
      <c r="BP37" s="6">
        <f t="shared" si="133"/>
        <v>0</v>
      </c>
      <c r="BQ37" s="6">
        <f t="shared" si="133"/>
        <v>0</v>
      </c>
      <c r="BR37" s="6">
        <f t="shared" ref="BR37:BS37" si="135">SUM(BR38:BR45)</f>
        <v>0</v>
      </c>
      <c r="BS37" s="6">
        <f t="shared" si="135"/>
        <v>0</v>
      </c>
      <c r="BT37" s="644">
        <f t="shared" si="80"/>
        <v>5865</v>
      </c>
      <c r="BU37" s="269">
        <f t="shared" si="81"/>
        <v>5630</v>
      </c>
      <c r="BV37" s="269">
        <f t="shared" si="82"/>
        <v>8671</v>
      </c>
      <c r="BW37" s="269">
        <f t="shared" si="83"/>
        <v>0</v>
      </c>
      <c r="BX37" s="269">
        <f t="shared" si="84"/>
        <v>0</v>
      </c>
      <c r="BY37" s="269">
        <f t="shared" si="85"/>
        <v>0</v>
      </c>
      <c r="BZ37" s="269">
        <f t="shared" si="85"/>
        <v>0</v>
      </c>
    </row>
    <row r="38" spans="1:78" x14ac:dyDescent="0.2">
      <c r="A38" s="58" t="s">
        <v>586</v>
      </c>
      <c r="B38" s="8" t="s">
        <v>289</v>
      </c>
      <c r="C38" s="186">
        <v>112</v>
      </c>
      <c r="D38" s="11">
        <v>200</v>
      </c>
      <c r="E38" s="11">
        <f>200-109</f>
        <v>91</v>
      </c>
      <c r="F38" s="11">
        <v>0</v>
      </c>
      <c r="G38" s="11">
        <v>0</v>
      </c>
      <c r="H38" s="11">
        <v>0</v>
      </c>
      <c r="I38" s="11">
        <v>0</v>
      </c>
      <c r="J38" s="11"/>
      <c r="K38" s="11"/>
      <c r="L38" s="11"/>
      <c r="M38" s="11"/>
      <c r="N38" s="11"/>
      <c r="O38" s="11"/>
      <c r="P38" s="186"/>
      <c r="Q38" s="11"/>
      <c r="R38" s="11"/>
      <c r="S38" s="11"/>
      <c r="T38" s="11"/>
      <c r="U38" s="11"/>
      <c r="V38" s="11"/>
      <c r="W38" s="186"/>
      <c r="X38" s="11"/>
      <c r="Y38" s="11"/>
      <c r="Z38" s="11"/>
      <c r="AA38" s="11"/>
      <c r="AB38" s="11"/>
      <c r="AC38" s="11"/>
      <c r="AD38" s="186"/>
      <c r="AE38" s="11"/>
      <c r="AF38" s="11"/>
      <c r="AG38" s="11"/>
      <c r="AH38" s="11"/>
      <c r="AI38" s="11"/>
      <c r="AJ38" s="11"/>
      <c r="AK38" s="186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86"/>
      <c r="BG38" s="11"/>
      <c r="BH38" s="11"/>
      <c r="BI38" s="11"/>
      <c r="BJ38" s="11"/>
      <c r="BK38" s="11"/>
      <c r="BL38" s="11"/>
      <c r="BM38" s="186">
        <v>268</v>
      </c>
      <c r="BN38" s="11">
        <v>800</v>
      </c>
      <c r="BO38" s="11">
        <f>800+109+5</f>
        <v>914</v>
      </c>
      <c r="BP38" s="11">
        <v>0</v>
      </c>
      <c r="BQ38" s="11">
        <v>0</v>
      </c>
      <c r="BR38" s="11">
        <v>0</v>
      </c>
      <c r="BS38" s="11">
        <v>0</v>
      </c>
      <c r="BT38" s="645">
        <f t="shared" si="80"/>
        <v>380</v>
      </c>
      <c r="BU38" s="268">
        <f t="shared" si="81"/>
        <v>1000</v>
      </c>
      <c r="BV38" s="268">
        <f t="shared" si="82"/>
        <v>1005</v>
      </c>
      <c r="BW38" s="268">
        <f t="shared" si="83"/>
        <v>0</v>
      </c>
      <c r="BX38" s="268">
        <f t="shared" si="84"/>
        <v>0</v>
      </c>
      <c r="BY38" s="268">
        <f t="shared" si="85"/>
        <v>0</v>
      </c>
      <c r="BZ38" s="268">
        <f t="shared" si="85"/>
        <v>0</v>
      </c>
    </row>
    <row r="39" spans="1:78" x14ac:dyDescent="0.2">
      <c r="A39" s="58" t="s">
        <v>506</v>
      </c>
      <c r="B39" s="8" t="s">
        <v>1066</v>
      </c>
      <c r="C39" s="186">
        <v>696</v>
      </c>
      <c r="D39" s="11">
        <f>710+90</f>
        <v>800</v>
      </c>
      <c r="E39" s="11">
        <f>710+90</f>
        <v>800</v>
      </c>
      <c r="F39" s="11">
        <v>0</v>
      </c>
      <c r="G39" s="11">
        <v>0</v>
      </c>
      <c r="H39" s="11">
        <v>0</v>
      </c>
      <c r="I39" s="11">
        <v>0</v>
      </c>
      <c r="J39" s="11"/>
      <c r="K39" s="11"/>
      <c r="L39" s="11"/>
      <c r="M39" s="11"/>
      <c r="N39" s="11"/>
      <c r="O39" s="11"/>
      <c r="P39" s="186"/>
      <c r="Q39" s="11"/>
      <c r="R39" s="11"/>
      <c r="S39" s="11"/>
      <c r="T39" s="11"/>
      <c r="U39" s="11"/>
      <c r="V39" s="11"/>
      <c r="W39" s="186">
        <v>189</v>
      </c>
      <c r="X39" s="11">
        <v>300</v>
      </c>
      <c r="Y39" s="11">
        <v>300</v>
      </c>
      <c r="Z39" s="11">
        <v>0</v>
      </c>
      <c r="AA39" s="11">
        <v>0</v>
      </c>
      <c r="AB39" s="11">
        <v>0</v>
      </c>
      <c r="AC39" s="11">
        <v>0</v>
      </c>
      <c r="AD39" s="186">
        <v>269</v>
      </c>
      <c r="AE39" s="11">
        <v>400</v>
      </c>
      <c r="AF39" s="11">
        <v>400</v>
      </c>
      <c r="AG39" s="11">
        <v>0</v>
      </c>
      <c r="AH39" s="11">
        <v>0</v>
      </c>
      <c r="AI39" s="11">
        <v>0</v>
      </c>
      <c r="AJ39" s="11">
        <v>0</v>
      </c>
      <c r="AK39" s="186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86">
        <v>51</v>
      </c>
      <c r="BG39" s="11">
        <v>150</v>
      </c>
      <c r="BH39" s="11">
        <v>150</v>
      </c>
      <c r="BI39" s="11">
        <v>0</v>
      </c>
      <c r="BJ39" s="11">
        <v>0</v>
      </c>
      <c r="BK39" s="11">
        <v>0</v>
      </c>
      <c r="BL39" s="11">
        <v>0</v>
      </c>
      <c r="BM39" s="186">
        <v>149</v>
      </c>
      <c r="BN39" s="11">
        <v>250</v>
      </c>
      <c r="BO39" s="11">
        <f>250-10</f>
        <v>240</v>
      </c>
      <c r="BP39" s="11">
        <v>0</v>
      </c>
      <c r="BQ39" s="11">
        <v>0</v>
      </c>
      <c r="BR39" s="11">
        <v>0</v>
      </c>
      <c r="BS39" s="11">
        <v>0</v>
      </c>
      <c r="BT39" s="645">
        <f t="shared" si="80"/>
        <v>1354</v>
      </c>
      <c r="BU39" s="268">
        <f t="shared" si="81"/>
        <v>1900</v>
      </c>
      <c r="BV39" s="268">
        <f t="shared" si="82"/>
        <v>1890</v>
      </c>
      <c r="BW39" s="268">
        <f t="shared" si="83"/>
        <v>0</v>
      </c>
      <c r="BX39" s="268">
        <f t="shared" si="84"/>
        <v>0</v>
      </c>
      <c r="BY39" s="268">
        <f t="shared" si="85"/>
        <v>0</v>
      </c>
      <c r="BZ39" s="268">
        <f t="shared" si="85"/>
        <v>0</v>
      </c>
    </row>
    <row r="40" spans="1:78" x14ac:dyDescent="0.2">
      <c r="A40" s="58"/>
      <c r="B40" s="8" t="s">
        <v>294</v>
      </c>
      <c r="C40" s="186">
        <v>4</v>
      </c>
      <c r="D40" s="11">
        <v>60</v>
      </c>
      <c r="E40" s="11">
        <v>60</v>
      </c>
      <c r="F40" s="11">
        <v>0</v>
      </c>
      <c r="G40" s="11">
        <v>0</v>
      </c>
      <c r="H40" s="11">
        <v>0</v>
      </c>
      <c r="I40" s="11">
        <v>0</v>
      </c>
      <c r="J40" s="11"/>
      <c r="K40" s="11"/>
      <c r="L40" s="11"/>
      <c r="M40" s="11"/>
      <c r="N40" s="11"/>
      <c r="O40" s="11"/>
      <c r="P40" s="186"/>
      <c r="Q40" s="11"/>
      <c r="R40" s="11"/>
      <c r="S40" s="11"/>
      <c r="T40" s="11"/>
      <c r="U40" s="11"/>
      <c r="V40" s="11"/>
      <c r="W40" s="186"/>
      <c r="X40" s="11"/>
      <c r="Y40" s="11"/>
      <c r="Z40" s="11"/>
      <c r="AA40" s="11"/>
      <c r="AB40" s="11"/>
      <c r="AC40" s="11"/>
      <c r="AD40" s="186"/>
      <c r="AE40" s="11"/>
      <c r="AF40" s="11"/>
      <c r="AG40" s="11">
        <v>0</v>
      </c>
      <c r="AH40" s="11">
        <v>0</v>
      </c>
      <c r="AI40" s="11">
        <v>0</v>
      </c>
      <c r="AJ40" s="11">
        <v>0</v>
      </c>
      <c r="AK40" s="186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86"/>
      <c r="BG40" s="11"/>
      <c r="BH40" s="11"/>
      <c r="BI40" s="11"/>
      <c r="BJ40" s="11"/>
      <c r="BK40" s="11"/>
      <c r="BL40" s="11"/>
      <c r="BM40" s="186">
        <v>0</v>
      </c>
      <c r="BN40" s="11">
        <v>0</v>
      </c>
      <c r="BO40" s="11">
        <v>10</v>
      </c>
      <c r="BP40" s="11"/>
      <c r="BQ40" s="11"/>
      <c r="BR40" s="11"/>
      <c r="BS40" s="11"/>
      <c r="BT40" s="645">
        <f t="shared" si="80"/>
        <v>4</v>
      </c>
      <c r="BU40" s="268">
        <f t="shared" si="81"/>
        <v>60</v>
      </c>
      <c r="BV40" s="268">
        <f t="shared" si="82"/>
        <v>70</v>
      </c>
      <c r="BW40" s="268">
        <f t="shared" si="83"/>
        <v>0</v>
      </c>
      <c r="BX40" s="268">
        <f t="shared" si="84"/>
        <v>0</v>
      </c>
      <c r="BY40" s="268">
        <f t="shared" si="85"/>
        <v>0</v>
      </c>
      <c r="BZ40" s="268">
        <f t="shared" si="85"/>
        <v>0</v>
      </c>
    </row>
    <row r="41" spans="1:78" x14ac:dyDescent="0.2">
      <c r="A41" s="58"/>
      <c r="B41" s="8" t="s">
        <v>1100</v>
      </c>
      <c r="C41" s="18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86"/>
      <c r="Q41" s="11"/>
      <c r="R41" s="11"/>
      <c r="S41" s="11"/>
      <c r="T41" s="11"/>
      <c r="U41" s="11"/>
      <c r="V41" s="11"/>
      <c r="W41" s="186"/>
      <c r="X41" s="11"/>
      <c r="Y41" s="11"/>
      <c r="Z41" s="11"/>
      <c r="AA41" s="11"/>
      <c r="AB41" s="11"/>
      <c r="AC41" s="11"/>
      <c r="AD41" s="186"/>
      <c r="AE41" s="11"/>
      <c r="AF41" s="11"/>
      <c r="AG41" s="11"/>
      <c r="AH41" s="11"/>
      <c r="AI41" s="11"/>
      <c r="AJ41" s="11"/>
      <c r="AK41" s="186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86"/>
      <c r="BG41" s="11"/>
      <c r="BH41" s="11"/>
      <c r="BI41" s="11"/>
      <c r="BJ41" s="11"/>
      <c r="BK41" s="11"/>
      <c r="BL41" s="11"/>
      <c r="BM41" s="186">
        <v>0</v>
      </c>
      <c r="BN41" s="11">
        <v>100</v>
      </c>
      <c r="BO41" s="11">
        <v>100</v>
      </c>
      <c r="BP41" s="11">
        <v>0</v>
      </c>
      <c r="BQ41" s="11">
        <v>0</v>
      </c>
      <c r="BR41" s="11">
        <v>0</v>
      </c>
      <c r="BS41" s="11">
        <v>0</v>
      </c>
      <c r="BT41" s="645">
        <f t="shared" si="80"/>
        <v>0</v>
      </c>
      <c r="BU41" s="268">
        <f t="shared" si="81"/>
        <v>100</v>
      </c>
      <c r="BV41" s="268">
        <f t="shared" si="82"/>
        <v>100</v>
      </c>
      <c r="BW41" s="268">
        <f t="shared" si="83"/>
        <v>0</v>
      </c>
      <c r="BX41" s="268">
        <f t="shared" si="84"/>
        <v>0</v>
      </c>
      <c r="BY41" s="268">
        <f t="shared" si="85"/>
        <v>0</v>
      </c>
      <c r="BZ41" s="268">
        <f t="shared" si="85"/>
        <v>0</v>
      </c>
    </row>
    <row r="42" spans="1:78" x14ac:dyDescent="0.2">
      <c r="A42" s="58"/>
      <c r="B42" s="8" t="s">
        <v>273</v>
      </c>
      <c r="C42" s="18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86"/>
      <c r="Q42" s="11"/>
      <c r="R42" s="11"/>
      <c r="S42" s="11"/>
      <c r="T42" s="11"/>
      <c r="U42" s="11"/>
      <c r="V42" s="11"/>
      <c r="W42" s="186">
        <v>1567</v>
      </c>
      <c r="X42" s="11">
        <v>2000</v>
      </c>
      <c r="Y42" s="11">
        <v>2000</v>
      </c>
      <c r="Z42" s="11">
        <v>0</v>
      </c>
      <c r="AA42" s="11">
        <v>0</v>
      </c>
      <c r="AB42" s="11">
        <v>0</v>
      </c>
      <c r="AC42" s="11">
        <v>0</v>
      </c>
      <c r="AD42" s="186"/>
      <c r="AE42" s="11"/>
      <c r="AF42" s="11"/>
      <c r="AG42" s="11"/>
      <c r="AH42" s="11"/>
      <c r="AI42" s="11"/>
      <c r="AJ42" s="11"/>
      <c r="AK42" s="186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86"/>
      <c r="BG42" s="11"/>
      <c r="BH42" s="11"/>
      <c r="BI42" s="11"/>
      <c r="BJ42" s="11"/>
      <c r="BK42" s="11"/>
      <c r="BL42" s="11"/>
      <c r="BM42" s="186"/>
      <c r="BN42" s="11"/>
      <c r="BO42" s="11"/>
      <c r="BP42" s="11"/>
      <c r="BQ42" s="11"/>
      <c r="BR42" s="11"/>
      <c r="BS42" s="11"/>
      <c r="BT42" s="645">
        <f t="shared" si="80"/>
        <v>1567</v>
      </c>
      <c r="BU42" s="268">
        <f t="shared" si="81"/>
        <v>2000</v>
      </c>
      <c r="BV42" s="268">
        <f t="shared" si="82"/>
        <v>2000</v>
      </c>
      <c r="BW42" s="268">
        <f t="shared" si="83"/>
        <v>0</v>
      </c>
      <c r="BX42" s="268">
        <f t="shared" si="84"/>
        <v>0</v>
      </c>
      <c r="BY42" s="268">
        <f t="shared" si="85"/>
        <v>0</v>
      </c>
      <c r="BZ42" s="268">
        <f t="shared" si="85"/>
        <v>0</v>
      </c>
    </row>
    <row r="43" spans="1:78" x14ac:dyDescent="0.2">
      <c r="A43" s="58"/>
      <c r="B43" s="8" t="s">
        <v>1067</v>
      </c>
      <c r="C43" s="18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86"/>
      <c r="Q43" s="11"/>
      <c r="R43" s="11"/>
      <c r="S43" s="11"/>
      <c r="T43" s="11"/>
      <c r="U43" s="11"/>
      <c r="V43" s="11"/>
      <c r="W43" s="186"/>
      <c r="X43" s="11"/>
      <c r="Y43" s="11"/>
      <c r="Z43" s="11"/>
      <c r="AA43" s="11"/>
      <c r="AB43" s="11"/>
      <c r="AC43" s="11"/>
      <c r="AD43" s="186"/>
      <c r="AE43" s="11"/>
      <c r="AF43" s="11"/>
      <c r="AG43" s="11"/>
      <c r="AH43" s="11"/>
      <c r="AI43" s="11"/>
      <c r="AJ43" s="11"/>
      <c r="AK43" s="186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86">
        <v>435</v>
      </c>
      <c r="BG43" s="11">
        <v>500</v>
      </c>
      <c r="BH43" s="11">
        <v>500</v>
      </c>
      <c r="BI43" s="11">
        <v>0</v>
      </c>
      <c r="BJ43" s="11">
        <v>0</v>
      </c>
      <c r="BK43" s="11">
        <v>0</v>
      </c>
      <c r="BL43" s="11">
        <v>0</v>
      </c>
      <c r="BM43" s="186"/>
      <c r="BN43" s="11"/>
      <c r="BO43" s="11"/>
      <c r="BP43" s="11"/>
      <c r="BQ43" s="11"/>
      <c r="BR43" s="11"/>
      <c r="BS43" s="11"/>
      <c r="BT43" s="645">
        <f t="shared" si="80"/>
        <v>435</v>
      </c>
      <c r="BU43" s="268">
        <f t="shared" si="81"/>
        <v>500</v>
      </c>
      <c r="BV43" s="268">
        <f t="shared" si="82"/>
        <v>500</v>
      </c>
      <c r="BW43" s="268">
        <f t="shared" si="83"/>
        <v>0</v>
      </c>
      <c r="BX43" s="268">
        <f t="shared" si="84"/>
        <v>0</v>
      </c>
      <c r="BY43" s="268">
        <f t="shared" si="85"/>
        <v>0</v>
      </c>
      <c r="BZ43" s="268">
        <f t="shared" si="85"/>
        <v>0</v>
      </c>
    </row>
    <row r="44" spans="1:78" x14ac:dyDescent="0.2">
      <c r="A44" s="58"/>
      <c r="B44" s="8" t="s">
        <v>281</v>
      </c>
      <c r="C44" s="18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86"/>
      <c r="Q44" s="11"/>
      <c r="R44" s="11"/>
      <c r="S44" s="11"/>
      <c r="T44" s="11"/>
      <c r="U44" s="11"/>
      <c r="V44" s="11"/>
      <c r="W44" s="186"/>
      <c r="X44" s="11"/>
      <c r="Y44" s="11"/>
      <c r="Z44" s="11"/>
      <c r="AA44" s="11"/>
      <c r="AB44" s="11"/>
      <c r="AC44" s="11"/>
      <c r="AD44" s="186"/>
      <c r="AE44" s="11"/>
      <c r="AF44" s="11"/>
      <c r="AG44" s="11">
        <v>0</v>
      </c>
      <c r="AH44" s="11">
        <v>0</v>
      </c>
      <c r="AI44" s="11">
        <v>0</v>
      </c>
      <c r="AJ44" s="11">
        <v>0</v>
      </c>
      <c r="AK44" s="186">
        <v>32</v>
      </c>
      <c r="AL44" s="11">
        <v>70</v>
      </c>
      <c r="AM44" s="11">
        <v>70</v>
      </c>
      <c r="AN44" s="11">
        <v>0</v>
      </c>
      <c r="AO44" s="11">
        <v>0</v>
      </c>
      <c r="AP44" s="11">
        <v>0</v>
      </c>
      <c r="AQ44" s="11">
        <v>0</v>
      </c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86"/>
      <c r="BG44" s="11"/>
      <c r="BH44" s="11"/>
      <c r="BI44" s="11"/>
      <c r="BJ44" s="11"/>
      <c r="BK44" s="11"/>
      <c r="BL44" s="11"/>
      <c r="BM44" s="186"/>
      <c r="BN44" s="11"/>
      <c r="BO44" s="11"/>
      <c r="BP44" s="11"/>
      <c r="BQ44" s="11"/>
      <c r="BR44" s="11"/>
      <c r="BS44" s="11"/>
      <c r="BT44" s="645">
        <f t="shared" si="80"/>
        <v>32</v>
      </c>
      <c r="BU44" s="268">
        <f t="shared" si="81"/>
        <v>70</v>
      </c>
      <c r="BV44" s="268">
        <f t="shared" si="82"/>
        <v>70</v>
      </c>
      <c r="BW44" s="268">
        <f t="shared" si="83"/>
        <v>0</v>
      </c>
      <c r="BX44" s="268">
        <f t="shared" si="84"/>
        <v>0</v>
      </c>
      <c r="BY44" s="268">
        <f t="shared" si="85"/>
        <v>0</v>
      </c>
      <c r="BZ44" s="268">
        <f t="shared" si="85"/>
        <v>0</v>
      </c>
    </row>
    <row r="45" spans="1:78" x14ac:dyDescent="0.2">
      <c r="A45" s="58"/>
      <c r="B45" s="8" t="s">
        <v>541</v>
      </c>
      <c r="C45" s="18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86"/>
      <c r="Q45" s="11"/>
      <c r="R45" s="11"/>
      <c r="S45" s="11"/>
      <c r="T45" s="11"/>
      <c r="U45" s="11"/>
      <c r="V45" s="11"/>
      <c r="W45" s="186"/>
      <c r="X45" s="11"/>
      <c r="Y45" s="11"/>
      <c r="Z45" s="11"/>
      <c r="AA45" s="11"/>
      <c r="AB45" s="11"/>
      <c r="AC45" s="11"/>
      <c r="AD45" s="186"/>
      <c r="AE45" s="11"/>
      <c r="AF45" s="11"/>
      <c r="AG45" s="11"/>
      <c r="AH45" s="11"/>
      <c r="AI45" s="11"/>
      <c r="AJ45" s="11"/>
      <c r="AK45" s="186">
        <v>2093</v>
      </c>
      <c r="AL45" s="11">
        <v>0</v>
      </c>
      <c r="AM45" s="11">
        <v>3036</v>
      </c>
      <c r="AN45" s="11">
        <v>0</v>
      </c>
      <c r="AO45" s="11">
        <v>0</v>
      </c>
      <c r="AP45" s="11">
        <v>0</v>
      </c>
      <c r="AQ45" s="11">
        <v>0</v>
      </c>
      <c r="AR45" s="11"/>
      <c r="AS45" s="11"/>
      <c r="AT45" s="11"/>
      <c r="AU45" s="11"/>
      <c r="AV45" s="11">
        <v>0</v>
      </c>
      <c r="AW45" s="11"/>
      <c r="AX45" s="11">
        <v>0</v>
      </c>
      <c r="AY45" s="11"/>
      <c r="AZ45" s="11"/>
      <c r="BA45" s="11"/>
      <c r="BB45" s="11"/>
      <c r="BC45" s="11"/>
      <c r="BD45" s="11"/>
      <c r="BE45" s="11"/>
      <c r="BF45" s="186"/>
      <c r="BG45" s="11"/>
      <c r="BH45" s="11"/>
      <c r="BI45" s="11"/>
      <c r="BJ45" s="11"/>
      <c r="BK45" s="11"/>
      <c r="BL45" s="11"/>
      <c r="BM45" s="186"/>
      <c r="BN45" s="11"/>
      <c r="BO45" s="11"/>
      <c r="BP45" s="11"/>
      <c r="BQ45" s="11"/>
      <c r="BR45" s="11"/>
      <c r="BS45" s="11"/>
      <c r="BT45" s="645">
        <f t="shared" si="80"/>
        <v>2093</v>
      </c>
      <c r="BU45" s="268">
        <f t="shared" si="81"/>
        <v>0</v>
      </c>
      <c r="BV45" s="268">
        <f t="shared" si="82"/>
        <v>3036</v>
      </c>
      <c r="BW45" s="268">
        <f t="shared" si="83"/>
        <v>0</v>
      </c>
      <c r="BX45" s="268">
        <f t="shared" si="84"/>
        <v>0</v>
      </c>
      <c r="BY45" s="268">
        <f t="shared" si="85"/>
        <v>0</v>
      </c>
      <c r="BZ45" s="268">
        <f t="shared" si="85"/>
        <v>0</v>
      </c>
    </row>
    <row r="46" spans="1:78" x14ac:dyDescent="0.2">
      <c r="A46" s="259" t="s">
        <v>247</v>
      </c>
      <c r="B46" s="14" t="s">
        <v>254</v>
      </c>
      <c r="C46" s="542">
        <f t="shared" ref="C46" si="136">SUM(C47:C48)</f>
        <v>2380</v>
      </c>
      <c r="D46" s="6">
        <f t="shared" ref="D46:E46" si="137">SUM(D47:D48)</f>
        <v>2440</v>
      </c>
      <c r="E46" s="6">
        <f t="shared" si="137"/>
        <v>2440</v>
      </c>
      <c r="F46" s="6">
        <f t="shared" ref="F46:I46" si="138">SUM(F47:F48)</f>
        <v>0</v>
      </c>
      <c r="G46" s="6">
        <f t="shared" si="138"/>
        <v>0</v>
      </c>
      <c r="H46" s="6">
        <f t="shared" si="138"/>
        <v>0</v>
      </c>
      <c r="I46" s="6">
        <f t="shared" si="138"/>
        <v>0</v>
      </c>
      <c r="J46" s="6">
        <f t="shared" ref="J46" si="139">SUM(J47:J48)</f>
        <v>0</v>
      </c>
      <c r="K46" s="6">
        <f t="shared" ref="K46:O46" si="140">SUM(K47:K48)</f>
        <v>0</v>
      </c>
      <c r="L46" s="6">
        <f t="shared" ref="L46" si="141">SUM(L47:L48)</f>
        <v>0</v>
      </c>
      <c r="M46" s="6">
        <f t="shared" si="140"/>
        <v>0</v>
      </c>
      <c r="N46" s="6"/>
      <c r="O46" s="6">
        <f t="shared" si="140"/>
        <v>0</v>
      </c>
      <c r="P46" s="542">
        <f t="shared" ref="P46:W46" si="142">SUM(P47:P48)</f>
        <v>0</v>
      </c>
      <c r="Q46" s="6">
        <f t="shared" ref="Q46" si="143">SUM(Q47:Q48)</f>
        <v>0</v>
      </c>
      <c r="R46" s="6">
        <f t="shared" ref="R46:S46" si="144">SUM(R47:R48)</f>
        <v>0</v>
      </c>
      <c r="S46" s="6">
        <f t="shared" si="144"/>
        <v>0</v>
      </c>
      <c r="T46" s="6">
        <f t="shared" ref="T46" si="145">SUM(T47:T48)</f>
        <v>0</v>
      </c>
      <c r="U46" s="6">
        <f t="shared" ref="U46:V46" si="146">SUM(U47:U48)</f>
        <v>0</v>
      </c>
      <c r="V46" s="6">
        <f t="shared" si="146"/>
        <v>0</v>
      </c>
      <c r="W46" s="542">
        <f t="shared" si="142"/>
        <v>476</v>
      </c>
      <c r="X46" s="6">
        <f t="shared" ref="X46:Y46" si="147">SUM(X47:X48)</f>
        <v>550</v>
      </c>
      <c r="Y46" s="6">
        <f t="shared" si="147"/>
        <v>500</v>
      </c>
      <c r="Z46" s="6">
        <f t="shared" ref="Z46" si="148">SUM(Z47:Z48)</f>
        <v>0</v>
      </c>
      <c r="AA46" s="6">
        <f t="shared" ref="AA46:AC46" si="149">SUM(AA47:AA48)</f>
        <v>0</v>
      </c>
      <c r="AB46" s="6">
        <f t="shared" si="149"/>
        <v>0</v>
      </c>
      <c r="AC46" s="6">
        <f t="shared" si="149"/>
        <v>0</v>
      </c>
      <c r="AD46" s="542">
        <f t="shared" ref="AD46:AE46" si="150">SUM(AD47:AD48)</f>
        <v>100</v>
      </c>
      <c r="AE46" s="6">
        <f t="shared" si="150"/>
        <v>150</v>
      </c>
      <c r="AF46" s="6">
        <f t="shared" ref="AF46" si="151">SUM(AF47:AF48)</f>
        <v>150</v>
      </c>
      <c r="AG46" s="6">
        <f t="shared" ref="AG46" si="152">SUM(AG47:AG48)</f>
        <v>0</v>
      </c>
      <c r="AH46" s="6">
        <f t="shared" ref="AH46:AJ46" si="153">SUM(AH47:AH48)</f>
        <v>0</v>
      </c>
      <c r="AI46" s="6">
        <f t="shared" si="153"/>
        <v>0</v>
      </c>
      <c r="AJ46" s="6">
        <f t="shared" si="153"/>
        <v>0</v>
      </c>
      <c r="AK46" s="542">
        <f t="shared" ref="AK46" si="154">SUM(AK47:AK48)</f>
        <v>0</v>
      </c>
      <c r="AL46" s="6">
        <f t="shared" ref="AL46:AM46" si="155">SUM(AL47:AL48)</f>
        <v>0</v>
      </c>
      <c r="AM46" s="6">
        <f t="shared" si="155"/>
        <v>0</v>
      </c>
      <c r="AN46" s="6">
        <f t="shared" ref="AN46:AQ46" si="156">SUM(AN47:AN48)</f>
        <v>0</v>
      </c>
      <c r="AO46" s="6">
        <f t="shared" si="156"/>
        <v>0</v>
      </c>
      <c r="AP46" s="6">
        <f t="shared" si="156"/>
        <v>0</v>
      </c>
      <c r="AQ46" s="6">
        <f t="shared" si="156"/>
        <v>0</v>
      </c>
      <c r="AR46" s="6">
        <f t="shared" ref="AR46:BF46" si="157">SUM(AR47:AR48)</f>
        <v>0</v>
      </c>
      <c r="AS46" s="6"/>
      <c r="AT46" s="6">
        <f t="shared" si="157"/>
        <v>0</v>
      </c>
      <c r="AU46" s="6">
        <f>SUM(AU47:AU48)</f>
        <v>0</v>
      </c>
      <c r="AV46" s="6">
        <f t="shared" si="157"/>
        <v>0</v>
      </c>
      <c r="AW46" s="6"/>
      <c r="AX46" s="6">
        <f t="shared" si="157"/>
        <v>0</v>
      </c>
      <c r="AY46" s="6">
        <f t="shared" si="157"/>
        <v>0</v>
      </c>
      <c r="AZ46" s="6"/>
      <c r="BA46" s="6">
        <f t="shared" si="157"/>
        <v>0</v>
      </c>
      <c r="BB46" s="6">
        <f t="shared" si="157"/>
        <v>0</v>
      </c>
      <c r="BC46" s="6">
        <f t="shared" si="157"/>
        <v>0</v>
      </c>
      <c r="BD46" s="6"/>
      <c r="BE46" s="6">
        <f t="shared" si="157"/>
        <v>0</v>
      </c>
      <c r="BF46" s="542">
        <f t="shared" si="157"/>
        <v>144</v>
      </c>
      <c r="BG46" s="6">
        <f t="shared" ref="BG46:BH46" si="158">SUM(BG47:BG48)</f>
        <v>180</v>
      </c>
      <c r="BH46" s="6">
        <f t="shared" si="158"/>
        <v>260</v>
      </c>
      <c r="BI46" s="6">
        <f t="shared" ref="BI46:BJ46" si="159">SUM(BI47:BI48)</f>
        <v>0</v>
      </c>
      <c r="BJ46" s="6">
        <f t="shared" si="159"/>
        <v>0</v>
      </c>
      <c r="BK46" s="6">
        <f t="shared" ref="BK46:BL46" si="160">SUM(BK47:BK48)</f>
        <v>0</v>
      </c>
      <c r="BL46" s="6">
        <f t="shared" si="160"/>
        <v>0</v>
      </c>
      <c r="BM46" s="542">
        <f t="shared" ref="BM46" si="161">SUM(BM47:BM48)</f>
        <v>50</v>
      </c>
      <c r="BN46" s="6">
        <f t="shared" ref="BN46:BO46" si="162">SUM(BN47:BN48)</f>
        <v>370</v>
      </c>
      <c r="BO46" s="6">
        <f t="shared" si="162"/>
        <v>340</v>
      </c>
      <c r="BP46" s="6">
        <f t="shared" ref="BP46:BQ46" si="163">SUM(BP47:BP48)</f>
        <v>0</v>
      </c>
      <c r="BQ46" s="6">
        <f t="shared" si="163"/>
        <v>0</v>
      </c>
      <c r="BR46" s="6">
        <f t="shared" ref="BR46:BS46" si="164">SUM(BR47:BR48)</f>
        <v>0</v>
      </c>
      <c r="BS46" s="6">
        <f t="shared" si="164"/>
        <v>0</v>
      </c>
      <c r="BT46" s="647">
        <f t="shared" si="80"/>
        <v>3150</v>
      </c>
      <c r="BU46" s="378">
        <f t="shared" si="81"/>
        <v>3690</v>
      </c>
      <c r="BV46" s="378">
        <f t="shared" si="82"/>
        <v>3690</v>
      </c>
      <c r="BW46" s="378">
        <f t="shared" si="83"/>
        <v>0</v>
      </c>
      <c r="BX46" s="378">
        <f t="shared" si="84"/>
        <v>0</v>
      </c>
      <c r="BY46" s="378">
        <f t="shared" si="85"/>
        <v>0</v>
      </c>
      <c r="BZ46" s="378">
        <f t="shared" si="85"/>
        <v>0</v>
      </c>
    </row>
    <row r="47" spans="1:78" ht="15" customHeight="1" x14ac:dyDescent="0.2">
      <c r="A47" s="58" t="s">
        <v>664</v>
      </c>
      <c r="B47" s="8" t="s">
        <v>748</v>
      </c>
      <c r="C47" s="186">
        <v>2260</v>
      </c>
      <c r="D47" s="11">
        <f>170+2100</f>
        <v>2270</v>
      </c>
      <c r="E47" s="11">
        <f>170+2100</f>
        <v>2270</v>
      </c>
      <c r="F47" s="11">
        <v>0</v>
      </c>
      <c r="G47" s="11">
        <v>0</v>
      </c>
      <c r="H47" s="11">
        <v>0</v>
      </c>
      <c r="I47" s="11">
        <v>0</v>
      </c>
      <c r="J47" s="11"/>
      <c r="K47" s="11"/>
      <c r="L47" s="11"/>
      <c r="M47" s="11"/>
      <c r="N47" s="11"/>
      <c r="O47" s="11"/>
      <c r="P47" s="186"/>
      <c r="Q47" s="11"/>
      <c r="R47" s="11"/>
      <c r="S47" s="11"/>
      <c r="T47" s="11"/>
      <c r="U47" s="11"/>
      <c r="V47" s="11"/>
      <c r="W47" s="186">
        <v>476</v>
      </c>
      <c r="X47" s="11">
        <v>550</v>
      </c>
      <c r="Y47" s="11">
        <f>550-50</f>
        <v>500</v>
      </c>
      <c r="Z47" s="11">
        <v>0</v>
      </c>
      <c r="AA47" s="11">
        <v>0</v>
      </c>
      <c r="AB47" s="11">
        <v>0</v>
      </c>
      <c r="AC47" s="11">
        <v>0</v>
      </c>
      <c r="AD47" s="186">
        <v>100</v>
      </c>
      <c r="AE47" s="11">
        <v>150</v>
      </c>
      <c r="AF47" s="11">
        <v>150</v>
      </c>
      <c r="AG47" s="11">
        <v>0</v>
      </c>
      <c r="AH47" s="11">
        <v>0</v>
      </c>
      <c r="AI47" s="11">
        <v>0</v>
      </c>
      <c r="AJ47" s="11">
        <v>0</v>
      </c>
      <c r="AK47" s="186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86">
        <v>0</v>
      </c>
      <c r="BG47" s="11">
        <v>0</v>
      </c>
      <c r="BH47" s="11">
        <f>50+30</f>
        <v>80</v>
      </c>
      <c r="BI47" s="11"/>
      <c r="BJ47" s="11"/>
      <c r="BK47" s="11"/>
      <c r="BL47" s="11"/>
      <c r="BM47" s="186">
        <v>0</v>
      </c>
      <c r="BN47" s="11">
        <v>300</v>
      </c>
      <c r="BO47" s="11">
        <f>300-30</f>
        <v>270</v>
      </c>
      <c r="BP47" s="11">
        <v>0</v>
      </c>
      <c r="BQ47" s="11">
        <v>0</v>
      </c>
      <c r="BR47" s="11">
        <v>0</v>
      </c>
      <c r="BS47" s="11">
        <v>0</v>
      </c>
      <c r="BT47" s="645">
        <f t="shared" si="80"/>
        <v>2836</v>
      </c>
      <c r="BU47" s="268">
        <f t="shared" si="81"/>
        <v>3270</v>
      </c>
      <c r="BV47" s="268">
        <f t="shared" si="82"/>
        <v>3270</v>
      </c>
      <c r="BW47" s="268">
        <f t="shared" si="83"/>
        <v>0</v>
      </c>
      <c r="BX47" s="268">
        <f t="shared" si="84"/>
        <v>0</v>
      </c>
      <c r="BY47" s="268">
        <f t="shared" si="85"/>
        <v>0</v>
      </c>
      <c r="BZ47" s="268">
        <f t="shared" si="85"/>
        <v>0</v>
      </c>
    </row>
    <row r="48" spans="1:78" x14ac:dyDescent="0.2">
      <c r="A48" s="58" t="s">
        <v>587</v>
      </c>
      <c r="B48" s="8" t="s">
        <v>709</v>
      </c>
      <c r="C48" s="186">
        <v>120</v>
      </c>
      <c r="D48" s="11">
        <v>170</v>
      </c>
      <c r="E48" s="11">
        <v>170</v>
      </c>
      <c r="F48" s="11">
        <v>0</v>
      </c>
      <c r="G48" s="11">
        <v>0</v>
      </c>
      <c r="H48" s="11">
        <v>0</v>
      </c>
      <c r="I48" s="11">
        <v>0</v>
      </c>
      <c r="J48" s="186"/>
      <c r="K48" s="186"/>
      <c r="L48" s="186"/>
      <c r="M48" s="186"/>
      <c r="N48" s="186"/>
      <c r="O48" s="186"/>
      <c r="P48" s="186"/>
      <c r="Q48" s="11"/>
      <c r="R48" s="11"/>
      <c r="S48" s="11"/>
      <c r="T48" s="11"/>
      <c r="U48" s="11"/>
      <c r="V48" s="11"/>
      <c r="W48" s="186"/>
      <c r="X48" s="11"/>
      <c r="Y48" s="11"/>
      <c r="Z48" s="11"/>
      <c r="AA48" s="11"/>
      <c r="AB48" s="11"/>
      <c r="AC48" s="11"/>
      <c r="AD48" s="186"/>
      <c r="AE48" s="11"/>
      <c r="AF48" s="11"/>
      <c r="AG48" s="11"/>
      <c r="AH48" s="11"/>
      <c r="AI48" s="11"/>
      <c r="AJ48" s="11"/>
      <c r="AK48" s="186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86">
        <v>144</v>
      </c>
      <c r="BG48" s="11">
        <v>180</v>
      </c>
      <c r="BH48" s="11">
        <v>180</v>
      </c>
      <c r="BI48" s="11">
        <v>0</v>
      </c>
      <c r="BJ48" s="11">
        <v>0</v>
      </c>
      <c r="BK48" s="11">
        <v>0</v>
      </c>
      <c r="BL48" s="11">
        <v>0</v>
      </c>
      <c r="BM48" s="186">
        <v>50</v>
      </c>
      <c r="BN48" s="11">
        <v>70</v>
      </c>
      <c r="BO48" s="11">
        <v>70</v>
      </c>
      <c r="BP48" s="11">
        <v>0</v>
      </c>
      <c r="BQ48" s="11">
        <v>0</v>
      </c>
      <c r="BR48" s="11">
        <v>0</v>
      </c>
      <c r="BS48" s="11">
        <v>0</v>
      </c>
      <c r="BT48" s="645">
        <f t="shared" si="80"/>
        <v>314</v>
      </c>
      <c r="BU48" s="268">
        <f t="shared" si="81"/>
        <v>420</v>
      </c>
      <c r="BV48" s="268">
        <f t="shared" si="82"/>
        <v>420</v>
      </c>
      <c r="BW48" s="268">
        <f t="shared" si="83"/>
        <v>0</v>
      </c>
      <c r="BX48" s="268">
        <f t="shared" si="84"/>
        <v>0</v>
      </c>
      <c r="BY48" s="268">
        <f t="shared" si="85"/>
        <v>0</v>
      </c>
      <c r="BZ48" s="268">
        <f t="shared" si="85"/>
        <v>0</v>
      </c>
    </row>
    <row r="49" spans="1:78" x14ac:dyDescent="0.2">
      <c r="A49" s="259" t="s">
        <v>699</v>
      </c>
      <c r="B49" s="14" t="s">
        <v>256</v>
      </c>
      <c r="C49" s="542">
        <f t="shared" ref="C49:AT49" si="165">SUM(C50:C94)</f>
        <v>29553</v>
      </c>
      <c r="D49" s="6">
        <f t="shared" ref="D49:E49" si="166">SUM(D50:D94)</f>
        <v>28725</v>
      </c>
      <c r="E49" s="6">
        <f t="shared" si="166"/>
        <v>31595</v>
      </c>
      <c r="F49" s="6">
        <f t="shared" ref="F49" si="167">SUM(F50:F94)</f>
        <v>0</v>
      </c>
      <c r="G49" s="6">
        <f t="shared" ref="G49:I49" si="168">SUM(G50:G94)</f>
        <v>0</v>
      </c>
      <c r="H49" s="6">
        <f t="shared" si="168"/>
        <v>0</v>
      </c>
      <c r="I49" s="6">
        <f t="shared" si="168"/>
        <v>0</v>
      </c>
      <c r="J49" s="6">
        <f t="shared" si="165"/>
        <v>0</v>
      </c>
      <c r="K49" s="6">
        <f t="shared" si="165"/>
        <v>0</v>
      </c>
      <c r="L49" s="6">
        <f t="shared" si="165"/>
        <v>0</v>
      </c>
      <c r="M49" s="6">
        <f t="shared" si="165"/>
        <v>0</v>
      </c>
      <c r="N49" s="6"/>
      <c r="O49" s="6">
        <f t="shared" si="165"/>
        <v>0</v>
      </c>
      <c r="P49" s="542">
        <f t="shared" si="165"/>
        <v>49870</v>
      </c>
      <c r="Q49" s="6">
        <f t="shared" ref="Q49:R49" si="169">SUM(Q50:Q94)</f>
        <v>49825</v>
      </c>
      <c r="R49" s="6">
        <f t="shared" si="169"/>
        <v>49825</v>
      </c>
      <c r="S49" s="6">
        <f t="shared" ref="S49:T49" si="170">SUM(S50:S94)</f>
        <v>0</v>
      </c>
      <c r="T49" s="6">
        <f t="shared" si="170"/>
        <v>0</v>
      </c>
      <c r="U49" s="6">
        <f t="shared" ref="U49:V49" si="171">SUM(U50:U94)</f>
        <v>0</v>
      </c>
      <c r="V49" s="6">
        <f t="shared" si="171"/>
        <v>0</v>
      </c>
      <c r="W49" s="542">
        <f t="shared" si="165"/>
        <v>4689</v>
      </c>
      <c r="X49" s="6">
        <f t="shared" ref="X49:Y49" si="172">SUM(X50:X94)</f>
        <v>5500</v>
      </c>
      <c r="Y49" s="6">
        <f t="shared" si="172"/>
        <v>4810</v>
      </c>
      <c r="Z49" s="6">
        <f t="shared" ref="Z49" si="173">SUM(Z50:Z94)</f>
        <v>0</v>
      </c>
      <c r="AA49" s="6">
        <f t="shared" ref="AA49:AC49" si="174">SUM(AA50:AA94)</f>
        <v>0</v>
      </c>
      <c r="AB49" s="6">
        <f t="shared" si="174"/>
        <v>0</v>
      </c>
      <c r="AC49" s="6">
        <f t="shared" si="174"/>
        <v>0</v>
      </c>
      <c r="AD49" s="542">
        <f t="shared" si="165"/>
        <v>69871</v>
      </c>
      <c r="AE49" s="6">
        <f t="shared" ref="AE49:AF49" si="175">SUM(AE50:AE94)</f>
        <v>132073</v>
      </c>
      <c r="AF49" s="6">
        <f t="shared" si="175"/>
        <v>142683</v>
      </c>
      <c r="AG49" s="6">
        <f t="shared" ref="AG49" si="176">SUM(AG50:AG94)</f>
        <v>0</v>
      </c>
      <c r="AH49" s="6">
        <f t="shared" ref="AH49:AJ49" si="177">SUM(AH50:AH94)</f>
        <v>0</v>
      </c>
      <c r="AI49" s="6">
        <f t="shared" si="177"/>
        <v>0</v>
      </c>
      <c r="AJ49" s="6">
        <f t="shared" si="177"/>
        <v>0</v>
      </c>
      <c r="AK49" s="542">
        <f t="shared" si="165"/>
        <v>26419</v>
      </c>
      <c r="AL49" s="6">
        <f t="shared" si="165"/>
        <v>26544</v>
      </c>
      <c r="AM49" s="6">
        <f t="shared" ref="AM49" si="178">SUM(AM50:AM94)</f>
        <v>28266</v>
      </c>
      <c r="AN49" s="6">
        <f t="shared" ref="AN49:AQ49" si="179">SUM(AN50:AN94)</f>
        <v>0</v>
      </c>
      <c r="AO49" s="6">
        <f t="shared" si="179"/>
        <v>0</v>
      </c>
      <c r="AP49" s="6">
        <f t="shared" si="179"/>
        <v>0</v>
      </c>
      <c r="AQ49" s="6">
        <f t="shared" si="179"/>
        <v>0</v>
      </c>
      <c r="AR49" s="6">
        <f t="shared" si="165"/>
        <v>0</v>
      </c>
      <c r="AS49" s="6"/>
      <c r="AT49" s="6">
        <f t="shared" si="165"/>
        <v>0</v>
      </c>
      <c r="AU49" s="6">
        <f t="shared" ref="AU49:BM49" si="180">SUM(AU50:AU94)</f>
        <v>0</v>
      </c>
      <c r="AV49" s="6">
        <f t="shared" si="180"/>
        <v>0</v>
      </c>
      <c r="AW49" s="6"/>
      <c r="AX49" s="6">
        <f t="shared" si="180"/>
        <v>0</v>
      </c>
      <c r="AY49" s="6">
        <f t="shared" si="180"/>
        <v>0</v>
      </c>
      <c r="AZ49" s="6"/>
      <c r="BA49" s="6">
        <f t="shared" si="180"/>
        <v>0</v>
      </c>
      <c r="BB49" s="6">
        <f t="shared" si="180"/>
        <v>0</v>
      </c>
      <c r="BC49" s="6">
        <f t="shared" si="180"/>
        <v>0</v>
      </c>
      <c r="BD49" s="6"/>
      <c r="BE49" s="6">
        <f t="shared" si="180"/>
        <v>0</v>
      </c>
      <c r="BF49" s="542">
        <f t="shared" si="180"/>
        <v>23178</v>
      </c>
      <c r="BG49" s="6">
        <f t="shared" ref="BG49:BH49" si="181">SUM(BG50:BG94)</f>
        <v>23723</v>
      </c>
      <c r="BH49" s="6">
        <f t="shared" si="181"/>
        <v>25649</v>
      </c>
      <c r="BI49" s="6">
        <f t="shared" ref="BI49:BJ49" si="182">SUM(BI50:BI94)</f>
        <v>0</v>
      </c>
      <c r="BJ49" s="6">
        <f t="shared" si="182"/>
        <v>0</v>
      </c>
      <c r="BK49" s="6">
        <f t="shared" ref="BK49:BL49" si="183">SUM(BK50:BK94)</f>
        <v>0</v>
      </c>
      <c r="BL49" s="6">
        <f t="shared" si="183"/>
        <v>0</v>
      </c>
      <c r="BM49" s="542">
        <f t="shared" si="180"/>
        <v>21372</v>
      </c>
      <c r="BN49" s="6">
        <f t="shared" ref="BN49:BO49" si="184">SUM(BN50:BN94)</f>
        <v>23858</v>
      </c>
      <c r="BO49" s="6">
        <f t="shared" si="184"/>
        <v>23588</v>
      </c>
      <c r="BP49" s="6">
        <f t="shared" ref="BP49:BQ49" si="185">SUM(BP50:BP94)</f>
        <v>0</v>
      </c>
      <c r="BQ49" s="6">
        <f t="shared" si="185"/>
        <v>0</v>
      </c>
      <c r="BR49" s="6">
        <f t="shared" ref="BR49:BS49" si="186">SUM(BR50:BR94)</f>
        <v>0</v>
      </c>
      <c r="BS49" s="6">
        <f t="shared" si="186"/>
        <v>0</v>
      </c>
      <c r="BT49" s="647">
        <f t="shared" si="80"/>
        <v>224952</v>
      </c>
      <c r="BU49" s="378">
        <f t="shared" si="81"/>
        <v>290248</v>
      </c>
      <c r="BV49" s="378">
        <f t="shared" si="82"/>
        <v>306416</v>
      </c>
      <c r="BW49" s="378">
        <f t="shared" si="83"/>
        <v>0</v>
      </c>
      <c r="BX49" s="378">
        <f t="shared" si="84"/>
        <v>0</v>
      </c>
      <c r="BY49" s="378">
        <f t="shared" si="85"/>
        <v>0</v>
      </c>
      <c r="BZ49" s="378">
        <f t="shared" si="85"/>
        <v>0</v>
      </c>
    </row>
    <row r="50" spans="1:78" s="9" customFormat="1" x14ac:dyDescent="0.2">
      <c r="A50" s="58" t="s">
        <v>443</v>
      </c>
      <c r="B50" s="8" t="s">
        <v>272</v>
      </c>
      <c r="C50" s="186"/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>
        <v>25220</v>
      </c>
      <c r="Q50" s="11">
        <v>26000</v>
      </c>
      <c r="R50" s="11">
        <v>26000</v>
      </c>
      <c r="S50" s="11">
        <v>0</v>
      </c>
      <c r="T50" s="11">
        <v>0</v>
      </c>
      <c r="U50" s="11">
        <v>0</v>
      </c>
      <c r="V50" s="11">
        <v>0</v>
      </c>
      <c r="W50" s="186">
        <v>435</v>
      </c>
      <c r="X50" s="11">
        <v>900</v>
      </c>
      <c r="Y50" s="11">
        <v>900</v>
      </c>
      <c r="Z50" s="11">
        <v>0</v>
      </c>
      <c r="AA50" s="11">
        <v>0</v>
      </c>
      <c r="AB50" s="11">
        <v>0</v>
      </c>
      <c r="AC50" s="11">
        <v>0</v>
      </c>
      <c r="AD50" s="186">
        <v>11768</v>
      </c>
      <c r="AE50" s="11">
        <v>15000</v>
      </c>
      <c r="AF50" s="11">
        <v>15000</v>
      </c>
      <c r="AG50" s="11">
        <v>0</v>
      </c>
      <c r="AH50" s="11">
        <v>0</v>
      </c>
      <c r="AI50" s="11">
        <v>0</v>
      </c>
      <c r="AJ50" s="11">
        <v>0</v>
      </c>
      <c r="AK50" s="186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86">
        <v>5194</v>
      </c>
      <c r="BG50" s="11">
        <v>7000</v>
      </c>
      <c r="BH50" s="11">
        <v>7000</v>
      </c>
      <c r="BI50" s="11">
        <v>0</v>
      </c>
      <c r="BJ50" s="11">
        <v>0</v>
      </c>
      <c r="BK50" s="11">
        <v>0</v>
      </c>
      <c r="BL50" s="11">
        <v>0</v>
      </c>
      <c r="BM50" s="186"/>
      <c r="BN50" s="11"/>
      <c r="BO50" s="11"/>
      <c r="BP50" s="11"/>
      <c r="BQ50" s="11"/>
      <c r="BR50" s="11"/>
      <c r="BS50" s="11"/>
      <c r="BT50" s="645">
        <f t="shared" si="80"/>
        <v>42617</v>
      </c>
      <c r="BU50" s="268">
        <f t="shared" si="81"/>
        <v>48900</v>
      </c>
      <c r="BV50" s="268">
        <f t="shared" si="82"/>
        <v>48900</v>
      </c>
      <c r="BW50" s="268">
        <f t="shared" si="83"/>
        <v>0</v>
      </c>
      <c r="BX50" s="268">
        <f t="shared" si="84"/>
        <v>0</v>
      </c>
      <c r="BY50" s="268">
        <f t="shared" si="85"/>
        <v>0</v>
      </c>
      <c r="BZ50" s="268">
        <f t="shared" si="85"/>
        <v>0</v>
      </c>
    </row>
    <row r="51" spans="1:78" s="9" customFormat="1" x14ac:dyDescent="0.2">
      <c r="A51" s="58" t="s">
        <v>584</v>
      </c>
      <c r="B51" s="8" t="s">
        <v>280</v>
      </c>
      <c r="C51" s="186"/>
      <c r="D51" s="11"/>
      <c r="E51" s="11"/>
      <c r="F51" s="11"/>
      <c r="G51" s="11"/>
      <c r="H51" s="11"/>
      <c r="I51" s="11"/>
      <c r="J51" s="186"/>
      <c r="K51" s="186"/>
      <c r="L51" s="186"/>
      <c r="M51" s="186"/>
      <c r="N51" s="186"/>
      <c r="O51" s="186"/>
      <c r="P51" s="186"/>
      <c r="Q51" s="11"/>
      <c r="R51" s="11"/>
      <c r="S51" s="11"/>
      <c r="T51" s="11"/>
      <c r="U51" s="11"/>
      <c r="V51" s="11"/>
      <c r="W51" s="186"/>
      <c r="X51" s="11"/>
      <c r="Y51" s="11"/>
      <c r="Z51" s="11"/>
      <c r="AA51" s="11"/>
      <c r="AB51" s="11"/>
      <c r="AC51" s="11"/>
      <c r="AD51" s="186"/>
      <c r="AE51" s="11"/>
      <c r="AF51" s="11"/>
      <c r="AG51" s="11"/>
      <c r="AH51" s="11"/>
      <c r="AI51" s="11"/>
      <c r="AJ51" s="11"/>
      <c r="AK51" s="186">
        <v>25723</v>
      </c>
      <c r="AL51" s="11">
        <v>26394</v>
      </c>
      <c r="AM51" s="11">
        <f>26394+1000</f>
        <v>27394</v>
      </c>
      <c r="AN51" s="11">
        <v>0</v>
      </c>
      <c r="AO51" s="11">
        <v>0</v>
      </c>
      <c r="AP51" s="11">
        <v>0</v>
      </c>
      <c r="AQ51" s="11">
        <v>0</v>
      </c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86"/>
      <c r="BG51" s="11"/>
      <c r="BH51" s="11"/>
      <c r="BI51" s="11"/>
      <c r="BJ51" s="11"/>
      <c r="BK51" s="11"/>
      <c r="BL51" s="11"/>
      <c r="BM51" s="186"/>
      <c r="BN51" s="11"/>
      <c r="BO51" s="11"/>
      <c r="BP51" s="11"/>
      <c r="BQ51" s="11"/>
      <c r="BR51" s="11"/>
      <c r="BS51" s="11"/>
      <c r="BT51" s="645">
        <f t="shared" si="80"/>
        <v>25723</v>
      </c>
      <c r="BU51" s="268">
        <f t="shared" si="81"/>
        <v>26394</v>
      </c>
      <c r="BV51" s="268">
        <f t="shared" si="82"/>
        <v>27394</v>
      </c>
      <c r="BW51" s="268">
        <f t="shared" si="83"/>
        <v>0</v>
      </c>
      <c r="BX51" s="268">
        <f t="shared" si="84"/>
        <v>0</v>
      </c>
      <c r="BY51" s="268">
        <f t="shared" ref="BY51:BZ66" si="187">H51+N51+U51+AB51+AI51+AP51+AW51+BD51+BK51+BR51</f>
        <v>0</v>
      </c>
      <c r="BZ51" s="268">
        <f t="shared" si="187"/>
        <v>0</v>
      </c>
    </row>
    <row r="52" spans="1:78" s="9" customFormat="1" x14ac:dyDescent="0.2">
      <c r="A52" s="58" t="s">
        <v>659</v>
      </c>
      <c r="B52" s="8" t="s">
        <v>1068</v>
      </c>
      <c r="C52" s="186">
        <v>85</v>
      </c>
      <c r="D52" s="11">
        <v>100</v>
      </c>
      <c r="E52" s="11">
        <v>100</v>
      </c>
      <c r="F52" s="11">
        <v>0</v>
      </c>
      <c r="G52" s="11">
        <v>0</v>
      </c>
      <c r="H52" s="11">
        <v>0</v>
      </c>
      <c r="I52" s="11">
        <v>0</v>
      </c>
      <c r="J52" s="186"/>
      <c r="K52" s="186"/>
      <c r="L52" s="186"/>
      <c r="M52" s="186"/>
      <c r="N52" s="186"/>
      <c r="O52" s="186"/>
      <c r="P52" s="186">
        <v>21551</v>
      </c>
      <c r="Q52" s="11">
        <v>20825</v>
      </c>
      <c r="R52" s="11">
        <v>20825</v>
      </c>
      <c r="S52" s="11">
        <v>0</v>
      </c>
      <c r="T52" s="11">
        <v>0</v>
      </c>
      <c r="U52" s="11">
        <v>0</v>
      </c>
      <c r="V52" s="11">
        <v>0</v>
      </c>
      <c r="W52" s="186"/>
      <c r="X52" s="11"/>
      <c r="Y52" s="11"/>
      <c r="Z52" s="11"/>
      <c r="AA52" s="11"/>
      <c r="AB52" s="11"/>
      <c r="AC52" s="11"/>
      <c r="AD52" s="186">
        <v>797</v>
      </c>
      <c r="AE52" s="11">
        <f>100+800</f>
        <v>900</v>
      </c>
      <c r="AF52" s="11">
        <f>100+800</f>
        <v>900</v>
      </c>
      <c r="AG52" s="11">
        <v>0</v>
      </c>
      <c r="AH52" s="11">
        <v>0</v>
      </c>
      <c r="AI52" s="11">
        <v>0</v>
      </c>
      <c r="AJ52" s="11">
        <v>0</v>
      </c>
      <c r="AK52" s="186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86"/>
      <c r="BG52" s="11"/>
      <c r="BH52" s="11"/>
      <c r="BI52" s="11"/>
      <c r="BJ52" s="11"/>
      <c r="BK52" s="11"/>
      <c r="BL52" s="11"/>
      <c r="BM52" s="186">
        <v>100</v>
      </c>
      <c r="BN52" s="11">
        <v>120</v>
      </c>
      <c r="BO52" s="11">
        <f>120+800</f>
        <v>920</v>
      </c>
      <c r="BP52" s="11">
        <v>0</v>
      </c>
      <c r="BQ52" s="11">
        <v>0</v>
      </c>
      <c r="BR52" s="11">
        <v>0</v>
      </c>
      <c r="BS52" s="11">
        <v>0</v>
      </c>
      <c r="BT52" s="645">
        <f t="shared" si="80"/>
        <v>22533</v>
      </c>
      <c r="BU52" s="268">
        <f t="shared" si="81"/>
        <v>21945</v>
      </c>
      <c r="BV52" s="268">
        <f t="shared" si="82"/>
        <v>22745</v>
      </c>
      <c r="BW52" s="268">
        <f t="shared" si="83"/>
        <v>0</v>
      </c>
      <c r="BX52" s="268">
        <f t="shared" si="84"/>
        <v>0</v>
      </c>
      <c r="BY52" s="268">
        <f t="shared" si="187"/>
        <v>0</v>
      </c>
      <c r="BZ52" s="268">
        <f t="shared" si="187"/>
        <v>0</v>
      </c>
    </row>
    <row r="53" spans="1:78" s="524" customFormat="1" ht="32.25" customHeight="1" x14ac:dyDescent="0.2">
      <c r="A53" s="523" t="s">
        <v>588</v>
      </c>
      <c r="B53" s="515" t="s">
        <v>1099</v>
      </c>
      <c r="C53" s="123">
        <v>355</v>
      </c>
      <c r="D53" s="79">
        <v>500</v>
      </c>
      <c r="E53" s="79">
        <f>500+290</f>
        <v>790</v>
      </c>
      <c r="F53" s="79">
        <v>0</v>
      </c>
      <c r="G53" s="79">
        <v>0</v>
      </c>
      <c r="H53" s="79">
        <v>0</v>
      </c>
      <c r="I53" s="79">
        <v>0</v>
      </c>
      <c r="J53" s="79"/>
      <c r="K53" s="79"/>
      <c r="L53" s="79"/>
      <c r="M53" s="123"/>
      <c r="N53" s="123"/>
      <c r="O53" s="123"/>
      <c r="P53" s="123"/>
      <c r="Q53" s="79"/>
      <c r="R53" s="79"/>
      <c r="S53" s="79"/>
      <c r="T53" s="79"/>
      <c r="U53" s="79"/>
      <c r="V53" s="79"/>
      <c r="W53" s="123">
        <v>1371</v>
      </c>
      <c r="X53" s="79">
        <f>1500</f>
        <v>1500</v>
      </c>
      <c r="Y53" s="79">
        <f>1500-290-100</f>
        <v>1110</v>
      </c>
      <c r="Z53" s="79">
        <v>0</v>
      </c>
      <c r="AA53" s="79">
        <v>0</v>
      </c>
      <c r="AB53" s="79">
        <v>0</v>
      </c>
      <c r="AC53" s="79">
        <v>0</v>
      </c>
      <c r="AD53" s="123">
        <v>6376</v>
      </c>
      <c r="AE53" s="79">
        <v>4790</v>
      </c>
      <c r="AF53" s="79">
        <f>4790+395-778</f>
        <v>4407</v>
      </c>
      <c r="AG53" s="79">
        <v>0</v>
      </c>
      <c r="AH53" s="79">
        <v>0</v>
      </c>
      <c r="AI53" s="79">
        <v>0</v>
      </c>
      <c r="AJ53" s="79">
        <v>0</v>
      </c>
      <c r="AK53" s="123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123">
        <v>47</v>
      </c>
      <c r="BG53" s="79">
        <v>200</v>
      </c>
      <c r="BH53" s="79">
        <f>200+100</f>
        <v>300</v>
      </c>
      <c r="BI53" s="79">
        <v>0</v>
      </c>
      <c r="BJ53" s="79">
        <v>0</v>
      </c>
      <c r="BK53" s="79">
        <v>0</v>
      </c>
      <c r="BL53" s="79">
        <v>0</v>
      </c>
      <c r="BM53" s="123">
        <v>0</v>
      </c>
      <c r="BN53" s="79">
        <v>100</v>
      </c>
      <c r="BO53" s="79">
        <v>100</v>
      </c>
      <c r="BP53" s="79">
        <v>0</v>
      </c>
      <c r="BQ53" s="79">
        <v>0</v>
      </c>
      <c r="BR53" s="79">
        <v>0</v>
      </c>
      <c r="BS53" s="79">
        <v>0</v>
      </c>
      <c r="BT53" s="648">
        <f t="shared" si="80"/>
        <v>8149</v>
      </c>
      <c r="BU53" s="503">
        <f t="shared" si="81"/>
        <v>7090</v>
      </c>
      <c r="BV53" s="503">
        <f t="shared" si="82"/>
        <v>6707</v>
      </c>
      <c r="BW53" s="503">
        <f t="shared" si="83"/>
        <v>0</v>
      </c>
      <c r="BX53" s="503">
        <f t="shared" si="84"/>
        <v>0</v>
      </c>
      <c r="BY53" s="503">
        <f t="shared" si="187"/>
        <v>0</v>
      </c>
      <c r="BZ53" s="503">
        <f t="shared" si="187"/>
        <v>0</v>
      </c>
    </row>
    <row r="54" spans="1:78" s="9" customFormat="1" hidden="1" x14ac:dyDescent="0.2">
      <c r="A54" s="58"/>
      <c r="B54" s="8" t="s">
        <v>359</v>
      </c>
      <c r="C54" s="186"/>
      <c r="D54" s="11"/>
      <c r="E54" s="11"/>
      <c r="F54" s="11"/>
      <c r="G54" s="11"/>
      <c r="H54" s="11"/>
      <c r="I54" s="11"/>
      <c r="J54" s="186"/>
      <c r="K54" s="186"/>
      <c r="L54" s="186"/>
      <c r="M54" s="186"/>
      <c r="N54" s="186"/>
      <c r="O54" s="186"/>
      <c r="P54" s="186"/>
      <c r="Q54" s="11"/>
      <c r="R54" s="11"/>
      <c r="S54" s="11"/>
      <c r="T54" s="11"/>
      <c r="U54" s="11"/>
      <c r="V54" s="11"/>
      <c r="W54" s="186"/>
      <c r="X54" s="11"/>
      <c r="Y54" s="11"/>
      <c r="Z54" s="11"/>
      <c r="AA54" s="11"/>
      <c r="AB54" s="11"/>
      <c r="AC54" s="11"/>
      <c r="AD54" s="186"/>
      <c r="AE54" s="11"/>
      <c r="AF54" s="11"/>
      <c r="AG54" s="11"/>
      <c r="AH54" s="11"/>
      <c r="AI54" s="11"/>
      <c r="AJ54" s="11"/>
      <c r="AK54" s="186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86"/>
      <c r="BG54" s="11"/>
      <c r="BH54" s="11"/>
      <c r="BI54" s="11"/>
      <c r="BJ54" s="11"/>
      <c r="BK54" s="11"/>
      <c r="BL54" s="11"/>
      <c r="BM54" s="186"/>
      <c r="BN54" s="11"/>
      <c r="BO54" s="11"/>
      <c r="BP54" s="11"/>
      <c r="BQ54" s="11"/>
      <c r="BR54" s="11"/>
      <c r="BS54" s="11"/>
      <c r="BT54" s="645">
        <f t="shared" si="80"/>
        <v>0</v>
      </c>
      <c r="BU54" s="268">
        <f t="shared" si="81"/>
        <v>0</v>
      </c>
      <c r="BV54" s="268">
        <f t="shared" si="82"/>
        <v>0</v>
      </c>
      <c r="BW54" s="268">
        <f t="shared" si="83"/>
        <v>0</v>
      </c>
      <c r="BX54" s="268">
        <f t="shared" si="84"/>
        <v>0</v>
      </c>
      <c r="BY54" s="268">
        <f t="shared" si="187"/>
        <v>0</v>
      </c>
      <c r="BZ54" s="268">
        <f t="shared" si="187"/>
        <v>0</v>
      </c>
    </row>
    <row r="55" spans="1:78" s="9" customFormat="1" ht="12.75" customHeight="1" x14ac:dyDescent="0.2">
      <c r="A55" s="58" t="s">
        <v>601</v>
      </c>
      <c r="B55" s="8" t="s">
        <v>270</v>
      </c>
      <c r="C55" s="186">
        <v>5</v>
      </c>
      <c r="D55" s="11">
        <v>0</v>
      </c>
      <c r="E55" s="11">
        <v>2580</v>
      </c>
      <c r="F55" s="11"/>
      <c r="G55" s="11"/>
      <c r="H55" s="11"/>
      <c r="I55" s="11"/>
      <c r="J55" s="186"/>
      <c r="K55" s="186"/>
      <c r="L55" s="186"/>
      <c r="M55" s="186"/>
      <c r="N55" s="186"/>
      <c r="O55" s="186"/>
      <c r="P55" s="186"/>
      <c r="Q55" s="11"/>
      <c r="R55" s="11"/>
      <c r="S55" s="11"/>
      <c r="T55" s="11"/>
      <c r="U55" s="11"/>
      <c r="V55" s="11"/>
      <c r="W55" s="186"/>
      <c r="X55" s="11"/>
      <c r="Y55" s="11"/>
      <c r="Z55" s="11"/>
      <c r="AA55" s="11"/>
      <c r="AB55" s="11"/>
      <c r="AC55" s="11"/>
      <c r="AD55" s="186">
        <v>6499</v>
      </c>
      <c r="AE55" s="11">
        <f>6000+3500</f>
        <v>9500</v>
      </c>
      <c r="AF55" s="11">
        <f>6000+3500</f>
        <v>9500</v>
      </c>
      <c r="AG55" s="11">
        <v>0</v>
      </c>
      <c r="AH55" s="11">
        <v>0</v>
      </c>
      <c r="AI55" s="11">
        <v>0</v>
      </c>
      <c r="AJ55" s="11">
        <v>0</v>
      </c>
      <c r="AK55" s="186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86">
        <v>592</v>
      </c>
      <c r="BG55" s="11">
        <v>1500</v>
      </c>
      <c r="BH55" s="11">
        <v>1500</v>
      </c>
      <c r="BI55" s="11">
        <v>0</v>
      </c>
      <c r="BJ55" s="11">
        <v>0</v>
      </c>
      <c r="BK55" s="11">
        <v>0</v>
      </c>
      <c r="BL55" s="11">
        <v>0</v>
      </c>
      <c r="BM55" s="186"/>
      <c r="BN55" s="11"/>
      <c r="BO55" s="11"/>
      <c r="BP55" s="11"/>
      <c r="BQ55" s="11"/>
      <c r="BR55" s="11"/>
      <c r="BS55" s="11"/>
      <c r="BT55" s="645">
        <f t="shared" si="80"/>
        <v>7096</v>
      </c>
      <c r="BU55" s="268">
        <f t="shared" si="81"/>
        <v>11000</v>
      </c>
      <c r="BV55" s="268">
        <f t="shared" si="82"/>
        <v>13580</v>
      </c>
      <c r="BW55" s="268">
        <f t="shared" si="83"/>
        <v>0</v>
      </c>
      <c r="BX55" s="268">
        <f t="shared" si="84"/>
        <v>0</v>
      </c>
      <c r="BY55" s="268">
        <f t="shared" si="187"/>
        <v>0</v>
      </c>
      <c r="BZ55" s="268">
        <f t="shared" si="187"/>
        <v>0</v>
      </c>
    </row>
    <row r="56" spans="1:78" s="9" customFormat="1" x14ac:dyDescent="0.2">
      <c r="A56" s="58" t="s">
        <v>444</v>
      </c>
      <c r="B56" s="8" t="s">
        <v>269</v>
      </c>
      <c r="C56" s="186"/>
      <c r="D56" s="11"/>
      <c r="E56" s="11"/>
      <c r="F56" s="11"/>
      <c r="G56" s="11"/>
      <c r="H56" s="11"/>
      <c r="I56" s="11"/>
      <c r="J56" s="186"/>
      <c r="K56" s="186"/>
      <c r="L56" s="186"/>
      <c r="M56" s="186"/>
      <c r="N56" s="186"/>
      <c r="O56" s="186"/>
      <c r="P56" s="186"/>
      <c r="Q56" s="11"/>
      <c r="R56" s="11"/>
      <c r="S56" s="11"/>
      <c r="T56" s="11"/>
      <c r="U56" s="11"/>
      <c r="V56" s="11"/>
      <c r="W56" s="186"/>
      <c r="X56" s="11"/>
      <c r="Y56" s="11"/>
      <c r="Z56" s="11"/>
      <c r="AA56" s="11"/>
      <c r="AB56" s="11"/>
      <c r="AC56" s="11"/>
      <c r="AD56" s="186"/>
      <c r="AE56" s="11"/>
      <c r="AF56" s="11"/>
      <c r="AG56" s="11"/>
      <c r="AH56" s="11"/>
      <c r="AI56" s="11"/>
      <c r="AJ56" s="11"/>
      <c r="AK56" s="186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86"/>
      <c r="BG56" s="11"/>
      <c r="BH56" s="11"/>
      <c r="BI56" s="11"/>
      <c r="BJ56" s="11"/>
      <c r="BK56" s="11"/>
      <c r="BL56" s="11"/>
      <c r="BM56" s="186"/>
      <c r="BN56" s="11"/>
      <c r="BO56" s="11"/>
      <c r="BP56" s="11"/>
      <c r="BQ56" s="11"/>
      <c r="BR56" s="11"/>
      <c r="BS56" s="11"/>
      <c r="BT56" s="645">
        <f t="shared" si="80"/>
        <v>0</v>
      </c>
      <c r="BU56" s="268">
        <f t="shared" si="81"/>
        <v>0</v>
      </c>
      <c r="BV56" s="268">
        <f t="shared" si="82"/>
        <v>0</v>
      </c>
      <c r="BW56" s="268">
        <f t="shared" si="83"/>
        <v>0</v>
      </c>
      <c r="BX56" s="268">
        <f t="shared" si="84"/>
        <v>0</v>
      </c>
      <c r="BY56" s="268">
        <f t="shared" si="187"/>
        <v>0</v>
      </c>
      <c r="BZ56" s="268">
        <f t="shared" si="187"/>
        <v>0</v>
      </c>
    </row>
    <row r="57" spans="1:78" s="9" customFormat="1" x14ac:dyDescent="0.2">
      <c r="A57" s="58"/>
      <c r="B57" s="8" t="s">
        <v>275</v>
      </c>
      <c r="C57" s="186">
        <v>1620</v>
      </c>
      <c r="D57" s="11">
        <v>1620</v>
      </c>
      <c r="E57" s="11">
        <v>1620</v>
      </c>
      <c r="F57" s="11">
        <v>0</v>
      </c>
      <c r="G57" s="11">
        <v>0</v>
      </c>
      <c r="H57" s="11">
        <v>0</v>
      </c>
      <c r="I57" s="11">
        <v>0</v>
      </c>
      <c r="J57" s="186"/>
      <c r="K57" s="186"/>
      <c r="L57" s="186"/>
      <c r="M57" s="186"/>
      <c r="N57" s="186"/>
      <c r="O57" s="186"/>
      <c r="P57" s="186"/>
      <c r="Q57" s="11"/>
      <c r="R57" s="11"/>
      <c r="S57" s="11"/>
      <c r="T57" s="11"/>
      <c r="U57" s="11"/>
      <c r="V57" s="11"/>
      <c r="W57" s="186"/>
      <c r="X57" s="11"/>
      <c r="Y57" s="11"/>
      <c r="Z57" s="11"/>
      <c r="AA57" s="11"/>
      <c r="AB57" s="11"/>
      <c r="AC57" s="11"/>
      <c r="AD57" s="186"/>
      <c r="AE57" s="11"/>
      <c r="AF57" s="11"/>
      <c r="AG57" s="11"/>
      <c r="AH57" s="11"/>
      <c r="AI57" s="11"/>
      <c r="AJ57" s="11"/>
      <c r="AK57" s="186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86"/>
      <c r="BG57" s="11"/>
      <c r="BH57" s="11"/>
      <c r="BI57" s="11"/>
      <c r="BJ57" s="11"/>
      <c r="BK57" s="11"/>
      <c r="BL57" s="11"/>
      <c r="BM57" s="186"/>
      <c r="BN57" s="11"/>
      <c r="BO57" s="11"/>
      <c r="BP57" s="11"/>
      <c r="BQ57" s="11"/>
      <c r="BR57" s="11"/>
      <c r="BS57" s="11"/>
      <c r="BT57" s="645">
        <f t="shared" si="80"/>
        <v>1620</v>
      </c>
      <c r="BU57" s="268">
        <f t="shared" si="81"/>
        <v>1620</v>
      </c>
      <c r="BV57" s="268">
        <f t="shared" si="82"/>
        <v>1620</v>
      </c>
      <c r="BW57" s="268">
        <f t="shared" si="83"/>
        <v>0</v>
      </c>
      <c r="BX57" s="268">
        <f t="shared" si="84"/>
        <v>0</v>
      </c>
      <c r="BY57" s="268">
        <f t="shared" si="187"/>
        <v>0</v>
      </c>
      <c r="BZ57" s="268">
        <f t="shared" si="187"/>
        <v>0</v>
      </c>
    </row>
    <row r="58" spans="1:78" s="9" customFormat="1" x14ac:dyDescent="0.2">
      <c r="A58" s="58"/>
      <c r="B58" s="8" t="s">
        <v>1069</v>
      </c>
      <c r="C58" s="186">
        <v>3480</v>
      </c>
      <c r="D58" s="11">
        <v>3000</v>
      </c>
      <c r="E58" s="11">
        <v>3000</v>
      </c>
      <c r="F58" s="11">
        <v>0</v>
      </c>
      <c r="G58" s="11">
        <v>0</v>
      </c>
      <c r="H58" s="11">
        <v>0</v>
      </c>
      <c r="I58" s="11">
        <v>0</v>
      </c>
      <c r="J58" s="186"/>
      <c r="K58" s="186"/>
      <c r="L58" s="186"/>
      <c r="M58" s="186"/>
      <c r="N58" s="186"/>
      <c r="O58" s="186"/>
      <c r="P58" s="186"/>
      <c r="Q58" s="11"/>
      <c r="R58" s="11"/>
      <c r="S58" s="11"/>
      <c r="T58" s="11"/>
      <c r="U58" s="11"/>
      <c r="V58" s="11"/>
      <c r="W58" s="186"/>
      <c r="X58" s="11"/>
      <c r="Y58" s="11"/>
      <c r="Z58" s="11"/>
      <c r="AA58" s="11"/>
      <c r="AB58" s="11"/>
      <c r="AC58" s="11"/>
      <c r="AD58" s="186"/>
      <c r="AE58" s="11"/>
      <c r="AF58" s="11"/>
      <c r="AG58" s="11"/>
      <c r="AH58" s="11"/>
      <c r="AI58" s="11"/>
      <c r="AJ58" s="11"/>
      <c r="AK58" s="186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86"/>
      <c r="BG58" s="11"/>
      <c r="BH58" s="11"/>
      <c r="BI58" s="11"/>
      <c r="BJ58" s="11"/>
      <c r="BK58" s="11"/>
      <c r="BL58" s="11"/>
      <c r="BM58" s="186"/>
      <c r="BN58" s="11"/>
      <c r="BO58" s="11"/>
      <c r="BP58" s="11"/>
      <c r="BQ58" s="11"/>
      <c r="BR58" s="11"/>
      <c r="BS58" s="11"/>
      <c r="BT58" s="645">
        <f t="shared" si="80"/>
        <v>3480</v>
      </c>
      <c r="BU58" s="268">
        <f t="shared" si="81"/>
        <v>3000</v>
      </c>
      <c r="BV58" s="268">
        <f t="shared" si="82"/>
        <v>3000</v>
      </c>
      <c r="BW58" s="268">
        <f t="shared" si="83"/>
        <v>0</v>
      </c>
      <c r="BX58" s="268">
        <f t="shared" si="84"/>
        <v>0</v>
      </c>
      <c r="BY58" s="268">
        <f t="shared" si="187"/>
        <v>0</v>
      </c>
      <c r="BZ58" s="268">
        <f t="shared" si="187"/>
        <v>0</v>
      </c>
    </row>
    <row r="59" spans="1:78" s="9" customFormat="1" x14ac:dyDescent="0.2">
      <c r="A59" s="58"/>
      <c r="B59" s="8" t="s">
        <v>286</v>
      </c>
      <c r="C59" s="186">
        <v>2940</v>
      </c>
      <c r="D59" s="11">
        <f>3500+1075</f>
        <v>4575</v>
      </c>
      <c r="E59" s="11">
        <f>3500+1075</f>
        <v>4575</v>
      </c>
      <c r="F59" s="11">
        <v>0</v>
      </c>
      <c r="G59" s="11">
        <v>0</v>
      </c>
      <c r="H59" s="11">
        <v>0</v>
      </c>
      <c r="I59" s="11">
        <v>0</v>
      </c>
      <c r="J59" s="186"/>
      <c r="K59" s="186"/>
      <c r="L59" s="186"/>
      <c r="M59" s="186"/>
      <c r="N59" s="186"/>
      <c r="O59" s="186"/>
      <c r="P59" s="186"/>
      <c r="Q59" s="11"/>
      <c r="R59" s="11"/>
      <c r="S59" s="11"/>
      <c r="T59" s="11"/>
      <c r="U59" s="11"/>
      <c r="V59" s="11"/>
      <c r="W59" s="186"/>
      <c r="X59" s="11"/>
      <c r="Y59" s="11"/>
      <c r="Z59" s="11"/>
      <c r="AA59" s="11"/>
      <c r="AB59" s="11"/>
      <c r="AC59" s="11"/>
      <c r="AD59" s="186"/>
      <c r="AE59" s="11"/>
      <c r="AF59" s="11"/>
      <c r="AG59" s="11"/>
      <c r="AH59" s="11"/>
      <c r="AI59" s="11"/>
      <c r="AJ59" s="11"/>
      <c r="AK59" s="186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86"/>
      <c r="BG59" s="11"/>
      <c r="BH59" s="11"/>
      <c r="BI59" s="11"/>
      <c r="BJ59" s="11"/>
      <c r="BK59" s="11"/>
      <c r="BL59" s="11"/>
      <c r="BM59" s="186"/>
      <c r="BN59" s="11"/>
      <c r="BO59" s="11"/>
      <c r="BP59" s="11"/>
      <c r="BQ59" s="11"/>
      <c r="BR59" s="11"/>
      <c r="BS59" s="11"/>
      <c r="BT59" s="645">
        <f t="shared" si="80"/>
        <v>2940</v>
      </c>
      <c r="BU59" s="268">
        <f t="shared" si="81"/>
        <v>4575</v>
      </c>
      <c r="BV59" s="268">
        <f t="shared" si="82"/>
        <v>4575</v>
      </c>
      <c r="BW59" s="268">
        <f t="shared" si="83"/>
        <v>0</v>
      </c>
      <c r="BX59" s="268">
        <f t="shared" si="84"/>
        <v>0</v>
      </c>
      <c r="BY59" s="268">
        <f t="shared" si="187"/>
        <v>0</v>
      </c>
      <c r="BZ59" s="268">
        <f t="shared" si="187"/>
        <v>0</v>
      </c>
    </row>
    <row r="60" spans="1:78" s="9" customFormat="1" x14ac:dyDescent="0.2">
      <c r="A60" s="58"/>
      <c r="B60" s="8" t="s">
        <v>462</v>
      </c>
      <c r="C60" s="186">
        <v>3811</v>
      </c>
      <c r="D60" s="11">
        <v>3500</v>
      </c>
      <c r="E60" s="11">
        <v>3500</v>
      </c>
      <c r="F60" s="11">
        <v>0</v>
      </c>
      <c r="G60" s="11">
        <v>0</v>
      </c>
      <c r="H60" s="11">
        <v>0</v>
      </c>
      <c r="I60" s="11">
        <v>0</v>
      </c>
      <c r="J60" s="186"/>
      <c r="K60" s="186"/>
      <c r="L60" s="186"/>
      <c r="M60" s="186"/>
      <c r="N60" s="186"/>
      <c r="O60" s="186"/>
      <c r="P60" s="186"/>
      <c r="Q60" s="11"/>
      <c r="R60" s="11"/>
      <c r="S60" s="11"/>
      <c r="T60" s="11"/>
      <c r="U60" s="11"/>
      <c r="V60" s="11"/>
      <c r="W60" s="186"/>
      <c r="X60" s="11"/>
      <c r="Y60" s="11"/>
      <c r="Z60" s="11"/>
      <c r="AA60" s="11"/>
      <c r="AB60" s="11"/>
      <c r="AC60" s="11"/>
      <c r="AD60" s="186"/>
      <c r="AE60" s="11"/>
      <c r="AF60" s="11"/>
      <c r="AG60" s="11"/>
      <c r="AH60" s="11"/>
      <c r="AI60" s="11"/>
      <c r="AJ60" s="11"/>
      <c r="AK60" s="186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86"/>
      <c r="BG60" s="11"/>
      <c r="BH60" s="11"/>
      <c r="BI60" s="11"/>
      <c r="BJ60" s="11"/>
      <c r="BK60" s="11"/>
      <c r="BL60" s="11"/>
      <c r="BM60" s="186"/>
      <c r="BN60" s="11"/>
      <c r="BO60" s="11"/>
      <c r="BP60" s="11"/>
      <c r="BQ60" s="11"/>
      <c r="BR60" s="11"/>
      <c r="BS60" s="11"/>
      <c r="BT60" s="645">
        <f t="shared" si="80"/>
        <v>3811</v>
      </c>
      <c r="BU60" s="268">
        <f t="shared" si="81"/>
        <v>3500</v>
      </c>
      <c r="BV60" s="268">
        <f t="shared" si="82"/>
        <v>3500</v>
      </c>
      <c r="BW60" s="268">
        <f t="shared" si="83"/>
        <v>0</v>
      </c>
      <c r="BX60" s="268">
        <f t="shared" si="84"/>
        <v>0</v>
      </c>
      <c r="BY60" s="268">
        <f t="shared" si="187"/>
        <v>0</v>
      </c>
      <c r="BZ60" s="268">
        <f t="shared" si="187"/>
        <v>0</v>
      </c>
    </row>
    <row r="61" spans="1:78" s="9" customFormat="1" x14ac:dyDescent="0.2">
      <c r="A61" s="58"/>
      <c r="B61" s="8" t="s">
        <v>284</v>
      </c>
      <c r="C61" s="217"/>
      <c r="D61" s="8"/>
      <c r="E61" s="8"/>
      <c r="F61" s="8"/>
      <c r="G61" s="8"/>
      <c r="H61" s="8"/>
      <c r="I61" s="8"/>
      <c r="J61" s="11"/>
      <c r="K61" s="11"/>
      <c r="L61" s="11"/>
      <c r="M61" s="186"/>
      <c r="N61" s="186"/>
      <c r="O61" s="186"/>
      <c r="P61" s="217"/>
      <c r="Q61" s="11"/>
      <c r="R61" s="11"/>
      <c r="S61" s="11"/>
      <c r="T61" s="11"/>
      <c r="U61" s="11"/>
      <c r="V61" s="11"/>
      <c r="W61" s="217"/>
      <c r="X61" s="11"/>
      <c r="Y61" s="11"/>
      <c r="Z61" s="11"/>
      <c r="AA61" s="11"/>
      <c r="AB61" s="11"/>
      <c r="AC61" s="11"/>
      <c r="AD61" s="217"/>
      <c r="AE61" s="11"/>
      <c r="AF61" s="11"/>
      <c r="AG61" s="11"/>
      <c r="AH61" s="11"/>
      <c r="AI61" s="11"/>
      <c r="AJ61" s="11"/>
      <c r="AK61" s="217">
        <v>0</v>
      </c>
      <c r="AL61" s="11">
        <v>0</v>
      </c>
      <c r="AM61" s="11">
        <v>2</v>
      </c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86">
        <v>104</v>
      </c>
      <c r="BG61" s="11">
        <v>150</v>
      </c>
      <c r="BH61" s="11">
        <f>150-2-84</f>
        <v>64</v>
      </c>
      <c r="BI61" s="11">
        <v>0</v>
      </c>
      <c r="BJ61" s="11">
        <v>0</v>
      </c>
      <c r="BK61" s="11">
        <v>0</v>
      </c>
      <c r="BL61" s="11">
        <v>0</v>
      </c>
      <c r="BM61" s="217"/>
      <c r="BN61" s="11"/>
      <c r="BO61" s="11"/>
      <c r="BP61" s="11"/>
      <c r="BQ61" s="11"/>
      <c r="BR61" s="11"/>
      <c r="BS61" s="11"/>
      <c r="BT61" s="645">
        <f t="shared" si="80"/>
        <v>104</v>
      </c>
      <c r="BU61" s="268">
        <f t="shared" si="81"/>
        <v>150</v>
      </c>
      <c r="BV61" s="268">
        <f t="shared" si="82"/>
        <v>66</v>
      </c>
      <c r="BW61" s="268">
        <f t="shared" si="83"/>
        <v>0</v>
      </c>
      <c r="BX61" s="268">
        <f t="shared" si="84"/>
        <v>0</v>
      </c>
      <c r="BY61" s="268">
        <f t="shared" si="187"/>
        <v>0</v>
      </c>
      <c r="BZ61" s="268">
        <f t="shared" si="187"/>
        <v>0</v>
      </c>
    </row>
    <row r="62" spans="1:78" s="9" customFormat="1" x14ac:dyDescent="0.2">
      <c r="A62" s="58"/>
      <c r="B62" s="8" t="s">
        <v>743</v>
      </c>
      <c r="C62" s="217"/>
      <c r="D62" s="8"/>
      <c r="E62" s="8"/>
      <c r="F62" s="8"/>
      <c r="G62" s="8"/>
      <c r="H62" s="8"/>
      <c r="I62" s="8"/>
      <c r="J62" s="186"/>
      <c r="K62" s="186"/>
      <c r="L62" s="186"/>
      <c r="M62" s="186"/>
      <c r="N62" s="186"/>
      <c r="O62" s="186"/>
      <c r="P62" s="217"/>
      <c r="Q62" s="11"/>
      <c r="R62" s="11"/>
      <c r="S62" s="11"/>
      <c r="T62" s="11"/>
      <c r="U62" s="11"/>
      <c r="V62" s="11"/>
      <c r="W62" s="217"/>
      <c r="X62" s="11"/>
      <c r="Y62" s="11"/>
      <c r="Z62" s="11"/>
      <c r="AA62" s="11"/>
      <c r="AB62" s="11"/>
      <c r="AC62" s="11"/>
      <c r="AD62" s="217"/>
      <c r="AE62" s="11"/>
      <c r="AF62" s="11"/>
      <c r="AG62" s="11"/>
      <c r="AH62" s="11"/>
      <c r="AI62" s="11"/>
      <c r="AJ62" s="11"/>
      <c r="AK62" s="217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86">
        <v>2295</v>
      </c>
      <c r="BG62" s="11">
        <f>1435</f>
        <v>1435</v>
      </c>
      <c r="BH62" s="11">
        <f>1435</f>
        <v>1435</v>
      </c>
      <c r="BI62" s="11">
        <v>0</v>
      </c>
      <c r="BJ62" s="11">
        <v>0</v>
      </c>
      <c r="BK62" s="11">
        <v>0</v>
      </c>
      <c r="BL62" s="11">
        <v>0</v>
      </c>
      <c r="BM62" s="217"/>
      <c r="BN62" s="11"/>
      <c r="BO62" s="11"/>
      <c r="BP62" s="11"/>
      <c r="BQ62" s="11"/>
      <c r="BR62" s="11"/>
      <c r="BS62" s="11"/>
      <c r="BT62" s="645">
        <f t="shared" si="80"/>
        <v>2295</v>
      </c>
      <c r="BU62" s="268">
        <f t="shared" si="81"/>
        <v>1435</v>
      </c>
      <c r="BV62" s="268">
        <f t="shared" si="82"/>
        <v>1435</v>
      </c>
      <c r="BW62" s="268">
        <f t="shared" si="83"/>
        <v>0</v>
      </c>
      <c r="BX62" s="268">
        <f t="shared" si="84"/>
        <v>0</v>
      </c>
      <c r="BY62" s="268">
        <f t="shared" si="187"/>
        <v>0</v>
      </c>
      <c r="BZ62" s="268">
        <f t="shared" si="187"/>
        <v>0</v>
      </c>
    </row>
    <row r="63" spans="1:78" s="9" customFormat="1" x14ac:dyDescent="0.2">
      <c r="A63" s="58"/>
      <c r="B63" s="8" t="s">
        <v>463</v>
      </c>
      <c r="C63" s="217"/>
      <c r="D63" s="8"/>
      <c r="E63" s="8"/>
      <c r="F63" s="8"/>
      <c r="G63" s="8"/>
      <c r="H63" s="8"/>
      <c r="I63" s="8"/>
      <c r="J63" s="186"/>
      <c r="K63" s="186"/>
      <c r="L63" s="186"/>
      <c r="M63" s="186"/>
      <c r="N63" s="186"/>
      <c r="O63" s="186"/>
      <c r="P63" s="217"/>
      <c r="Q63" s="11"/>
      <c r="R63" s="11"/>
      <c r="S63" s="11"/>
      <c r="T63" s="11"/>
      <c r="U63" s="11"/>
      <c r="V63" s="11"/>
      <c r="W63" s="217"/>
      <c r="X63" s="11"/>
      <c r="Y63" s="11"/>
      <c r="Z63" s="11"/>
      <c r="AA63" s="11"/>
      <c r="AB63" s="11"/>
      <c r="AC63" s="11"/>
      <c r="AD63" s="217"/>
      <c r="AE63" s="11"/>
      <c r="AF63" s="11"/>
      <c r="AG63" s="11"/>
      <c r="AH63" s="11"/>
      <c r="AI63" s="11"/>
      <c r="AJ63" s="11"/>
      <c r="AK63" s="217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86">
        <v>2574</v>
      </c>
      <c r="BG63" s="11">
        <v>3500</v>
      </c>
      <c r="BH63" s="11">
        <f>3500-300</f>
        <v>3200</v>
      </c>
      <c r="BI63" s="11">
        <v>0</v>
      </c>
      <c r="BJ63" s="11">
        <v>0</v>
      </c>
      <c r="BK63" s="11">
        <v>0</v>
      </c>
      <c r="BL63" s="11">
        <v>0</v>
      </c>
      <c r="BM63" s="217"/>
      <c r="BN63" s="11"/>
      <c r="BO63" s="11"/>
      <c r="BP63" s="11"/>
      <c r="BQ63" s="11"/>
      <c r="BR63" s="11"/>
      <c r="BS63" s="11"/>
      <c r="BT63" s="645">
        <f t="shared" si="80"/>
        <v>2574</v>
      </c>
      <c r="BU63" s="268">
        <f t="shared" si="81"/>
        <v>3500</v>
      </c>
      <c r="BV63" s="268">
        <f t="shared" si="82"/>
        <v>3200</v>
      </c>
      <c r="BW63" s="268">
        <f t="shared" si="83"/>
        <v>0</v>
      </c>
      <c r="BX63" s="268">
        <f t="shared" si="84"/>
        <v>0</v>
      </c>
      <c r="BY63" s="268">
        <f t="shared" si="187"/>
        <v>0</v>
      </c>
      <c r="BZ63" s="268">
        <f t="shared" si="187"/>
        <v>0</v>
      </c>
    </row>
    <row r="64" spans="1:78" s="9" customFormat="1" x14ac:dyDescent="0.2">
      <c r="A64" s="58"/>
      <c r="B64" s="8" t="s">
        <v>362</v>
      </c>
      <c r="C64" s="217"/>
      <c r="D64" s="8"/>
      <c r="E64" s="8"/>
      <c r="F64" s="8"/>
      <c r="G64" s="8"/>
      <c r="H64" s="8"/>
      <c r="I64" s="8"/>
      <c r="J64" s="186"/>
      <c r="K64" s="186"/>
      <c r="L64" s="186"/>
      <c r="M64" s="186"/>
      <c r="N64" s="186"/>
      <c r="O64" s="186"/>
      <c r="P64" s="217"/>
      <c r="Q64" s="11"/>
      <c r="R64" s="11"/>
      <c r="S64" s="11"/>
      <c r="T64" s="11"/>
      <c r="U64" s="11"/>
      <c r="V64" s="11"/>
      <c r="W64" s="217"/>
      <c r="X64" s="11"/>
      <c r="Y64" s="11"/>
      <c r="Z64" s="11"/>
      <c r="AA64" s="11"/>
      <c r="AB64" s="11"/>
      <c r="AC64" s="11"/>
      <c r="AD64" s="217"/>
      <c r="AE64" s="11"/>
      <c r="AF64" s="11"/>
      <c r="AG64" s="11"/>
      <c r="AH64" s="11"/>
      <c r="AI64" s="11"/>
      <c r="AJ64" s="11"/>
      <c r="AK64" s="217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86">
        <v>10261</v>
      </c>
      <c r="BG64" s="11">
        <v>8488</v>
      </c>
      <c r="BH64" s="11">
        <v>8488</v>
      </c>
      <c r="BI64" s="11">
        <v>0</v>
      </c>
      <c r="BJ64" s="11">
        <v>0</v>
      </c>
      <c r="BK64" s="11">
        <v>0</v>
      </c>
      <c r="BL64" s="11">
        <v>0</v>
      </c>
      <c r="BM64" s="217"/>
      <c r="BN64" s="11"/>
      <c r="BO64" s="11"/>
      <c r="BP64" s="11"/>
      <c r="BQ64" s="11"/>
      <c r="BR64" s="11"/>
      <c r="BS64" s="11"/>
      <c r="BT64" s="645">
        <f t="shared" si="80"/>
        <v>10261</v>
      </c>
      <c r="BU64" s="268">
        <f t="shared" si="81"/>
        <v>8488</v>
      </c>
      <c r="BV64" s="268">
        <f t="shared" si="82"/>
        <v>8488</v>
      </c>
      <c r="BW64" s="268">
        <f t="shared" si="83"/>
        <v>0</v>
      </c>
      <c r="BX64" s="268">
        <f t="shared" si="84"/>
        <v>0</v>
      </c>
      <c r="BY64" s="268">
        <f t="shared" si="187"/>
        <v>0</v>
      </c>
      <c r="BZ64" s="268">
        <f t="shared" si="187"/>
        <v>0</v>
      </c>
    </row>
    <row r="65" spans="1:78" s="9" customFormat="1" ht="13.5" customHeight="1" x14ac:dyDescent="0.2">
      <c r="A65" s="58"/>
      <c r="B65" s="8" t="s">
        <v>277</v>
      </c>
      <c r="C65" s="217"/>
      <c r="D65" s="8"/>
      <c r="E65" s="8"/>
      <c r="F65" s="8"/>
      <c r="G65" s="8"/>
      <c r="H65" s="8"/>
      <c r="I65" s="8"/>
      <c r="J65" s="186"/>
      <c r="K65" s="186"/>
      <c r="L65" s="186"/>
      <c r="M65" s="186"/>
      <c r="N65" s="186"/>
      <c r="O65" s="186"/>
      <c r="P65" s="217"/>
      <c r="Q65" s="11"/>
      <c r="R65" s="11"/>
      <c r="S65" s="11"/>
      <c r="T65" s="11"/>
      <c r="U65" s="11"/>
      <c r="V65" s="11"/>
      <c r="W65" s="217"/>
      <c r="X65" s="11"/>
      <c r="Y65" s="11"/>
      <c r="Z65" s="11"/>
      <c r="AA65" s="11"/>
      <c r="AB65" s="11"/>
      <c r="AC65" s="11"/>
      <c r="AD65" s="217"/>
      <c r="AE65" s="11"/>
      <c r="AF65" s="11"/>
      <c r="AG65" s="11"/>
      <c r="AH65" s="11"/>
      <c r="AI65" s="11"/>
      <c r="AJ65" s="11"/>
      <c r="AK65" s="217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86">
        <v>999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217"/>
      <c r="BN65" s="11"/>
      <c r="BO65" s="11"/>
      <c r="BP65" s="11"/>
      <c r="BQ65" s="11"/>
      <c r="BR65" s="11"/>
      <c r="BS65" s="11"/>
      <c r="BT65" s="645">
        <f t="shared" si="80"/>
        <v>999</v>
      </c>
      <c r="BU65" s="268">
        <f t="shared" si="81"/>
        <v>0</v>
      </c>
      <c r="BV65" s="268">
        <f t="shared" si="82"/>
        <v>0</v>
      </c>
      <c r="BW65" s="268">
        <f t="shared" si="83"/>
        <v>0</v>
      </c>
      <c r="BX65" s="268">
        <f t="shared" si="84"/>
        <v>0</v>
      </c>
      <c r="BY65" s="268">
        <f t="shared" si="187"/>
        <v>0</v>
      </c>
      <c r="BZ65" s="268">
        <f t="shared" si="187"/>
        <v>0</v>
      </c>
    </row>
    <row r="66" spans="1:78" s="9" customFormat="1" ht="13.5" customHeight="1" x14ac:dyDescent="0.2">
      <c r="A66" s="58"/>
      <c r="B66" s="8" t="s">
        <v>548</v>
      </c>
      <c r="C66" s="217"/>
      <c r="D66" s="8"/>
      <c r="E66" s="8"/>
      <c r="F66" s="8"/>
      <c r="G66" s="8"/>
      <c r="H66" s="8"/>
      <c r="I66" s="8"/>
      <c r="J66" s="186"/>
      <c r="K66" s="186"/>
      <c r="L66" s="186"/>
      <c r="M66" s="186"/>
      <c r="N66" s="186"/>
      <c r="O66" s="186"/>
      <c r="P66" s="217"/>
      <c r="Q66" s="11"/>
      <c r="R66" s="11"/>
      <c r="S66" s="11"/>
      <c r="T66" s="11"/>
      <c r="U66" s="11"/>
      <c r="V66" s="11"/>
      <c r="W66" s="217"/>
      <c r="X66" s="11"/>
      <c r="Y66" s="11"/>
      <c r="Z66" s="11"/>
      <c r="AA66" s="11"/>
      <c r="AB66" s="11"/>
      <c r="AC66" s="11"/>
      <c r="AD66" s="217"/>
      <c r="AE66" s="11"/>
      <c r="AF66" s="11"/>
      <c r="AG66" s="11"/>
      <c r="AH66" s="11"/>
      <c r="AI66" s="11"/>
      <c r="AJ66" s="11"/>
      <c r="AK66" s="217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217"/>
      <c r="BG66" s="11"/>
      <c r="BH66" s="11"/>
      <c r="BI66" s="11"/>
      <c r="BJ66" s="11"/>
      <c r="BK66" s="11"/>
      <c r="BL66" s="11"/>
      <c r="BM66" s="186">
        <v>5310</v>
      </c>
      <c r="BN66" s="11">
        <v>5638</v>
      </c>
      <c r="BO66" s="11">
        <v>5638</v>
      </c>
      <c r="BP66" s="11">
        <v>0</v>
      </c>
      <c r="BQ66" s="11">
        <v>0</v>
      </c>
      <c r="BR66" s="11">
        <v>0</v>
      </c>
      <c r="BS66" s="11">
        <v>0</v>
      </c>
      <c r="BT66" s="645">
        <f t="shared" si="80"/>
        <v>5310</v>
      </c>
      <c r="BU66" s="268">
        <f t="shared" si="81"/>
        <v>5638</v>
      </c>
      <c r="BV66" s="268">
        <f t="shared" si="82"/>
        <v>5638</v>
      </c>
      <c r="BW66" s="268">
        <f t="shared" si="83"/>
        <v>0</v>
      </c>
      <c r="BX66" s="268">
        <f t="shared" si="84"/>
        <v>0</v>
      </c>
      <c r="BY66" s="268">
        <f t="shared" si="187"/>
        <v>0</v>
      </c>
      <c r="BZ66" s="268">
        <f t="shared" si="187"/>
        <v>0</v>
      </c>
    </row>
    <row r="67" spans="1:78" s="9" customFormat="1" ht="13.5" customHeight="1" x14ac:dyDescent="0.2">
      <c r="A67" s="58"/>
      <c r="B67" s="8" t="s">
        <v>716</v>
      </c>
      <c r="C67" s="186">
        <f t="shared" ref="C67:E67" si="188">700+5</f>
        <v>705</v>
      </c>
      <c r="D67" s="11">
        <f t="shared" si="188"/>
        <v>705</v>
      </c>
      <c r="E67" s="11">
        <f t="shared" si="188"/>
        <v>705</v>
      </c>
      <c r="F67" s="11">
        <v>0</v>
      </c>
      <c r="G67" s="11">
        <v>0</v>
      </c>
      <c r="H67" s="11">
        <v>0</v>
      </c>
      <c r="I67" s="11">
        <v>0</v>
      </c>
      <c r="J67" s="186"/>
      <c r="K67" s="186"/>
      <c r="L67" s="186"/>
      <c r="M67" s="186"/>
      <c r="N67" s="186"/>
      <c r="O67" s="186"/>
      <c r="P67" s="186"/>
      <c r="Q67" s="11"/>
      <c r="R67" s="11"/>
      <c r="S67" s="11"/>
      <c r="T67" s="11"/>
      <c r="U67" s="11"/>
      <c r="V67" s="11"/>
      <c r="W67" s="186"/>
      <c r="X67" s="11"/>
      <c r="Y67" s="11"/>
      <c r="Z67" s="11"/>
      <c r="AA67" s="11"/>
      <c r="AB67" s="11"/>
      <c r="AC67" s="11"/>
      <c r="AD67" s="186"/>
      <c r="AE67" s="11"/>
      <c r="AF67" s="11"/>
      <c r="AG67" s="11"/>
      <c r="AH67" s="11"/>
      <c r="AI67" s="11"/>
      <c r="AJ67" s="11"/>
      <c r="AK67" s="186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86"/>
      <c r="BG67" s="11"/>
      <c r="BH67" s="11"/>
      <c r="BI67" s="11"/>
      <c r="BJ67" s="11"/>
      <c r="BK67" s="11"/>
      <c r="BL67" s="11"/>
      <c r="BM67" s="186"/>
      <c r="BN67" s="11"/>
      <c r="BO67" s="11"/>
      <c r="BP67" s="11"/>
      <c r="BQ67" s="11"/>
      <c r="BR67" s="11"/>
      <c r="BS67" s="11"/>
      <c r="BT67" s="645">
        <f t="shared" si="80"/>
        <v>705</v>
      </c>
      <c r="BU67" s="268">
        <f t="shared" ref="BU67:BU102" si="189">D67+K67+Q67+X67+AE67+AL67+AS67+AZ67+BG67+BN67</f>
        <v>705</v>
      </c>
      <c r="BV67" s="268">
        <f t="shared" ref="BV67:BV89" si="190">E67+K67+R67+Y67+AF67+AM67+AT67+BA67+BH67+BO67</f>
        <v>705</v>
      </c>
      <c r="BW67" s="268">
        <f t="shared" ref="BW67:BW89" si="191">F67+L67+S67+Z67+AG67+AN67+AU67+BB67+BI67+BP67</f>
        <v>0</v>
      </c>
      <c r="BX67" s="268">
        <f t="shared" ref="BX67:BX89" si="192">G67+M67+T67+AA67+AH67+AO67+AV67+BC67+BJ67+BQ67</f>
        <v>0</v>
      </c>
      <c r="BY67" s="268">
        <f t="shared" ref="BY67:BZ83" si="193">H67+N67+U67+AB67+AI67+AP67+AW67+BD67+BK67+BR67</f>
        <v>0</v>
      </c>
      <c r="BZ67" s="268">
        <f t="shared" si="193"/>
        <v>0</v>
      </c>
    </row>
    <row r="68" spans="1:78" s="9" customFormat="1" ht="13.5" hidden="1" customHeight="1" x14ac:dyDescent="0.2">
      <c r="A68" s="58"/>
      <c r="B68" s="8"/>
      <c r="C68" s="186"/>
      <c r="D68" s="11"/>
      <c r="E68" s="11"/>
      <c r="F68" s="11"/>
      <c r="G68" s="11"/>
      <c r="H68" s="11"/>
      <c r="I68" s="11"/>
      <c r="J68" s="186"/>
      <c r="K68" s="186"/>
      <c r="L68" s="186"/>
      <c r="M68" s="186"/>
      <c r="N68" s="186"/>
      <c r="O68" s="186"/>
      <c r="P68" s="186"/>
      <c r="Q68" s="11"/>
      <c r="R68" s="11"/>
      <c r="S68" s="11"/>
      <c r="T68" s="11"/>
      <c r="U68" s="11"/>
      <c r="V68" s="11"/>
      <c r="W68" s="186"/>
      <c r="X68" s="11"/>
      <c r="Y68" s="11"/>
      <c r="Z68" s="11"/>
      <c r="AA68" s="11"/>
      <c r="AB68" s="11"/>
      <c r="AC68" s="11"/>
      <c r="AD68" s="186"/>
      <c r="AE68" s="11"/>
      <c r="AF68" s="11"/>
      <c r="AG68" s="11"/>
      <c r="AH68" s="11"/>
      <c r="AI68" s="11"/>
      <c r="AJ68" s="11"/>
      <c r="AK68" s="186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86"/>
      <c r="BG68" s="11"/>
      <c r="BH68" s="11"/>
      <c r="BI68" s="11"/>
      <c r="BJ68" s="11"/>
      <c r="BK68" s="11"/>
      <c r="BL68" s="11"/>
      <c r="BM68" s="186"/>
      <c r="BN68" s="11"/>
      <c r="BO68" s="11"/>
      <c r="BP68" s="11"/>
      <c r="BQ68" s="11"/>
      <c r="BR68" s="11"/>
      <c r="BS68" s="11"/>
      <c r="BT68" s="645">
        <f t="shared" si="80"/>
        <v>0</v>
      </c>
      <c r="BU68" s="268">
        <f t="shared" si="189"/>
        <v>0</v>
      </c>
      <c r="BV68" s="268">
        <f t="shared" si="190"/>
        <v>0</v>
      </c>
      <c r="BW68" s="268">
        <f t="shared" si="191"/>
        <v>0</v>
      </c>
      <c r="BX68" s="268">
        <f t="shared" si="192"/>
        <v>0</v>
      </c>
      <c r="BY68" s="268">
        <f t="shared" si="193"/>
        <v>0</v>
      </c>
      <c r="BZ68" s="268">
        <f t="shared" si="193"/>
        <v>0</v>
      </c>
    </row>
    <row r="69" spans="1:78" s="9" customFormat="1" ht="13.5" customHeight="1" x14ac:dyDescent="0.2">
      <c r="A69" s="58"/>
      <c r="B69" s="19" t="s">
        <v>1070</v>
      </c>
      <c r="C69" s="186">
        <v>6397</v>
      </c>
      <c r="D69" s="11">
        <v>1800</v>
      </c>
      <c r="E69" s="11">
        <v>1800</v>
      </c>
      <c r="F69" s="11">
        <v>0</v>
      </c>
      <c r="G69" s="11">
        <v>0</v>
      </c>
      <c r="H69" s="11">
        <v>0</v>
      </c>
      <c r="I69" s="11">
        <v>0</v>
      </c>
      <c r="J69" s="186"/>
      <c r="K69" s="186"/>
      <c r="L69" s="186"/>
      <c r="M69" s="186"/>
      <c r="N69" s="186"/>
      <c r="O69" s="186"/>
      <c r="P69" s="186"/>
      <c r="Q69" s="11"/>
      <c r="R69" s="11"/>
      <c r="S69" s="11"/>
      <c r="T69" s="11"/>
      <c r="U69" s="11"/>
      <c r="V69" s="11"/>
      <c r="W69" s="186"/>
      <c r="X69" s="11"/>
      <c r="Y69" s="11"/>
      <c r="Z69" s="11"/>
      <c r="AA69" s="11"/>
      <c r="AB69" s="11"/>
      <c r="AC69" s="11"/>
      <c r="AD69" s="186">
        <v>4207</v>
      </c>
      <c r="AE69" s="11">
        <v>6850</v>
      </c>
      <c r="AF69" s="11">
        <f>6850+84+300+235+1500</f>
        <v>8969</v>
      </c>
      <c r="AG69" s="11">
        <v>0</v>
      </c>
      <c r="AH69" s="11">
        <v>0</v>
      </c>
      <c r="AI69" s="11">
        <v>0</v>
      </c>
      <c r="AJ69" s="11">
        <v>0</v>
      </c>
      <c r="AK69" s="186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86">
        <v>561</v>
      </c>
      <c r="BG69" s="11">
        <v>0</v>
      </c>
      <c r="BH69" s="11">
        <v>0</v>
      </c>
      <c r="BI69" s="11">
        <v>0</v>
      </c>
      <c r="BJ69" s="11">
        <v>0</v>
      </c>
      <c r="BK69" s="11">
        <v>0</v>
      </c>
      <c r="BL69" s="11">
        <v>0</v>
      </c>
      <c r="BM69" s="186"/>
      <c r="BN69" s="11"/>
      <c r="BO69" s="11"/>
      <c r="BP69" s="11"/>
      <c r="BQ69" s="11"/>
      <c r="BR69" s="11"/>
      <c r="BS69" s="11"/>
      <c r="BT69" s="645">
        <f>C69+J69+P69+W69+AD69+AK69+AR69+AY69+BF69+BM69</f>
        <v>11165</v>
      </c>
      <c r="BU69" s="268">
        <f>D69+K69+Q69+X69+AE69+AL69+AS69+AZ69+BG69+BN69</f>
        <v>8650</v>
      </c>
      <c r="BV69" s="268">
        <f t="shared" si="190"/>
        <v>10769</v>
      </c>
      <c r="BW69" s="268">
        <f t="shared" si="191"/>
        <v>0</v>
      </c>
      <c r="BX69" s="268">
        <f t="shared" si="192"/>
        <v>0</v>
      </c>
      <c r="BY69" s="268">
        <f t="shared" si="193"/>
        <v>0</v>
      </c>
      <c r="BZ69" s="268">
        <f t="shared" si="193"/>
        <v>0</v>
      </c>
    </row>
    <row r="70" spans="1:78" s="9" customFormat="1" ht="13.5" customHeight="1" x14ac:dyDescent="0.2">
      <c r="A70" s="58"/>
      <c r="B70" s="8" t="s">
        <v>920</v>
      </c>
      <c r="C70" s="186"/>
      <c r="D70" s="11"/>
      <c r="E70" s="11"/>
      <c r="F70" s="11"/>
      <c r="G70" s="11"/>
      <c r="H70" s="11"/>
      <c r="I70" s="11"/>
      <c r="J70" s="186"/>
      <c r="K70" s="186"/>
      <c r="L70" s="186"/>
      <c r="M70" s="186"/>
      <c r="N70" s="186"/>
      <c r="O70" s="186"/>
      <c r="P70" s="186"/>
      <c r="Q70" s="11"/>
      <c r="R70" s="11"/>
      <c r="S70" s="11"/>
      <c r="T70" s="11"/>
      <c r="U70" s="11"/>
      <c r="V70" s="11"/>
      <c r="W70" s="186"/>
      <c r="X70" s="11"/>
      <c r="Y70" s="11"/>
      <c r="Z70" s="11"/>
      <c r="AA70" s="11"/>
      <c r="AB70" s="11"/>
      <c r="AC70" s="11"/>
      <c r="AD70" s="186">
        <v>0</v>
      </c>
      <c r="AE70" s="11">
        <v>6000</v>
      </c>
      <c r="AF70" s="11">
        <v>6000</v>
      </c>
      <c r="AG70" s="11">
        <v>0</v>
      </c>
      <c r="AH70" s="11">
        <v>0</v>
      </c>
      <c r="AI70" s="11">
        <v>0</v>
      </c>
      <c r="AJ70" s="11">
        <v>0</v>
      </c>
      <c r="AK70" s="186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86"/>
      <c r="BG70" s="11"/>
      <c r="BH70" s="11"/>
      <c r="BI70" s="11"/>
      <c r="BJ70" s="11"/>
      <c r="BK70" s="11"/>
      <c r="BL70" s="11"/>
      <c r="BM70" s="186"/>
      <c r="BN70" s="11"/>
      <c r="BO70" s="11"/>
      <c r="BP70" s="11"/>
      <c r="BQ70" s="11"/>
      <c r="BR70" s="11"/>
      <c r="BS70" s="11"/>
      <c r="BT70" s="645">
        <f t="shared" ref="BT70:BT102" si="194">C70+J70+P70+W70+AD70+AK70+AR70+AY70+BF70+BM70</f>
        <v>0</v>
      </c>
      <c r="BU70" s="268">
        <f t="shared" si="189"/>
        <v>6000</v>
      </c>
      <c r="BV70" s="268">
        <f t="shared" si="190"/>
        <v>6000</v>
      </c>
      <c r="BW70" s="268">
        <f t="shared" si="191"/>
        <v>0</v>
      </c>
      <c r="BX70" s="268">
        <f t="shared" si="192"/>
        <v>0</v>
      </c>
      <c r="BY70" s="268">
        <f t="shared" si="193"/>
        <v>0</v>
      </c>
      <c r="BZ70" s="268">
        <f t="shared" si="193"/>
        <v>0</v>
      </c>
    </row>
    <row r="71" spans="1:78" s="9" customFormat="1" ht="13.5" customHeight="1" x14ac:dyDescent="0.2">
      <c r="A71" s="58"/>
      <c r="B71" s="754" t="s">
        <v>1247</v>
      </c>
      <c r="C71" s="186"/>
      <c r="D71" s="11"/>
      <c r="E71" s="11"/>
      <c r="F71" s="11"/>
      <c r="G71" s="11"/>
      <c r="H71" s="11"/>
      <c r="I71" s="11"/>
      <c r="J71" s="186"/>
      <c r="K71" s="186"/>
      <c r="L71" s="186"/>
      <c r="M71" s="186"/>
      <c r="N71" s="186"/>
      <c r="O71" s="186"/>
      <c r="P71" s="186"/>
      <c r="Q71" s="11"/>
      <c r="R71" s="11"/>
      <c r="S71" s="11"/>
      <c r="T71" s="11"/>
      <c r="U71" s="11"/>
      <c r="V71" s="11"/>
      <c r="W71" s="186"/>
      <c r="X71" s="11"/>
      <c r="Y71" s="11"/>
      <c r="Z71" s="11"/>
      <c r="AA71" s="11"/>
      <c r="AB71" s="11"/>
      <c r="AC71" s="11"/>
      <c r="AD71" s="186">
        <v>0</v>
      </c>
      <c r="AE71" s="11">
        <v>0</v>
      </c>
      <c r="AF71" s="11">
        <v>2228</v>
      </c>
      <c r="AG71" s="11"/>
      <c r="AH71" s="11"/>
      <c r="AI71" s="11"/>
      <c r="AJ71" s="11"/>
      <c r="AK71" s="186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86"/>
      <c r="BG71" s="11"/>
      <c r="BH71" s="11"/>
      <c r="BI71" s="11"/>
      <c r="BJ71" s="11"/>
      <c r="BK71" s="11"/>
      <c r="BL71" s="11"/>
      <c r="BM71" s="186"/>
      <c r="BN71" s="11"/>
      <c r="BO71" s="11"/>
      <c r="BP71" s="11"/>
      <c r="BQ71" s="11"/>
      <c r="BR71" s="11"/>
      <c r="BS71" s="11"/>
      <c r="BT71" s="645">
        <f t="shared" si="194"/>
        <v>0</v>
      </c>
      <c r="BU71" s="268">
        <f t="shared" si="189"/>
        <v>0</v>
      </c>
      <c r="BV71" s="268">
        <f t="shared" si="190"/>
        <v>2228</v>
      </c>
      <c r="BW71" s="268">
        <f t="shared" si="191"/>
        <v>0</v>
      </c>
      <c r="BX71" s="268">
        <f t="shared" si="192"/>
        <v>0</v>
      </c>
      <c r="BY71" s="268">
        <f t="shared" si="193"/>
        <v>0</v>
      </c>
      <c r="BZ71" s="268">
        <f t="shared" si="193"/>
        <v>0</v>
      </c>
    </row>
    <row r="72" spans="1:78" s="9" customFormat="1" ht="13.5" customHeight="1" x14ac:dyDescent="0.2">
      <c r="A72" s="58"/>
      <c r="B72" s="19" t="s">
        <v>1248</v>
      </c>
      <c r="C72" s="186"/>
      <c r="D72" s="11"/>
      <c r="E72" s="11"/>
      <c r="F72" s="11"/>
      <c r="G72" s="11"/>
      <c r="H72" s="11"/>
      <c r="I72" s="11"/>
      <c r="J72" s="186"/>
      <c r="K72" s="186"/>
      <c r="L72" s="186"/>
      <c r="M72" s="186"/>
      <c r="N72" s="186"/>
      <c r="O72" s="186"/>
      <c r="P72" s="186"/>
      <c r="Q72" s="11"/>
      <c r="R72" s="11"/>
      <c r="S72" s="11"/>
      <c r="T72" s="11"/>
      <c r="U72" s="11"/>
      <c r="V72" s="11"/>
      <c r="W72" s="186"/>
      <c r="X72" s="11"/>
      <c r="Y72" s="11"/>
      <c r="Z72" s="11"/>
      <c r="AA72" s="11"/>
      <c r="AB72" s="11"/>
      <c r="AC72" s="11"/>
      <c r="AD72" s="186">
        <v>0</v>
      </c>
      <c r="AE72" s="11">
        <v>0</v>
      </c>
      <c r="AF72" s="11">
        <v>2200</v>
      </c>
      <c r="AG72" s="11"/>
      <c r="AH72" s="11"/>
      <c r="AI72" s="11"/>
      <c r="AJ72" s="11"/>
      <c r="AK72" s="186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86"/>
      <c r="BG72" s="11"/>
      <c r="BH72" s="11"/>
      <c r="BI72" s="11"/>
      <c r="BJ72" s="11"/>
      <c r="BK72" s="11"/>
      <c r="BL72" s="11"/>
      <c r="BM72" s="186"/>
      <c r="BN72" s="11"/>
      <c r="BO72" s="11"/>
      <c r="BP72" s="11"/>
      <c r="BQ72" s="11"/>
      <c r="BR72" s="11"/>
      <c r="BS72" s="11"/>
      <c r="BT72" s="645">
        <f t="shared" si="194"/>
        <v>0</v>
      </c>
      <c r="BU72" s="268">
        <f t="shared" si="189"/>
        <v>0</v>
      </c>
      <c r="BV72" s="268">
        <f t="shared" si="190"/>
        <v>2200</v>
      </c>
      <c r="BW72" s="268">
        <f t="shared" si="191"/>
        <v>0</v>
      </c>
      <c r="BX72" s="268">
        <f t="shared" si="192"/>
        <v>0</v>
      </c>
      <c r="BY72" s="268">
        <f t="shared" si="193"/>
        <v>0</v>
      </c>
      <c r="BZ72" s="268">
        <f t="shared" si="193"/>
        <v>0</v>
      </c>
    </row>
    <row r="73" spans="1:78" s="9" customFormat="1" ht="13.5" customHeight="1" thickBot="1" x14ac:dyDescent="0.25">
      <c r="A73" s="58"/>
      <c r="B73" s="19" t="s">
        <v>1260</v>
      </c>
      <c r="C73" s="186"/>
      <c r="D73" s="11"/>
      <c r="E73" s="11"/>
      <c r="F73" s="11"/>
      <c r="G73" s="11"/>
      <c r="H73" s="11"/>
      <c r="I73" s="11"/>
      <c r="J73" s="186"/>
      <c r="K73" s="186"/>
      <c r="L73" s="186"/>
      <c r="M73" s="186"/>
      <c r="N73" s="186"/>
      <c r="O73" s="186"/>
      <c r="P73" s="186"/>
      <c r="Q73" s="11"/>
      <c r="R73" s="11"/>
      <c r="S73" s="11"/>
      <c r="T73" s="11"/>
      <c r="U73" s="11"/>
      <c r="V73" s="11"/>
      <c r="W73" s="186"/>
      <c r="X73" s="11"/>
      <c r="Y73" s="11"/>
      <c r="Z73" s="11"/>
      <c r="AA73" s="11"/>
      <c r="AB73" s="11"/>
      <c r="AC73" s="11"/>
      <c r="AD73" s="186">
        <v>0</v>
      </c>
      <c r="AE73" s="11">
        <v>0</v>
      </c>
      <c r="AF73" s="11">
        <v>1400</v>
      </c>
      <c r="AG73" s="11"/>
      <c r="AH73" s="11"/>
      <c r="AI73" s="11"/>
      <c r="AJ73" s="11"/>
      <c r="AK73" s="186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86"/>
      <c r="BG73" s="11"/>
      <c r="BH73" s="11"/>
      <c r="BI73" s="11"/>
      <c r="BJ73" s="11"/>
      <c r="BK73" s="11"/>
      <c r="BL73" s="11"/>
      <c r="BM73" s="186"/>
      <c r="BN73" s="11"/>
      <c r="BO73" s="11"/>
      <c r="BP73" s="11"/>
      <c r="BQ73" s="11"/>
      <c r="BR73" s="11"/>
      <c r="BS73" s="11"/>
      <c r="BT73" s="645">
        <f t="shared" si="194"/>
        <v>0</v>
      </c>
      <c r="BU73" s="268">
        <f t="shared" si="189"/>
        <v>0</v>
      </c>
      <c r="BV73" s="268">
        <f t="shared" si="190"/>
        <v>1400</v>
      </c>
      <c r="BW73" s="268"/>
      <c r="BX73" s="268"/>
      <c r="BY73" s="268"/>
      <c r="BZ73" s="268"/>
    </row>
    <row r="74" spans="1:78" s="9" customFormat="1" ht="15.75" hidden="1" customHeight="1" thickBot="1" x14ac:dyDescent="0.25">
      <c r="A74" s="58"/>
      <c r="B74" s="19"/>
      <c r="C74" s="186"/>
      <c r="D74" s="11"/>
      <c r="E74" s="11"/>
      <c r="F74" s="11"/>
      <c r="G74" s="11"/>
      <c r="H74" s="11"/>
      <c r="I74" s="11"/>
      <c r="J74" s="186"/>
      <c r="K74" s="186"/>
      <c r="L74" s="186"/>
      <c r="M74" s="186"/>
      <c r="N74" s="186"/>
      <c r="O74" s="186"/>
      <c r="P74" s="186"/>
      <c r="Q74" s="11"/>
      <c r="R74" s="11"/>
      <c r="S74" s="11"/>
      <c r="T74" s="11"/>
      <c r="U74" s="11"/>
      <c r="V74" s="11"/>
      <c r="W74" s="186"/>
      <c r="X74" s="11"/>
      <c r="Y74" s="11"/>
      <c r="Z74" s="11"/>
      <c r="AA74" s="11"/>
      <c r="AB74" s="11"/>
      <c r="AC74" s="11"/>
      <c r="AD74" s="186"/>
      <c r="AE74" s="11"/>
      <c r="AF74" s="11"/>
      <c r="AG74" s="11"/>
      <c r="AH74" s="11"/>
      <c r="AI74" s="11"/>
      <c r="AJ74" s="11"/>
      <c r="AK74" s="186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86"/>
      <c r="BG74" s="11"/>
      <c r="BH74" s="11"/>
      <c r="BI74" s="11"/>
      <c r="BJ74" s="11"/>
      <c r="BK74" s="11"/>
      <c r="BL74" s="11"/>
      <c r="BM74" s="186"/>
      <c r="BN74" s="11"/>
      <c r="BO74" s="11"/>
      <c r="BP74" s="11"/>
      <c r="BQ74" s="11"/>
      <c r="BR74" s="11"/>
      <c r="BS74" s="11"/>
      <c r="BT74" s="645">
        <f t="shared" si="194"/>
        <v>0</v>
      </c>
      <c r="BU74" s="268">
        <f t="shared" si="189"/>
        <v>0</v>
      </c>
      <c r="BV74" s="268">
        <f t="shared" si="190"/>
        <v>0</v>
      </c>
      <c r="BW74" s="268">
        <f t="shared" si="191"/>
        <v>0</v>
      </c>
      <c r="BX74" s="268">
        <f t="shared" si="192"/>
        <v>0</v>
      </c>
      <c r="BY74" s="268">
        <f t="shared" si="193"/>
        <v>0</v>
      </c>
      <c r="BZ74" s="268">
        <f t="shared" si="193"/>
        <v>0</v>
      </c>
    </row>
    <row r="75" spans="1:78" s="9" customFormat="1" ht="26.25" thickBot="1" x14ac:dyDescent="0.25">
      <c r="A75" s="260"/>
      <c r="B75" s="248" t="s">
        <v>467</v>
      </c>
      <c r="C75" s="186"/>
      <c r="D75" s="11"/>
      <c r="E75" s="11"/>
      <c r="F75" s="11"/>
      <c r="G75" s="11"/>
      <c r="H75" s="11"/>
      <c r="I75" s="11"/>
      <c r="J75" s="709"/>
      <c r="K75" s="709"/>
      <c r="L75" s="709"/>
      <c r="M75" s="709"/>
      <c r="N75" s="709"/>
      <c r="O75" s="709"/>
      <c r="P75" s="186"/>
      <c r="Q75" s="79"/>
      <c r="R75" s="79"/>
      <c r="S75" s="79"/>
      <c r="T75" s="79"/>
      <c r="U75" s="79"/>
      <c r="V75" s="79"/>
      <c r="W75" s="186"/>
      <c r="X75" s="79"/>
      <c r="Y75" s="79"/>
      <c r="Z75" s="79"/>
      <c r="AA75" s="79"/>
      <c r="AB75" s="79"/>
      <c r="AC75" s="79"/>
      <c r="AD75" s="123">
        <v>16273</v>
      </c>
      <c r="AE75" s="710">
        <f>D165</f>
        <v>48668</v>
      </c>
      <c r="AF75" s="710">
        <f>E165</f>
        <v>46333</v>
      </c>
      <c r="AG75" s="710">
        <v>0</v>
      </c>
      <c r="AH75" s="710">
        <v>0</v>
      </c>
      <c r="AI75" s="710">
        <v>0</v>
      </c>
      <c r="AJ75" s="710">
        <v>0</v>
      </c>
      <c r="AK75" s="186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186"/>
      <c r="BG75" s="79"/>
      <c r="BH75" s="79"/>
      <c r="BI75" s="79"/>
      <c r="BJ75" s="79"/>
      <c r="BK75" s="79"/>
      <c r="BL75" s="79"/>
      <c r="BM75" s="186"/>
      <c r="BN75" s="79"/>
      <c r="BO75" s="79"/>
      <c r="BP75" s="79"/>
      <c r="BQ75" s="79"/>
      <c r="BR75" s="79"/>
      <c r="BS75" s="79"/>
      <c r="BT75" s="648">
        <f t="shared" si="194"/>
        <v>16273</v>
      </c>
      <c r="BU75" s="503">
        <f t="shared" si="189"/>
        <v>48668</v>
      </c>
      <c r="BV75" s="503">
        <f t="shared" si="190"/>
        <v>46333</v>
      </c>
      <c r="BW75" s="503">
        <f t="shared" si="191"/>
        <v>0</v>
      </c>
      <c r="BX75" s="503">
        <f t="shared" si="192"/>
        <v>0</v>
      </c>
      <c r="BY75" s="503">
        <f t="shared" si="193"/>
        <v>0</v>
      </c>
      <c r="BZ75" s="503">
        <f t="shared" si="193"/>
        <v>0</v>
      </c>
    </row>
    <row r="76" spans="1:78" s="9" customFormat="1" x14ac:dyDescent="0.2">
      <c r="A76" s="58" t="s">
        <v>445</v>
      </c>
      <c r="B76" s="154" t="s">
        <v>268</v>
      </c>
      <c r="C76" s="628"/>
      <c r="D76" s="78"/>
      <c r="E76" s="78"/>
      <c r="F76" s="78"/>
      <c r="G76" s="78"/>
      <c r="H76" s="78"/>
      <c r="I76" s="78"/>
      <c r="J76" s="186"/>
      <c r="K76" s="186"/>
      <c r="L76" s="186"/>
      <c r="M76" s="186"/>
      <c r="N76" s="186"/>
      <c r="O76" s="186"/>
      <c r="P76" s="628"/>
      <c r="Q76" s="11"/>
      <c r="R76" s="11"/>
      <c r="S76" s="11"/>
      <c r="T76" s="11"/>
      <c r="U76" s="11"/>
      <c r="V76" s="11"/>
      <c r="W76" s="628"/>
      <c r="X76" s="11"/>
      <c r="Y76" s="11"/>
      <c r="Z76" s="11"/>
      <c r="AA76" s="11"/>
      <c r="AB76" s="11"/>
      <c r="AC76" s="11"/>
      <c r="AD76" s="628"/>
      <c r="AE76" s="11"/>
      <c r="AF76" s="11"/>
      <c r="AG76" s="11"/>
      <c r="AH76" s="11"/>
      <c r="AI76" s="11"/>
      <c r="AJ76" s="11"/>
      <c r="AK76" s="628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628"/>
      <c r="BG76" s="11"/>
      <c r="BH76" s="11"/>
      <c r="BI76" s="11"/>
      <c r="BJ76" s="11"/>
      <c r="BK76" s="11"/>
      <c r="BL76" s="11"/>
      <c r="BM76" s="628"/>
      <c r="BN76" s="11"/>
      <c r="BO76" s="11"/>
      <c r="BP76" s="11"/>
      <c r="BQ76" s="11"/>
      <c r="BR76" s="11"/>
      <c r="BS76" s="11"/>
      <c r="BT76" s="645">
        <f t="shared" si="194"/>
        <v>0</v>
      </c>
      <c r="BU76" s="268">
        <f t="shared" si="189"/>
        <v>0</v>
      </c>
      <c r="BV76" s="268">
        <f t="shared" si="190"/>
        <v>0</v>
      </c>
      <c r="BW76" s="268">
        <f t="shared" si="191"/>
        <v>0</v>
      </c>
      <c r="BX76" s="268">
        <f t="shared" si="192"/>
        <v>0</v>
      </c>
      <c r="BY76" s="268">
        <f t="shared" si="193"/>
        <v>0</v>
      </c>
      <c r="BZ76" s="268">
        <f t="shared" si="193"/>
        <v>0</v>
      </c>
    </row>
    <row r="77" spans="1:78" s="9" customFormat="1" x14ac:dyDescent="0.2">
      <c r="A77" s="58"/>
      <c r="B77" s="8" t="s">
        <v>300</v>
      </c>
      <c r="C77" s="186">
        <v>0</v>
      </c>
      <c r="D77" s="11">
        <v>50</v>
      </c>
      <c r="E77" s="11">
        <v>50</v>
      </c>
      <c r="F77" s="11">
        <v>0</v>
      </c>
      <c r="G77" s="11">
        <v>0</v>
      </c>
      <c r="H77" s="11">
        <v>0</v>
      </c>
      <c r="I77" s="11">
        <v>0</v>
      </c>
      <c r="J77" s="186"/>
      <c r="K77" s="186"/>
      <c r="L77" s="186"/>
      <c r="M77" s="186"/>
      <c r="N77" s="186"/>
      <c r="O77" s="186"/>
      <c r="P77" s="186"/>
      <c r="Q77" s="11"/>
      <c r="R77" s="11"/>
      <c r="S77" s="11"/>
      <c r="T77" s="11"/>
      <c r="U77" s="11"/>
      <c r="V77" s="11"/>
      <c r="W77" s="186"/>
      <c r="X77" s="11"/>
      <c r="Y77" s="11"/>
      <c r="Z77" s="11"/>
      <c r="AA77" s="11"/>
      <c r="AB77" s="11"/>
      <c r="AC77" s="11"/>
      <c r="AD77" s="186"/>
      <c r="AE77" s="11"/>
      <c r="AF77" s="11"/>
      <c r="AG77" s="11"/>
      <c r="AH77" s="11"/>
      <c r="AI77" s="11"/>
      <c r="AJ77" s="11"/>
      <c r="AK77" s="186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86"/>
      <c r="BG77" s="11"/>
      <c r="BH77" s="11"/>
      <c r="BI77" s="11"/>
      <c r="BJ77" s="11"/>
      <c r="BK77" s="11"/>
      <c r="BL77" s="11"/>
      <c r="BM77" s="186"/>
      <c r="BN77" s="11"/>
      <c r="BO77" s="11"/>
      <c r="BP77" s="11"/>
      <c r="BQ77" s="11"/>
      <c r="BR77" s="11"/>
      <c r="BS77" s="11"/>
      <c r="BT77" s="645">
        <f t="shared" si="194"/>
        <v>0</v>
      </c>
      <c r="BU77" s="268">
        <f t="shared" si="189"/>
        <v>50</v>
      </c>
      <c r="BV77" s="268">
        <f t="shared" si="190"/>
        <v>50</v>
      </c>
      <c r="BW77" s="268">
        <f t="shared" si="191"/>
        <v>0</v>
      </c>
      <c r="BX77" s="268">
        <f t="shared" si="192"/>
        <v>0</v>
      </c>
      <c r="BY77" s="268">
        <f t="shared" si="193"/>
        <v>0</v>
      </c>
      <c r="BZ77" s="268">
        <f t="shared" si="193"/>
        <v>0</v>
      </c>
    </row>
    <row r="78" spans="1:78" s="9" customFormat="1" x14ac:dyDescent="0.2">
      <c r="A78" s="58"/>
      <c r="B78" s="8" t="s">
        <v>394</v>
      </c>
      <c r="C78" s="186">
        <v>7075</v>
      </c>
      <c r="D78" s="11">
        <v>8330</v>
      </c>
      <c r="E78" s="11">
        <v>8330</v>
      </c>
      <c r="F78" s="11">
        <v>0</v>
      </c>
      <c r="G78" s="11">
        <v>0</v>
      </c>
      <c r="H78" s="11">
        <v>0</v>
      </c>
      <c r="I78" s="11">
        <v>0</v>
      </c>
      <c r="J78" s="186"/>
      <c r="K78" s="186"/>
      <c r="L78" s="186"/>
      <c r="M78" s="186"/>
      <c r="N78" s="186"/>
      <c r="O78" s="186"/>
      <c r="P78" s="186"/>
      <c r="Q78" s="11"/>
      <c r="R78" s="11"/>
      <c r="S78" s="11"/>
      <c r="T78" s="11"/>
      <c r="U78" s="11"/>
      <c r="V78" s="11"/>
      <c r="W78" s="186"/>
      <c r="X78" s="11"/>
      <c r="Y78" s="11"/>
      <c r="Z78" s="11"/>
      <c r="AA78" s="11"/>
      <c r="AB78" s="11"/>
      <c r="AC78" s="11"/>
      <c r="AD78" s="186"/>
      <c r="AE78" s="11"/>
      <c r="AF78" s="11"/>
      <c r="AG78" s="11"/>
      <c r="AH78" s="11"/>
      <c r="AI78" s="11"/>
      <c r="AJ78" s="11"/>
      <c r="AK78" s="186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86"/>
      <c r="BG78" s="11"/>
      <c r="BH78" s="11"/>
      <c r="BI78" s="11"/>
      <c r="BJ78" s="11"/>
      <c r="BK78" s="11"/>
      <c r="BL78" s="11"/>
      <c r="BM78" s="186"/>
      <c r="BN78" s="11"/>
      <c r="BO78" s="11"/>
      <c r="BP78" s="11"/>
      <c r="BQ78" s="11"/>
      <c r="BR78" s="11"/>
      <c r="BS78" s="11"/>
      <c r="BT78" s="645">
        <f t="shared" si="194"/>
        <v>7075</v>
      </c>
      <c r="BU78" s="268">
        <f t="shared" si="189"/>
        <v>8330</v>
      </c>
      <c r="BV78" s="268">
        <f t="shared" si="190"/>
        <v>8330</v>
      </c>
      <c r="BW78" s="268">
        <f t="shared" si="191"/>
        <v>0</v>
      </c>
      <c r="BX78" s="268">
        <f t="shared" si="192"/>
        <v>0</v>
      </c>
      <c r="BY78" s="268">
        <f t="shared" si="193"/>
        <v>0</v>
      </c>
      <c r="BZ78" s="268">
        <f t="shared" si="193"/>
        <v>0</v>
      </c>
    </row>
    <row r="79" spans="1:78" s="9" customFormat="1" x14ac:dyDescent="0.2">
      <c r="A79" s="58"/>
      <c r="B79" s="8" t="s">
        <v>595</v>
      </c>
      <c r="C79" s="186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86"/>
      <c r="Q79" s="11"/>
      <c r="R79" s="11"/>
      <c r="S79" s="11"/>
      <c r="T79" s="11"/>
      <c r="U79" s="11"/>
      <c r="V79" s="11"/>
      <c r="W79" s="186"/>
      <c r="X79" s="11"/>
      <c r="Y79" s="11"/>
      <c r="Z79" s="11"/>
      <c r="AA79" s="11"/>
      <c r="AB79" s="11"/>
      <c r="AC79" s="11"/>
      <c r="AD79" s="186">
        <v>2532</v>
      </c>
      <c r="AE79" s="11">
        <f>2697+53</f>
        <v>2750</v>
      </c>
      <c r="AF79" s="11">
        <f>2697+53-213</f>
        <v>2537</v>
      </c>
      <c r="AG79" s="11">
        <v>0</v>
      </c>
      <c r="AH79" s="11">
        <v>0</v>
      </c>
      <c r="AI79" s="11">
        <v>0</v>
      </c>
      <c r="AJ79" s="11">
        <v>0</v>
      </c>
      <c r="AK79" s="186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86"/>
      <c r="BG79" s="11"/>
      <c r="BH79" s="11"/>
      <c r="BI79" s="11"/>
      <c r="BJ79" s="11"/>
      <c r="BK79" s="11"/>
      <c r="BL79" s="11"/>
      <c r="BM79" s="186"/>
      <c r="BN79" s="11"/>
      <c r="BO79" s="11"/>
      <c r="BP79" s="11"/>
      <c r="BQ79" s="11"/>
      <c r="BR79" s="11"/>
      <c r="BS79" s="11"/>
      <c r="BT79" s="645">
        <f t="shared" si="194"/>
        <v>2532</v>
      </c>
      <c r="BU79" s="268">
        <f t="shared" si="189"/>
        <v>2750</v>
      </c>
      <c r="BV79" s="268">
        <f t="shared" si="190"/>
        <v>2537</v>
      </c>
      <c r="BW79" s="268">
        <f t="shared" si="191"/>
        <v>0</v>
      </c>
      <c r="BX79" s="268">
        <f t="shared" si="192"/>
        <v>0</v>
      </c>
      <c r="BY79" s="268">
        <f t="shared" si="193"/>
        <v>0</v>
      </c>
      <c r="BZ79" s="268">
        <f t="shared" si="193"/>
        <v>0</v>
      </c>
    </row>
    <row r="80" spans="1:78" s="9" customFormat="1" x14ac:dyDescent="0.2">
      <c r="A80" s="58"/>
      <c r="B80" s="8" t="s">
        <v>702</v>
      </c>
      <c r="C80" s="186"/>
      <c r="D80" s="11"/>
      <c r="E80" s="11"/>
      <c r="F80" s="11"/>
      <c r="G80" s="11"/>
      <c r="H80" s="11"/>
      <c r="I80" s="11"/>
      <c r="J80" s="186"/>
      <c r="K80" s="186"/>
      <c r="L80" s="186"/>
      <c r="M80" s="186"/>
      <c r="N80" s="186"/>
      <c r="O80" s="186"/>
      <c r="P80" s="186"/>
      <c r="Q80" s="11"/>
      <c r="R80" s="11"/>
      <c r="S80" s="11"/>
      <c r="T80" s="11"/>
      <c r="U80" s="11"/>
      <c r="V80" s="11"/>
      <c r="W80" s="186">
        <v>1326</v>
      </c>
      <c r="X80" s="11">
        <v>1400</v>
      </c>
      <c r="Y80" s="11">
        <v>1400</v>
      </c>
      <c r="Z80" s="11">
        <v>0</v>
      </c>
      <c r="AA80" s="11">
        <v>0</v>
      </c>
      <c r="AB80" s="11">
        <v>0</v>
      </c>
      <c r="AC80" s="11">
        <v>0</v>
      </c>
      <c r="AD80" s="186"/>
      <c r="AE80" s="11"/>
      <c r="AF80" s="11"/>
      <c r="AG80" s="11"/>
      <c r="AH80" s="11"/>
      <c r="AI80" s="11"/>
      <c r="AJ80" s="11"/>
      <c r="AK80" s="186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86"/>
      <c r="BG80" s="11"/>
      <c r="BH80" s="11"/>
      <c r="BI80" s="11"/>
      <c r="BJ80" s="11"/>
      <c r="BK80" s="11"/>
      <c r="BL80" s="11"/>
      <c r="BM80" s="186"/>
      <c r="BN80" s="11"/>
      <c r="BO80" s="11"/>
      <c r="BP80" s="11"/>
      <c r="BQ80" s="11"/>
      <c r="BR80" s="11"/>
      <c r="BS80" s="11"/>
      <c r="BT80" s="645">
        <f t="shared" si="194"/>
        <v>1326</v>
      </c>
      <c r="BU80" s="268">
        <f t="shared" si="189"/>
        <v>1400</v>
      </c>
      <c r="BV80" s="268">
        <f t="shared" si="190"/>
        <v>1400</v>
      </c>
      <c r="BW80" s="268">
        <f t="shared" si="191"/>
        <v>0</v>
      </c>
      <c r="BX80" s="268">
        <f t="shared" si="192"/>
        <v>0</v>
      </c>
      <c r="BY80" s="268">
        <f t="shared" si="193"/>
        <v>0</v>
      </c>
      <c r="BZ80" s="268">
        <f t="shared" si="193"/>
        <v>0</v>
      </c>
    </row>
    <row r="81" spans="1:78" s="9" customFormat="1" x14ac:dyDescent="0.2">
      <c r="A81" s="58"/>
      <c r="B81" s="8" t="s">
        <v>1072</v>
      </c>
      <c r="C81" s="186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86"/>
      <c r="Q81" s="11"/>
      <c r="R81" s="11"/>
      <c r="S81" s="11"/>
      <c r="T81" s="11"/>
      <c r="U81" s="11"/>
      <c r="V81" s="11"/>
      <c r="W81" s="186"/>
      <c r="X81" s="11"/>
      <c r="Y81" s="11"/>
      <c r="Z81" s="11"/>
      <c r="AA81" s="11"/>
      <c r="AB81" s="11"/>
      <c r="AC81" s="11"/>
      <c r="AD81" s="186">
        <v>271</v>
      </c>
      <c r="AE81" s="11">
        <v>320</v>
      </c>
      <c r="AF81" s="11">
        <v>320</v>
      </c>
      <c r="AG81" s="11">
        <v>0</v>
      </c>
      <c r="AH81" s="11">
        <v>0</v>
      </c>
      <c r="AI81" s="11">
        <v>0</v>
      </c>
      <c r="AJ81" s="11">
        <v>0</v>
      </c>
      <c r="AK81" s="186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86">
        <v>0</v>
      </c>
      <c r="BG81" s="11">
        <v>0</v>
      </c>
      <c r="BH81" s="11">
        <v>55</v>
      </c>
      <c r="BI81" s="11">
        <v>0</v>
      </c>
      <c r="BJ81" s="11">
        <v>0</v>
      </c>
      <c r="BK81" s="11">
        <v>0</v>
      </c>
      <c r="BL81" s="11">
        <v>0</v>
      </c>
      <c r="BM81" s="186"/>
      <c r="BN81" s="11"/>
      <c r="BO81" s="11"/>
      <c r="BP81" s="11"/>
      <c r="BQ81" s="11"/>
      <c r="BR81" s="11"/>
      <c r="BS81" s="11"/>
      <c r="BT81" s="645">
        <f t="shared" si="194"/>
        <v>271</v>
      </c>
      <c r="BU81" s="268">
        <f t="shared" si="189"/>
        <v>320</v>
      </c>
      <c r="BV81" s="268">
        <f t="shared" si="190"/>
        <v>375</v>
      </c>
      <c r="BW81" s="268">
        <f t="shared" si="191"/>
        <v>0</v>
      </c>
      <c r="BX81" s="268">
        <f t="shared" si="192"/>
        <v>0</v>
      </c>
      <c r="BY81" s="268">
        <f t="shared" si="193"/>
        <v>0</v>
      </c>
      <c r="BZ81" s="268">
        <f t="shared" si="193"/>
        <v>0</v>
      </c>
    </row>
    <row r="82" spans="1:78" s="9" customFormat="1" x14ac:dyDescent="0.2">
      <c r="A82" s="58"/>
      <c r="B82" s="8" t="s">
        <v>660</v>
      </c>
      <c r="C82" s="186"/>
      <c r="D82" s="11"/>
      <c r="E82" s="11"/>
      <c r="F82" s="11"/>
      <c r="G82" s="11"/>
      <c r="H82" s="11"/>
      <c r="I82" s="11"/>
      <c r="J82" s="186"/>
      <c r="K82" s="186"/>
      <c r="L82" s="186"/>
      <c r="M82" s="186"/>
      <c r="N82" s="186"/>
      <c r="O82" s="186"/>
      <c r="P82" s="186"/>
      <c r="Q82" s="11"/>
      <c r="R82" s="11"/>
      <c r="S82" s="11"/>
      <c r="T82" s="11"/>
      <c r="U82" s="11"/>
      <c r="V82" s="11"/>
      <c r="W82" s="186">
        <v>185</v>
      </c>
      <c r="X82" s="11">
        <v>500</v>
      </c>
      <c r="Y82" s="11">
        <f>500-150</f>
        <v>350</v>
      </c>
      <c r="Z82" s="11">
        <v>0</v>
      </c>
      <c r="AA82" s="11">
        <v>0</v>
      </c>
      <c r="AB82" s="11">
        <v>0</v>
      </c>
      <c r="AC82" s="11">
        <v>0</v>
      </c>
      <c r="AD82" s="186">
        <v>36</v>
      </c>
      <c r="AE82" s="11">
        <v>150</v>
      </c>
      <c r="AF82" s="11">
        <v>150</v>
      </c>
      <c r="AG82" s="11">
        <v>0</v>
      </c>
      <c r="AH82" s="11">
        <v>0</v>
      </c>
      <c r="AI82" s="11">
        <v>0</v>
      </c>
      <c r="AJ82" s="11">
        <v>0</v>
      </c>
      <c r="AK82" s="186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86">
        <v>62</v>
      </c>
      <c r="BG82" s="11">
        <v>100</v>
      </c>
      <c r="BH82" s="11">
        <v>100</v>
      </c>
      <c r="BI82" s="11">
        <v>0</v>
      </c>
      <c r="BJ82" s="11">
        <v>0</v>
      </c>
      <c r="BK82" s="11">
        <v>0</v>
      </c>
      <c r="BL82" s="11">
        <v>0</v>
      </c>
      <c r="BM82" s="186"/>
      <c r="BN82" s="11"/>
      <c r="BO82" s="11"/>
      <c r="BP82" s="11"/>
      <c r="BQ82" s="11"/>
      <c r="BR82" s="11"/>
      <c r="BS82" s="11"/>
      <c r="BT82" s="645">
        <f t="shared" si="194"/>
        <v>283</v>
      </c>
      <c r="BU82" s="268">
        <f t="shared" si="189"/>
        <v>750</v>
      </c>
      <c r="BV82" s="268">
        <f t="shared" si="190"/>
        <v>600</v>
      </c>
      <c r="BW82" s="268">
        <f t="shared" si="191"/>
        <v>0</v>
      </c>
      <c r="BX82" s="268">
        <f t="shared" si="192"/>
        <v>0</v>
      </c>
      <c r="BY82" s="268">
        <f t="shared" si="193"/>
        <v>0</v>
      </c>
      <c r="BZ82" s="268">
        <f t="shared" si="193"/>
        <v>0</v>
      </c>
    </row>
    <row r="83" spans="1:78" s="524" customFormat="1" ht="50.25" customHeight="1" x14ac:dyDescent="0.2">
      <c r="A83" s="523"/>
      <c r="B83" s="515" t="s">
        <v>1251</v>
      </c>
      <c r="C83" s="123">
        <v>3080</v>
      </c>
      <c r="D83" s="79">
        <v>4545</v>
      </c>
      <c r="E83" s="79">
        <v>4545</v>
      </c>
      <c r="F83" s="79">
        <v>0</v>
      </c>
      <c r="G83" s="79">
        <v>0</v>
      </c>
      <c r="H83" s="79">
        <v>0</v>
      </c>
      <c r="I83" s="79">
        <v>0</v>
      </c>
      <c r="J83" s="123"/>
      <c r="K83" s="123"/>
      <c r="L83" s="123"/>
      <c r="M83" s="123"/>
      <c r="N83" s="123"/>
      <c r="O83" s="123"/>
      <c r="P83" s="123">
        <v>3099</v>
      </c>
      <c r="Q83" s="79">
        <v>3000</v>
      </c>
      <c r="R83" s="79">
        <v>3000</v>
      </c>
      <c r="S83" s="79">
        <v>0</v>
      </c>
      <c r="T83" s="79">
        <v>0</v>
      </c>
      <c r="U83" s="79">
        <v>0</v>
      </c>
      <c r="V83" s="79">
        <v>0</v>
      </c>
      <c r="W83" s="123">
        <v>198</v>
      </c>
      <c r="X83" s="79">
        <v>500</v>
      </c>
      <c r="Y83" s="79">
        <f>500-150</f>
        <v>350</v>
      </c>
      <c r="Z83" s="79">
        <v>0</v>
      </c>
      <c r="AA83" s="79">
        <v>0</v>
      </c>
      <c r="AB83" s="79">
        <v>0</v>
      </c>
      <c r="AC83" s="79">
        <v>0</v>
      </c>
      <c r="AD83" s="123">
        <v>6195</v>
      </c>
      <c r="AE83" s="79">
        <v>15045</v>
      </c>
      <c r="AF83" s="79">
        <f>15045+580+213+433+150+150+1569</f>
        <v>18140</v>
      </c>
      <c r="AG83" s="79">
        <v>0</v>
      </c>
      <c r="AH83" s="79">
        <v>0</v>
      </c>
      <c r="AI83" s="79">
        <v>0</v>
      </c>
      <c r="AJ83" s="79">
        <v>0</v>
      </c>
      <c r="AK83" s="123">
        <f>696-546</f>
        <v>150</v>
      </c>
      <c r="AL83" s="79">
        <v>150</v>
      </c>
      <c r="AM83" s="79">
        <v>150</v>
      </c>
      <c r="AN83" s="79">
        <v>0</v>
      </c>
      <c r="AO83" s="79">
        <v>0</v>
      </c>
      <c r="AP83" s="79">
        <v>0</v>
      </c>
      <c r="AQ83" s="79">
        <v>0</v>
      </c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  <c r="BD83" s="79"/>
      <c r="BE83" s="79"/>
      <c r="BF83" s="123">
        <v>489</v>
      </c>
      <c r="BG83" s="79">
        <f>150+1200</f>
        <v>1350</v>
      </c>
      <c r="BH83" s="79">
        <f>150+1200+675+406+861-55+270</f>
        <v>3507</v>
      </c>
      <c r="BI83" s="79">
        <v>0</v>
      </c>
      <c r="BJ83" s="79">
        <v>0</v>
      </c>
      <c r="BK83" s="79">
        <v>0</v>
      </c>
      <c r="BL83" s="79">
        <v>0</v>
      </c>
      <c r="BM83" s="123">
        <v>5914</v>
      </c>
      <c r="BN83" s="79">
        <v>6000</v>
      </c>
      <c r="BO83" s="79">
        <f>6000-270</f>
        <v>5730</v>
      </c>
      <c r="BP83" s="79">
        <v>0</v>
      </c>
      <c r="BQ83" s="79">
        <v>0</v>
      </c>
      <c r="BR83" s="79">
        <v>0</v>
      </c>
      <c r="BS83" s="79">
        <v>0</v>
      </c>
      <c r="BT83" s="648">
        <f t="shared" si="194"/>
        <v>19125</v>
      </c>
      <c r="BU83" s="503">
        <f t="shared" si="189"/>
        <v>30590</v>
      </c>
      <c r="BV83" s="503">
        <f t="shared" si="190"/>
        <v>35422</v>
      </c>
      <c r="BW83" s="503">
        <f t="shared" si="191"/>
        <v>0</v>
      </c>
      <c r="BX83" s="503">
        <f t="shared" si="192"/>
        <v>0</v>
      </c>
      <c r="BY83" s="503">
        <f t="shared" si="193"/>
        <v>0</v>
      </c>
      <c r="BZ83" s="503">
        <f t="shared" si="193"/>
        <v>0</v>
      </c>
    </row>
    <row r="84" spans="1:78" s="9" customFormat="1" x14ac:dyDescent="0.2">
      <c r="A84" s="58"/>
      <c r="B84" s="8" t="s">
        <v>1103</v>
      </c>
      <c r="C84" s="186"/>
      <c r="D84" s="11"/>
      <c r="E84" s="11"/>
      <c r="F84" s="11"/>
      <c r="G84" s="11"/>
      <c r="H84" s="11"/>
      <c r="I84" s="11"/>
      <c r="J84" s="186"/>
      <c r="K84" s="186"/>
      <c r="L84" s="186"/>
      <c r="M84" s="186"/>
      <c r="N84" s="186"/>
      <c r="O84" s="186"/>
      <c r="P84" s="186"/>
      <c r="Q84" s="11"/>
      <c r="R84" s="11"/>
      <c r="S84" s="11"/>
      <c r="T84" s="11"/>
      <c r="U84" s="11"/>
      <c r="V84" s="11"/>
      <c r="W84" s="186"/>
      <c r="X84" s="11"/>
      <c r="Y84" s="11"/>
      <c r="Z84" s="11"/>
      <c r="AA84" s="11"/>
      <c r="AB84" s="11"/>
      <c r="AC84" s="11"/>
      <c r="AD84" s="186"/>
      <c r="AE84" s="11"/>
      <c r="AF84" s="11"/>
      <c r="AG84" s="11"/>
      <c r="AH84" s="11"/>
      <c r="AI84" s="11"/>
      <c r="AJ84" s="11"/>
      <c r="AK84" s="186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86"/>
      <c r="BG84" s="11"/>
      <c r="BH84" s="11"/>
      <c r="BI84" s="11"/>
      <c r="BJ84" s="11"/>
      <c r="BK84" s="11"/>
      <c r="BL84" s="11"/>
      <c r="BM84" s="186">
        <v>0</v>
      </c>
      <c r="BN84" s="11">
        <v>2000</v>
      </c>
      <c r="BO84" s="11">
        <v>2000</v>
      </c>
      <c r="BP84" s="11"/>
      <c r="BQ84" s="11"/>
      <c r="BR84" s="11"/>
      <c r="BS84" s="11"/>
      <c r="BT84" s="645">
        <f t="shared" ref="BT84" si="195">C84+J84+P84+W84+AD84+AK84+AR84+AY84+BF84+BM84</f>
        <v>0</v>
      </c>
      <c r="BU84" s="268">
        <f t="shared" ref="BU84" si="196">D84+K84+Q84+X84+AE84+AL84+AS84+AZ84+BG84+BN84</f>
        <v>2000</v>
      </c>
      <c r="BV84" s="268">
        <f t="shared" ref="BV84" si="197">E84+K84+R84+Y84+AF84+AM84+AT84+BA84+BH84+BO84</f>
        <v>2000</v>
      </c>
      <c r="BW84" s="268"/>
      <c r="BX84" s="268"/>
      <c r="BY84" s="268"/>
      <c r="BZ84" s="268"/>
    </row>
    <row r="85" spans="1:78" s="9" customFormat="1" x14ac:dyDescent="0.2">
      <c r="A85" s="58"/>
      <c r="B85" s="8" t="s">
        <v>429</v>
      </c>
      <c r="C85" s="186"/>
      <c r="D85" s="11"/>
      <c r="E85" s="11"/>
      <c r="F85" s="11"/>
      <c r="G85" s="11"/>
      <c r="H85" s="11"/>
      <c r="I85" s="11"/>
      <c r="J85" s="186"/>
      <c r="K85" s="186"/>
      <c r="L85" s="186"/>
      <c r="M85" s="186"/>
      <c r="N85" s="186"/>
      <c r="O85" s="186"/>
      <c r="P85" s="186"/>
      <c r="Q85" s="11"/>
      <c r="R85" s="11"/>
      <c r="S85" s="11"/>
      <c r="T85" s="11"/>
      <c r="U85" s="11"/>
      <c r="V85" s="11"/>
      <c r="W85" s="186">
        <v>1174</v>
      </c>
      <c r="X85" s="11">
        <v>700</v>
      </c>
      <c r="Y85" s="11">
        <v>700</v>
      </c>
      <c r="Z85" s="11">
        <v>0</v>
      </c>
      <c r="AA85" s="11">
        <v>0</v>
      </c>
      <c r="AB85" s="11">
        <v>0</v>
      </c>
      <c r="AC85" s="11">
        <v>0</v>
      </c>
      <c r="AD85" s="186"/>
      <c r="AE85" s="11"/>
      <c r="AF85" s="11"/>
      <c r="AG85" s="11"/>
      <c r="AH85" s="11"/>
      <c r="AI85" s="11"/>
      <c r="AJ85" s="11"/>
      <c r="AK85" s="186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86"/>
      <c r="BG85" s="11"/>
      <c r="BH85" s="11"/>
      <c r="BI85" s="11"/>
      <c r="BJ85" s="11"/>
      <c r="BK85" s="11"/>
      <c r="BL85" s="11"/>
      <c r="BM85" s="186"/>
      <c r="BN85" s="11"/>
      <c r="BO85" s="11"/>
      <c r="BP85" s="11"/>
      <c r="BQ85" s="11"/>
      <c r="BR85" s="11"/>
      <c r="BS85" s="11"/>
      <c r="BT85" s="645">
        <f t="shared" si="194"/>
        <v>1174</v>
      </c>
      <c r="BU85" s="268">
        <f t="shared" si="189"/>
        <v>700</v>
      </c>
      <c r="BV85" s="268">
        <f t="shared" si="190"/>
        <v>700</v>
      </c>
      <c r="BW85" s="268">
        <f t="shared" si="191"/>
        <v>0</v>
      </c>
      <c r="BX85" s="268">
        <f t="shared" si="192"/>
        <v>0</v>
      </c>
      <c r="BY85" s="268">
        <f t="shared" ref="BY85:BZ89" si="198">H85+N85+U85+AB85+AI85+AP85+AW85+BD85+BK85+BR85</f>
        <v>0</v>
      </c>
      <c r="BZ85" s="268">
        <f t="shared" si="198"/>
        <v>0</v>
      </c>
    </row>
    <row r="86" spans="1:78" s="9" customFormat="1" x14ac:dyDescent="0.2">
      <c r="A86" s="58"/>
      <c r="B86" s="8" t="s">
        <v>826</v>
      </c>
      <c r="C86" s="186"/>
      <c r="D86" s="11"/>
      <c r="E86" s="11"/>
      <c r="F86" s="11"/>
      <c r="G86" s="11"/>
      <c r="H86" s="11"/>
      <c r="I86" s="11"/>
      <c r="J86" s="186"/>
      <c r="K86" s="186"/>
      <c r="L86" s="186"/>
      <c r="M86" s="186"/>
      <c r="N86" s="186"/>
      <c r="O86" s="186"/>
      <c r="P86" s="186"/>
      <c r="Q86" s="11"/>
      <c r="R86" s="11"/>
      <c r="S86" s="11"/>
      <c r="T86" s="11"/>
      <c r="U86" s="11"/>
      <c r="V86" s="11"/>
      <c r="W86" s="186"/>
      <c r="X86" s="11"/>
      <c r="Y86" s="11"/>
      <c r="Z86" s="11"/>
      <c r="AA86" s="11"/>
      <c r="AB86" s="11"/>
      <c r="AC86" s="11"/>
      <c r="AD86" s="186">
        <v>12000</v>
      </c>
      <c r="AE86" s="11">
        <v>12000</v>
      </c>
      <c r="AF86" s="11">
        <f>12000-433</f>
        <v>11567</v>
      </c>
      <c r="AG86" s="11">
        <v>0</v>
      </c>
      <c r="AH86" s="11">
        <v>0</v>
      </c>
      <c r="AI86" s="11">
        <v>0</v>
      </c>
      <c r="AJ86" s="11">
        <v>0</v>
      </c>
      <c r="AK86" s="186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86"/>
      <c r="BG86" s="11"/>
      <c r="BH86" s="11"/>
      <c r="BI86" s="11"/>
      <c r="BJ86" s="11"/>
      <c r="BK86" s="11"/>
      <c r="BL86" s="11"/>
      <c r="BM86" s="186"/>
      <c r="BN86" s="11"/>
      <c r="BO86" s="11"/>
      <c r="BP86" s="11"/>
      <c r="BQ86" s="11"/>
      <c r="BR86" s="11"/>
      <c r="BS86" s="11"/>
      <c r="BT86" s="645">
        <f t="shared" si="194"/>
        <v>12000</v>
      </c>
      <c r="BU86" s="268">
        <f t="shared" si="189"/>
        <v>12000</v>
      </c>
      <c r="BV86" s="268">
        <f t="shared" si="190"/>
        <v>11567</v>
      </c>
      <c r="BW86" s="268">
        <f t="shared" si="191"/>
        <v>0</v>
      </c>
      <c r="BX86" s="268">
        <f t="shared" si="192"/>
        <v>0</v>
      </c>
      <c r="BY86" s="268">
        <f t="shared" si="198"/>
        <v>0</v>
      </c>
      <c r="BZ86" s="268">
        <f t="shared" si="198"/>
        <v>0</v>
      </c>
    </row>
    <row r="87" spans="1:78" s="524" customFormat="1" ht="25.5" x14ac:dyDescent="0.2">
      <c r="A87" s="523"/>
      <c r="B87" s="515" t="s">
        <v>1073</v>
      </c>
      <c r="C87" s="123"/>
      <c r="D87" s="79"/>
      <c r="E87" s="79"/>
      <c r="F87" s="79"/>
      <c r="G87" s="79"/>
      <c r="H87" s="79"/>
      <c r="I87" s="79"/>
      <c r="J87" s="123"/>
      <c r="K87" s="123"/>
      <c r="L87" s="123"/>
      <c r="M87" s="123"/>
      <c r="N87" s="123"/>
      <c r="O87" s="123"/>
      <c r="P87" s="123"/>
      <c r="Q87" s="79"/>
      <c r="R87" s="79"/>
      <c r="S87" s="79"/>
      <c r="T87" s="79"/>
      <c r="U87" s="79"/>
      <c r="V87" s="79"/>
      <c r="W87" s="123"/>
      <c r="X87" s="79"/>
      <c r="Y87" s="79"/>
      <c r="Z87" s="79"/>
      <c r="AA87" s="79"/>
      <c r="AB87" s="79"/>
      <c r="AC87" s="79"/>
      <c r="AD87" s="123">
        <v>2917</v>
      </c>
      <c r="AE87" s="79">
        <f>3600</f>
        <v>3600</v>
      </c>
      <c r="AF87" s="79">
        <f>3600</f>
        <v>3600</v>
      </c>
      <c r="AG87" s="79">
        <v>0</v>
      </c>
      <c r="AH87" s="79">
        <v>0</v>
      </c>
      <c r="AI87" s="79">
        <v>0</v>
      </c>
      <c r="AJ87" s="79">
        <v>0</v>
      </c>
      <c r="AK87" s="123"/>
      <c r="AL87" s="79"/>
      <c r="AM87" s="79"/>
      <c r="AN87" s="79"/>
      <c r="AO87" s="79"/>
      <c r="AP87" s="79"/>
      <c r="AQ87" s="79"/>
      <c r="AR87" s="79"/>
      <c r="AS87" s="79"/>
      <c r="AT87" s="79"/>
      <c r="AU87" s="79"/>
      <c r="AV87" s="79"/>
      <c r="AW87" s="79"/>
      <c r="AX87" s="79"/>
      <c r="AY87" s="79"/>
      <c r="AZ87" s="79"/>
      <c r="BA87" s="79"/>
      <c r="BB87" s="79"/>
      <c r="BC87" s="79"/>
      <c r="BD87" s="79"/>
      <c r="BE87" s="79"/>
      <c r="BF87" s="123"/>
      <c r="BG87" s="79"/>
      <c r="BH87" s="79"/>
      <c r="BI87" s="79"/>
      <c r="BJ87" s="79"/>
      <c r="BK87" s="79"/>
      <c r="BL87" s="79"/>
      <c r="BM87" s="123"/>
      <c r="BN87" s="79"/>
      <c r="BO87" s="79"/>
      <c r="BP87" s="79"/>
      <c r="BQ87" s="79"/>
      <c r="BR87" s="79"/>
      <c r="BS87" s="79"/>
      <c r="BT87" s="648">
        <f t="shared" si="194"/>
        <v>2917</v>
      </c>
      <c r="BU87" s="503">
        <f t="shared" si="189"/>
        <v>3600</v>
      </c>
      <c r="BV87" s="503">
        <f t="shared" si="190"/>
        <v>3600</v>
      </c>
      <c r="BW87" s="503">
        <f t="shared" si="191"/>
        <v>0</v>
      </c>
      <c r="BX87" s="503">
        <f t="shared" si="192"/>
        <v>0</v>
      </c>
      <c r="BY87" s="503">
        <f t="shared" si="198"/>
        <v>0</v>
      </c>
      <c r="BZ87" s="503">
        <f t="shared" si="198"/>
        <v>0</v>
      </c>
    </row>
    <row r="88" spans="1:78" s="9" customFormat="1" x14ac:dyDescent="0.2">
      <c r="A88" s="58"/>
      <c r="B88" s="8" t="s">
        <v>865</v>
      </c>
      <c r="C88" s="186"/>
      <c r="D88" s="11"/>
      <c r="E88" s="11"/>
      <c r="F88" s="11"/>
      <c r="G88" s="11"/>
      <c r="H88" s="11"/>
      <c r="I88" s="11"/>
      <c r="J88" s="186"/>
      <c r="K88" s="186"/>
      <c r="L88" s="186"/>
      <c r="M88" s="186"/>
      <c r="N88" s="186"/>
      <c r="O88" s="186"/>
      <c r="P88" s="186"/>
      <c r="Q88" s="11"/>
      <c r="R88" s="11"/>
      <c r="S88" s="11"/>
      <c r="T88" s="11"/>
      <c r="U88" s="11"/>
      <c r="V88" s="11"/>
      <c r="W88" s="186"/>
      <c r="X88" s="11"/>
      <c r="Y88" s="11"/>
      <c r="Z88" s="11"/>
      <c r="AA88" s="11"/>
      <c r="AB88" s="11"/>
      <c r="AC88" s="11"/>
      <c r="AD88" s="186"/>
      <c r="AE88" s="11"/>
      <c r="AF88" s="11"/>
      <c r="AG88" s="11"/>
      <c r="AH88" s="11"/>
      <c r="AI88" s="11"/>
      <c r="AJ88" s="11"/>
      <c r="AK88" s="186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86"/>
      <c r="BG88" s="11"/>
      <c r="BH88" s="11"/>
      <c r="BI88" s="11"/>
      <c r="BJ88" s="11"/>
      <c r="BK88" s="11"/>
      <c r="BL88" s="11"/>
      <c r="BM88" s="186">
        <v>10048</v>
      </c>
      <c r="BN88" s="11">
        <v>10000</v>
      </c>
      <c r="BO88" s="11">
        <f>10000-800</f>
        <v>9200</v>
      </c>
      <c r="BP88" s="11">
        <v>0</v>
      </c>
      <c r="BQ88" s="11">
        <v>0</v>
      </c>
      <c r="BR88" s="11">
        <v>0</v>
      </c>
      <c r="BS88" s="11">
        <v>0</v>
      </c>
      <c r="BT88" s="645">
        <f t="shared" si="194"/>
        <v>10048</v>
      </c>
      <c r="BU88" s="268">
        <f t="shared" si="189"/>
        <v>10000</v>
      </c>
      <c r="BV88" s="268">
        <f t="shared" si="190"/>
        <v>9200</v>
      </c>
      <c r="BW88" s="268">
        <f t="shared" si="191"/>
        <v>0</v>
      </c>
      <c r="BX88" s="268">
        <f t="shared" si="192"/>
        <v>0</v>
      </c>
      <c r="BY88" s="268">
        <f t="shared" si="198"/>
        <v>0</v>
      </c>
      <c r="BZ88" s="268">
        <f t="shared" si="198"/>
        <v>0</v>
      </c>
    </row>
    <row r="89" spans="1:78" s="9" customFormat="1" x14ac:dyDescent="0.2">
      <c r="A89" s="58"/>
      <c r="B89" s="8" t="s">
        <v>942</v>
      </c>
      <c r="C89" s="186"/>
      <c r="D89" s="11"/>
      <c r="E89" s="11"/>
      <c r="F89" s="11"/>
      <c r="G89" s="11"/>
      <c r="H89" s="11"/>
      <c r="I89" s="11"/>
      <c r="J89" s="186"/>
      <c r="K89" s="186"/>
      <c r="L89" s="186"/>
      <c r="M89" s="186"/>
      <c r="N89" s="186"/>
      <c r="O89" s="186"/>
      <c r="P89" s="186"/>
      <c r="Q89" s="11"/>
      <c r="R89" s="11"/>
      <c r="S89" s="11"/>
      <c r="T89" s="11"/>
      <c r="U89" s="11"/>
      <c r="V89" s="11"/>
      <c r="W89" s="186"/>
      <c r="X89" s="11"/>
      <c r="Y89" s="11"/>
      <c r="Z89" s="11"/>
      <c r="AA89" s="11"/>
      <c r="AB89" s="11"/>
      <c r="AC89" s="11"/>
      <c r="AD89" s="186">
        <v>0</v>
      </c>
      <c r="AE89" s="11">
        <v>6500</v>
      </c>
      <c r="AF89" s="11">
        <v>6500</v>
      </c>
      <c r="AG89" s="11">
        <v>0</v>
      </c>
      <c r="AH89" s="11">
        <v>0</v>
      </c>
      <c r="AI89" s="11">
        <v>0</v>
      </c>
      <c r="AJ89" s="11">
        <v>0</v>
      </c>
      <c r="AK89" s="186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86"/>
      <c r="BG89" s="11"/>
      <c r="BH89" s="11"/>
      <c r="BI89" s="11"/>
      <c r="BJ89" s="11"/>
      <c r="BK89" s="11"/>
      <c r="BL89" s="11"/>
      <c r="BM89" s="186"/>
      <c r="BN89" s="11"/>
      <c r="BO89" s="11"/>
      <c r="BP89" s="11"/>
      <c r="BQ89" s="11"/>
      <c r="BR89" s="11"/>
      <c r="BS89" s="11"/>
      <c r="BT89" s="645">
        <f t="shared" si="194"/>
        <v>0</v>
      </c>
      <c r="BU89" s="268">
        <f t="shared" si="189"/>
        <v>6500</v>
      </c>
      <c r="BV89" s="268">
        <f t="shared" si="190"/>
        <v>6500</v>
      </c>
      <c r="BW89" s="268">
        <f t="shared" si="191"/>
        <v>0</v>
      </c>
      <c r="BX89" s="268">
        <f t="shared" si="192"/>
        <v>0</v>
      </c>
      <c r="BY89" s="268">
        <f t="shared" si="198"/>
        <v>0</v>
      </c>
      <c r="BZ89" s="268">
        <f t="shared" si="198"/>
        <v>0</v>
      </c>
    </row>
    <row r="90" spans="1:78" s="9" customFormat="1" x14ac:dyDescent="0.2">
      <c r="A90" s="58"/>
      <c r="B90" s="8" t="s">
        <v>1246</v>
      </c>
      <c r="C90" s="186"/>
      <c r="D90" s="11"/>
      <c r="E90" s="11"/>
      <c r="F90" s="11"/>
      <c r="G90" s="11"/>
      <c r="H90" s="11"/>
      <c r="I90" s="11"/>
      <c r="J90" s="186"/>
      <c r="K90" s="186"/>
      <c r="L90" s="186"/>
      <c r="M90" s="186"/>
      <c r="N90" s="186"/>
      <c r="O90" s="186"/>
      <c r="P90" s="186"/>
      <c r="Q90" s="11"/>
      <c r="R90" s="11"/>
      <c r="S90" s="11"/>
      <c r="T90" s="11"/>
      <c r="U90" s="11"/>
      <c r="V90" s="11"/>
      <c r="W90" s="186"/>
      <c r="X90" s="11"/>
      <c r="Y90" s="11"/>
      <c r="Z90" s="11"/>
      <c r="AA90" s="11"/>
      <c r="AB90" s="11"/>
      <c r="AC90" s="11"/>
      <c r="AD90" s="186">
        <v>0</v>
      </c>
      <c r="AE90" s="11">
        <v>0</v>
      </c>
      <c r="AF90" s="11">
        <f>300</f>
        <v>300</v>
      </c>
      <c r="AG90" s="11"/>
      <c r="AH90" s="11"/>
      <c r="AI90" s="11"/>
      <c r="AJ90" s="11"/>
      <c r="AK90" s="186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86"/>
      <c r="BG90" s="11"/>
      <c r="BH90" s="11"/>
      <c r="BI90" s="11"/>
      <c r="BJ90" s="11"/>
      <c r="BK90" s="11"/>
      <c r="BL90" s="11"/>
      <c r="BM90" s="186"/>
      <c r="BN90" s="11"/>
      <c r="BO90" s="11"/>
      <c r="BP90" s="11"/>
      <c r="BQ90" s="11"/>
      <c r="BR90" s="11"/>
      <c r="BS90" s="11"/>
      <c r="BT90" s="645">
        <f t="shared" si="194"/>
        <v>0</v>
      </c>
      <c r="BU90" s="268">
        <f t="shared" ref="BU90:BU92" si="199">D90+K90+Q90+X90+AE90+AL90+AS90+AZ90+BG90+BN90</f>
        <v>0</v>
      </c>
      <c r="BV90" s="268">
        <f t="shared" ref="BV90:BV92" si="200">E90+K90+R90+Y90+AF90+AM90+AT90+BA90+BH90+BO90</f>
        <v>300</v>
      </c>
      <c r="BW90" s="268"/>
      <c r="BX90" s="268"/>
      <c r="BY90" s="268"/>
      <c r="BZ90" s="268"/>
    </row>
    <row r="91" spans="1:78" s="9" customFormat="1" x14ac:dyDescent="0.2">
      <c r="A91" s="58"/>
      <c r="B91" s="8" t="s">
        <v>1250</v>
      </c>
      <c r="C91" s="186"/>
      <c r="D91" s="11"/>
      <c r="E91" s="11"/>
      <c r="F91" s="11"/>
      <c r="G91" s="11"/>
      <c r="H91" s="11"/>
      <c r="I91" s="11"/>
      <c r="J91" s="186"/>
      <c r="K91" s="186"/>
      <c r="L91" s="186"/>
      <c r="M91" s="186"/>
      <c r="N91" s="186"/>
      <c r="O91" s="186"/>
      <c r="P91" s="186"/>
      <c r="Q91" s="11"/>
      <c r="R91" s="11"/>
      <c r="S91" s="11"/>
      <c r="T91" s="11"/>
      <c r="U91" s="11"/>
      <c r="V91" s="11"/>
      <c r="W91" s="186"/>
      <c r="X91" s="11"/>
      <c r="Y91" s="11"/>
      <c r="Z91" s="11"/>
      <c r="AA91" s="11"/>
      <c r="AB91" s="11"/>
      <c r="AC91" s="11"/>
      <c r="AD91" s="186">
        <v>0</v>
      </c>
      <c r="AE91" s="11">
        <v>0</v>
      </c>
      <c r="AF91" s="11">
        <v>1294</v>
      </c>
      <c r="AG91" s="11"/>
      <c r="AH91" s="11"/>
      <c r="AI91" s="11"/>
      <c r="AJ91" s="11"/>
      <c r="AK91" s="186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86"/>
      <c r="BG91" s="11"/>
      <c r="BH91" s="11"/>
      <c r="BI91" s="11"/>
      <c r="BJ91" s="11"/>
      <c r="BK91" s="11"/>
      <c r="BL91" s="11"/>
      <c r="BM91" s="186"/>
      <c r="BN91" s="11"/>
      <c r="BO91" s="11"/>
      <c r="BP91" s="11"/>
      <c r="BQ91" s="11"/>
      <c r="BR91" s="11"/>
      <c r="BS91" s="11"/>
      <c r="BT91" s="645">
        <f t="shared" si="194"/>
        <v>0</v>
      </c>
      <c r="BU91" s="268">
        <f t="shared" si="199"/>
        <v>0</v>
      </c>
      <c r="BV91" s="268">
        <f t="shared" si="200"/>
        <v>1294</v>
      </c>
      <c r="BW91" s="268"/>
      <c r="BX91" s="268"/>
      <c r="BY91" s="268"/>
      <c r="BZ91" s="268"/>
    </row>
    <row r="92" spans="1:78" s="9" customFormat="1" x14ac:dyDescent="0.2">
      <c r="A92" s="58"/>
      <c r="B92" s="8" t="s">
        <v>1271</v>
      </c>
      <c r="C92" s="186"/>
      <c r="D92" s="11"/>
      <c r="E92" s="11"/>
      <c r="F92" s="11"/>
      <c r="G92" s="11"/>
      <c r="H92" s="11"/>
      <c r="I92" s="11"/>
      <c r="J92" s="186"/>
      <c r="K92" s="186"/>
      <c r="L92" s="186"/>
      <c r="M92" s="186"/>
      <c r="N92" s="186"/>
      <c r="O92" s="186"/>
      <c r="P92" s="186"/>
      <c r="Q92" s="11"/>
      <c r="R92" s="11"/>
      <c r="S92" s="11"/>
      <c r="T92" s="11"/>
      <c r="U92" s="11"/>
      <c r="V92" s="11"/>
      <c r="W92" s="186"/>
      <c r="X92" s="11"/>
      <c r="Y92" s="11"/>
      <c r="Z92" s="11"/>
      <c r="AA92" s="11"/>
      <c r="AB92" s="11"/>
      <c r="AC92" s="11"/>
      <c r="AD92" s="186">
        <v>0</v>
      </c>
      <c r="AE92" s="11">
        <v>0</v>
      </c>
      <c r="AF92" s="11">
        <v>1338</v>
      </c>
      <c r="AG92" s="11"/>
      <c r="AH92" s="11"/>
      <c r="AI92" s="11"/>
      <c r="AJ92" s="11"/>
      <c r="AK92" s="186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86"/>
      <c r="BG92" s="11"/>
      <c r="BH92" s="11"/>
      <c r="BI92" s="11"/>
      <c r="BJ92" s="11"/>
      <c r="BK92" s="11"/>
      <c r="BL92" s="11"/>
      <c r="BM92" s="186"/>
      <c r="BN92" s="11"/>
      <c r="BO92" s="11"/>
      <c r="BP92" s="11"/>
      <c r="BQ92" s="11"/>
      <c r="BR92" s="11"/>
      <c r="BS92" s="11"/>
      <c r="BT92" s="645">
        <f t="shared" si="194"/>
        <v>0</v>
      </c>
      <c r="BU92" s="268">
        <f t="shared" si="199"/>
        <v>0</v>
      </c>
      <c r="BV92" s="268">
        <f t="shared" si="200"/>
        <v>1338</v>
      </c>
      <c r="BW92" s="268"/>
      <c r="BX92" s="268"/>
      <c r="BY92" s="268"/>
      <c r="BZ92" s="268"/>
    </row>
    <row r="93" spans="1:78" s="9" customFormat="1" x14ac:dyDescent="0.2">
      <c r="A93" s="58"/>
      <c r="B93" s="8" t="s">
        <v>1277</v>
      </c>
      <c r="C93" s="186"/>
      <c r="D93" s="11"/>
      <c r="E93" s="11"/>
      <c r="F93" s="11"/>
      <c r="G93" s="11"/>
      <c r="H93" s="11"/>
      <c r="I93" s="11"/>
      <c r="J93" s="186"/>
      <c r="K93" s="186"/>
      <c r="L93" s="186"/>
      <c r="M93" s="186"/>
      <c r="N93" s="186"/>
      <c r="O93" s="186"/>
      <c r="P93" s="186"/>
      <c r="Q93" s="11"/>
      <c r="R93" s="11"/>
      <c r="S93" s="11"/>
      <c r="T93" s="11"/>
      <c r="U93" s="11"/>
      <c r="V93" s="11"/>
      <c r="W93" s="186"/>
      <c r="X93" s="11"/>
      <c r="Y93" s="11"/>
      <c r="Z93" s="11"/>
      <c r="AA93" s="11"/>
      <c r="AB93" s="11"/>
      <c r="AC93" s="11"/>
      <c r="AD93" s="186"/>
      <c r="AE93" s="11"/>
      <c r="AF93" s="11"/>
      <c r="AG93" s="11"/>
      <c r="AH93" s="11"/>
      <c r="AI93" s="11"/>
      <c r="AJ93" s="11"/>
      <c r="AK93" s="186">
        <v>546</v>
      </c>
      <c r="AL93" s="11">
        <v>0</v>
      </c>
      <c r="AM93" s="11">
        <v>720</v>
      </c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86"/>
      <c r="BG93" s="11"/>
      <c r="BH93" s="11"/>
      <c r="BI93" s="11"/>
      <c r="BJ93" s="11"/>
      <c r="BK93" s="11"/>
      <c r="BL93" s="11"/>
      <c r="BM93" s="186"/>
      <c r="BN93" s="11"/>
      <c r="BO93" s="11"/>
      <c r="BP93" s="11"/>
      <c r="BQ93" s="11"/>
      <c r="BR93" s="11"/>
      <c r="BS93" s="11"/>
      <c r="BT93" s="645">
        <f t="shared" ref="BT93" si="201">C93+J93+P93+W93+AD93+AK93+AR93+AY93+BF93+BM93</f>
        <v>546</v>
      </c>
      <c r="BU93" s="268">
        <f t="shared" ref="BU93" si="202">D93+K93+Q93+X93+AE93+AL93+AS93+AZ93+BG93+BN93</f>
        <v>0</v>
      </c>
      <c r="BV93" s="268">
        <f t="shared" ref="BV93" si="203">E93+K93+R93+Y93+AF93+AM93+AT93+BA93+BH93+BO93</f>
        <v>720</v>
      </c>
      <c r="BW93" s="268"/>
      <c r="BX93" s="268"/>
      <c r="BY93" s="268"/>
      <c r="BZ93" s="268"/>
    </row>
    <row r="94" spans="1:78" s="9" customFormat="1" hidden="1" x14ac:dyDescent="0.2">
      <c r="A94" s="58"/>
      <c r="B94" s="8" t="s">
        <v>1087</v>
      </c>
      <c r="C94" s="186"/>
      <c r="D94" s="11"/>
      <c r="E94" s="11"/>
      <c r="F94" s="11"/>
      <c r="G94" s="11"/>
      <c r="H94" s="11"/>
      <c r="I94" s="11"/>
      <c r="J94" s="186"/>
      <c r="K94" s="186"/>
      <c r="L94" s="186"/>
      <c r="M94" s="186"/>
      <c r="N94" s="186"/>
      <c r="O94" s="186"/>
      <c r="P94" s="186"/>
      <c r="Q94" s="11"/>
      <c r="R94" s="11"/>
      <c r="S94" s="11"/>
      <c r="T94" s="11"/>
      <c r="U94" s="11"/>
      <c r="V94" s="11"/>
      <c r="W94" s="186"/>
      <c r="X94" s="11"/>
      <c r="Y94" s="11"/>
      <c r="Z94" s="11"/>
      <c r="AA94" s="11"/>
      <c r="AB94" s="11"/>
      <c r="AC94" s="11"/>
      <c r="AD94" s="186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86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86"/>
      <c r="BG94" s="11"/>
      <c r="BH94" s="11"/>
      <c r="BI94" s="11"/>
      <c r="BJ94" s="11"/>
      <c r="BK94" s="11"/>
      <c r="BL94" s="11"/>
      <c r="BM94" s="186"/>
      <c r="BN94" s="11"/>
      <c r="BO94" s="11"/>
      <c r="BP94" s="11"/>
      <c r="BQ94" s="11"/>
      <c r="BR94" s="11"/>
      <c r="BS94" s="11"/>
      <c r="BT94" s="645">
        <f t="shared" si="194"/>
        <v>0</v>
      </c>
      <c r="BU94" s="268">
        <f t="shared" si="189"/>
        <v>0</v>
      </c>
      <c r="BV94" s="268">
        <f t="shared" ref="BV94:BV102" si="204">E94+K94+R94+Y94+AF94+AM94+AT94+BA94+BH94+BO94</f>
        <v>0</v>
      </c>
      <c r="BW94" s="268">
        <f t="shared" ref="BW94:BW102" si="205">F94+L94+S94+Z94+AG94+AN94+AU94+BB94+BI94+BP94</f>
        <v>0</v>
      </c>
      <c r="BX94" s="268"/>
      <c r="BY94" s="268"/>
      <c r="BZ94" s="268"/>
    </row>
    <row r="95" spans="1:78" s="9" customFormat="1" x14ac:dyDescent="0.2">
      <c r="A95" s="259" t="s">
        <v>700</v>
      </c>
      <c r="B95" s="14" t="s">
        <v>244</v>
      </c>
      <c r="C95" s="542">
        <f t="shared" ref="C95:D95" si="206">SUM(C96:C97)</f>
        <v>0</v>
      </c>
      <c r="D95" s="6">
        <f t="shared" si="206"/>
        <v>0</v>
      </c>
      <c r="E95" s="6">
        <f t="shared" ref="E95" si="207">SUM(E96:E97)</f>
        <v>0</v>
      </c>
      <c r="F95" s="6">
        <f t="shared" ref="F95:I95" si="208">SUM(F96:F97)</f>
        <v>0</v>
      </c>
      <c r="G95" s="6">
        <f t="shared" si="208"/>
        <v>0</v>
      </c>
      <c r="H95" s="6">
        <f t="shared" si="208"/>
        <v>0</v>
      </c>
      <c r="I95" s="6">
        <f t="shared" si="208"/>
        <v>0</v>
      </c>
      <c r="J95" s="6">
        <f t="shared" ref="J95" si="209">SUM(J96:J97)</f>
        <v>0</v>
      </c>
      <c r="K95" s="6">
        <f t="shared" ref="K95:O95" si="210">SUM(K96:K97)</f>
        <v>0</v>
      </c>
      <c r="L95" s="6">
        <f t="shared" si="210"/>
        <v>0</v>
      </c>
      <c r="M95" s="6">
        <f t="shared" si="210"/>
        <v>0</v>
      </c>
      <c r="N95" s="6"/>
      <c r="O95" s="6">
        <f t="shared" si="210"/>
        <v>0</v>
      </c>
      <c r="P95" s="542">
        <f t="shared" ref="P95:Q95" si="211">SUM(P96:P97)</f>
        <v>0</v>
      </c>
      <c r="Q95" s="6">
        <f t="shared" si="211"/>
        <v>0</v>
      </c>
      <c r="R95" s="6">
        <f t="shared" ref="R95" si="212">SUM(R96:R97)</f>
        <v>0</v>
      </c>
      <c r="S95" s="6">
        <f t="shared" ref="S95:T95" si="213">SUM(S96:S97)</f>
        <v>0</v>
      </c>
      <c r="T95" s="6">
        <f t="shared" si="213"/>
        <v>0</v>
      </c>
      <c r="U95" s="6">
        <f t="shared" ref="U95:V95" si="214">SUM(U96:U97)</f>
        <v>0</v>
      </c>
      <c r="V95" s="6">
        <f t="shared" si="214"/>
        <v>0</v>
      </c>
      <c r="W95" s="542">
        <f t="shared" ref="W95" si="215">SUM(W96:W97)</f>
        <v>0</v>
      </c>
      <c r="X95" s="6">
        <f t="shared" ref="X95:Y95" si="216">SUM(X96:X97)</f>
        <v>0</v>
      </c>
      <c r="Y95" s="6">
        <f t="shared" si="216"/>
        <v>0</v>
      </c>
      <c r="Z95" s="6">
        <f t="shared" ref="Z95:AC95" si="217">SUM(Z96:Z97)</f>
        <v>0</v>
      </c>
      <c r="AA95" s="6">
        <f t="shared" si="217"/>
        <v>0</v>
      </c>
      <c r="AB95" s="6">
        <f t="shared" si="217"/>
        <v>0</v>
      </c>
      <c r="AC95" s="6">
        <f t="shared" si="217"/>
        <v>0</v>
      </c>
      <c r="AD95" s="542">
        <f t="shared" ref="AD95:AE95" si="218">SUM(AD96:AD97)</f>
        <v>508</v>
      </c>
      <c r="AE95" s="6">
        <f t="shared" si="218"/>
        <v>750</v>
      </c>
      <c r="AF95" s="6">
        <f t="shared" ref="AF95" si="219">SUM(AF96:AF97)</f>
        <v>750</v>
      </c>
      <c r="AG95" s="6">
        <f t="shared" ref="AG95:AJ95" si="220">SUM(AG96:AG97)</f>
        <v>0</v>
      </c>
      <c r="AH95" s="6">
        <f t="shared" si="220"/>
        <v>0</v>
      </c>
      <c r="AI95" s="6">
        <f t="shared" si="220"/>
        <v>0</v>
      </c>
      <c r="AJ95" s="6">
        <f t="shared" si="220"/>
        <v>0</v>
      </c>
      <c r="AK95" s="542">
        <f t="shared" ref="AK95" si="221">SUM(AK96:AK97)</f>
        <v>0</v>
      </c>
      <c r="AL95" s="6">
        <f t="shared" ref="AL95:AM95" si="222">SUM(AL96:AL97)</f>
        <v>0</v>
      </c>
      <c r="AM95" s="6">
        <f t="shared" si="222"/>
        <v>0</v>
      </c>
      <c r="AN95" s="6">
        <f t="shared" ref="AN95:AQ95" si="223">SUM(AN96:AN97)</f>
        <v>0</v>
      </c>
      <c r="AO95" s="6">
        <f t="shared" si="223"/>
        <v>0</v>
      </c>
      <c r="AP95" s="6">
        <f t="shared" si="223"/>
        <v>0</v>
      </c>
      <c r="AQ95" s="6">
        <f t="shared" si="223"/>
        <v>0</v>
      </c>
      <c r="AR95" s="6">
        <f t="shared" ref="AR95:BF95" si="224">SUM(AR96:AR97)</f>
        <v>0</v>
      </c>
      <c r="AS95" s="6"/>
      <c r="AT95" s="6">
        <f t="shared" si="224"/>
        <v>0</v>
      </c>
      <c r="AU95" s="6">
        <f>SUM(AU96:AU97)</f>
        <v>0</v>
      </c>
      <c r="AV95" s="6">
        <f t="shared" si="224"/>
        <v>0</v>
      </c>
      <c r="AW95" s="6"/>
      <c r="AX95" s="6">
        <f t="shared" si="224"/>
        <v>0</v>
      </c>
      <c r="AY95" s="6">
        <f t="shared" si="224"/>
        <v>0</v>
      </c>
      <c r="AZ95" s="6"/>
      <c r="BA95" s="6">
        <f>SUM(BA96:BA97)</f>
        <v>0</v>
      </c>
      <c r="BB95" s="6">
        <f>SUM(BB96:BB97)</f>
        <v>0</v>
      </c>
      <c r="BC95" s="6">
        <f>SUM(BC96:BC97)</f>
        <v>0</v>
      </c>
      <c r="BD95" s="6"/>
      <c r="BE95" s="6">
        <f t="shared" si="224"/>
        <v>0</v>
      </c>
      <c r="BF95" s="542">
        <f t="shared" si="224"/>
        <v>0</v>
      </c>
      <c r="BG95" s="6">
        <f t="shared" ref="BG95:BH95" si="225">SUM(BG96:BG97)</f>
        <v>0</v>
      </c>
      <c r="BH95" s="6">
        <f t="shared" si="225"/>
        <v>0</v>
      </c>
      <c r="BI95" s="6">
        <f t="shared" ref="BI95:BJ95" si="226">SUM(BI96:BI97)</f>
        <v>0</v>
      </c>
      <c r="BJ95" s="6">
        <f t="shared" si="226"/>
        <v>0</v>
      </c>
      <c r="BK95" s="6">
        <f t="shared" ref="BK95:BL95" si="227">SUM(BK96:BK97)</f>
        <v>0</v>
      </c>
      <c r="BL95" s="6">
        <f t="shared" si="227"/>
        <v>0</v>
      </c>
      <c r="BM95" s="542">
        <f t="shared" ref="BM95" si="228">SUM(BM96:BM97)</f>
        <v>794</v>
      </c>
      <c r="BN95" s="6">
        <f t="shared" ref="BN95:BO95" si="229">SUM(BN96:BN97)</f>
        <v>1200</v>
      </c>
      <c r="BO95" s="6">
        <f t="shared" si="229"/>
        <v>1200</v>
      </c>
      <c r="BP95" s="6">
        <f t="shared" ref="BP95:BQ95" si="230">SUM(BP96:BP97)</f>
        <v>0</v>
      </c>
      <c r="BQ95" s="6">
        <f t="shared" si="230"/>
        <v>0</v>
      </c>
      <c r="BR95" s="6">
        <f t="shared" ref="BR95:BS95" si="231">SUM(BR96:BR97)</f>
        <v>0</v>
      </c>
      <c r="BS95" s="6">
        <f t="shared" si="231"/>
        <v>0</v>
      </c>
      <c r="BT95" s="647">
        <f t="shared" si="194"/>
        <v>1302</v>
      </c>
      <c r="BU95" s="378">
        <f t="shared" si="189"/>
        <v>1950</v>
      </c>
      <c r="BV95" s="378">
        <f t="shared" si="204"/>
        <v>1950</v>
      </c>
      <c r="BW95" s="378">
        <f t="shared" si="205"/>
        <v>0</v>
      </c>
      <c r="BX95" s="378">
        <f t="shared" ref="BX95:BX102" si="232">G95+M95+T95+AA95+AH95+AO95+AV95+BC95+BJ95+BQ95</f>
        <v>0</v>
      </c>
      <c r="BY95" s="378">
        <f t="shared" ref="BY95:BZ102" si="233">H95+N95+U95+AB95+AI95+AP95+AW95+BD95+BK95+BR95</f>
        <v>0</v>
      </c>
      <c r="BZ95" s="378">
        <f t="shared" si="233"/>
        <v>0</v>
      </c>
    </row>
    <row r="96" spans="1:78" s="9" customFormat="1" x14ac:dyDescent="0.2">
      <c r="A96" s="58" t="s">
        <v>511</v>
      </c>
      <c r="B96" s="8" t="s">
        <v>267</v>
      </c>
      <c r="C96" s="186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86"/>
      <c r="Q96" s="11"/>
      <c r="R96" s="11"/>
      <c r="S96" s="11"/>
      <c r="T96" s="11"/>
      <c r="U96" s="11"/>
      <c r="V96" s="11"/>
      <c r="W96" s="186"/>
      <c r="X96" s="11"/>
      <c r="Y96" s="11"/>
      <c r="Z96" s="11"/>
      <c r="AA96" s="11"/>
      <c r="AB96" s="11"/>
      <c r="AC96" s="11"/>
      <c r="AD96" s="186">
        <v>0</v>
      </c>
      <c r="AE96" s="11">
        <v>50</v>
      </c>
      <c r="AF96" s="11">
        <v>50</v>
      </c>
      <c r="AG96" s="11">
        <v>0</v>
      </c>
      <c r="AH96" s="11">
        <v>0</v>
      </c>
      <c r="AI96" s="11">
        <v>0</v>
      </c>
      <c r="AJ96" s="11">
        <v>0</v>
      </c>
      <c r="AK96" s="186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86"/>
      <c r="BG96" s="11"/>
      <c r="BH96" s="11"/>
      <c r="BI96" s="11"/>
      <c r="BJ96" s="11"/>
      <c r="BK96" s="11"/>
      <c r="BL96" s="11"/>
      <c r="BM96" s="186"/>
      <c r="BN96" s="11"/>
      <c r="BO96" s="11"/>
      <c r="BP96" s="11"/>
      <c r="BQ96" s="11"/>
      <c r="BR96" s="11"/>
      <c r="BS96" s="11"/>
      <c r="BT96" s="645">
        <f t="shared" si="194"/>
        <v>0</v>
      </c>
      <c r="BU96" s="268">
        <f t="shared" si="189"/>
        <v>50</v>
      </c>
      <c r="BV96" s="268">
        <f t="shared" si="204"/>
        <v>50</v>
      </c>
      <c r="BW96" s="268">
        <f t="shared" si="205"/>
        <v>0</v>
      </c>
      <c r="BX96" s="268">
        <f t="shared" si="232"/>
        <v>0</v>
      </c>
      <c r="BY96" s="268">
        <f t="shared" si="233"/>
        <v>0</v>
      </c>
      <c r="BZ96" s="268">
        <f t="shared" si="233"/>
        <v>0</v>
      </c>
    </row>
    <row r="97" spans="1:78" s="9" customFormat="1" x14ac:dyDescent="0.2">
      <c r="A97" s="58" t="s">
        <v>651</v>
      </c>
      <c r="B97" s="8" t="s">
        <v>276</v>
      </c>
      <c r="C97" s="186"/>
      <c r="D97" s="11"/>
      <c r="E97" s="11"/>
      <c r="F97" s="11"/>
      <c r="G97" s="11"/>
      <c r="H97" s="11"/>
      <c r="I97" s="11"/>
      <c r="J97" s="186"/>
      <c r="K97" s="186"/>
      <c r="L97" s="186"/>
      <c r="M97" s="186"/>
      <c r="N97" s="186"/>
      <c r="O97" s="186"/>
      <c r="P97" s="186"/>
      <c r="Q97" s="11"/>
      <c r="R97" s="11"/>
      <c r="S97" s="11"/>
      <c r="T97" s="11"/>
      <c r="U97" s="11"/>
      <c r="V97" s="11"/>
      <c r="W97" s="186"/>
      <c r="X97" s="11"/>
      <c r="Y97" s="11"/>
      <c r="Z97" s="11"/>
      <c r="AA97" s="11"/>
      <c r="AB97" s="11"/>
      <c r="AC97" s="11"/>
      <c r="AD97" s="186">
        <v>508</v>
      </c>
      <c r="AE97" s="11">
        <v>700</v>
      </c>
      <c r="AF97" s="11">
        <v>700</v>
      </c>
      <c r="AG97" s="11">
        <v>0</v>
      </c>
      <c r="AH97" s="11">
        <v>0</v>
      </c>
      <c r="AI97" s="11">
        <v>0</v>
      </c>
      <c r="AJ97" s="11">
        <v>0</v>
      </c>
      <c r="AK97" s="186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86"/>
      <c r="BG97" s="11"/>
      <c r="BH97" s="11"/>
      <c r="BI97" s="11"/>
      <c r="BJ97" s="11"/>
      <c r="BK97" s="11"/>
      <c r="BL97" s="11"/>
      <c r="BM97" s="186">
        <v>794</v>
      </c>
      <c r="BN97" s="11">
        <v>1200</v>
      </c>
      <c r="BO97" s="11">
        <v>1200</v>
      </c>
      <c r="BP97" s="11">
        <v>0</v>
      </c>
      <c r="BQ97" s="11">
        <v>0</v>
      </c>
      <c r="BR97" s="11">
        <v>0</v>
      </c>
      <c r="BS97" s="11">
        <v>0</v>
      </c>
      <c r="BT97" s="645">
        <f t="shared" si="194"/>
        <v>1302</v>
      </c>
      <c r="BU97" s="268">
        <f t="shared" si="189"/>
        <v>1900</v>
      </c>
      <c r="BV97" s="268">
        <f t="shared" si="204"/>
        <v>1900</v>
      </c>
      <c r="BW97" s="268">
        <f t="shared" si="205"/>
        <v>0</v>
      </c>
      <c r="BX97" s="268">
        <f t="shared" si="232"/>
        <v>0</v>
      </c>
      <c r="BY97" s="268">
        <f t="shared" si="233"/>
        <v>0</v>
      </c>
      <c r="BZ97" s="268">
        <f t="shared" si="233"/>
        <v>0</v>
      </c>
    </row>
    <row r="98" spans="1:78" x14ac:dyDescent="0.2">
      <c r="A98" s="259" t="s">
        <v>701</v>
      </c>
      <c r="B98" s="14" t="s">
        <v>245</v>
      </c>
      <c r="C98" s="542">
        <f t="shared" ref="C98:D98" si="234">SUM(C99:C106)</f>
        <v>42761</v>
      </c>
      <c r="D98" s="6">
        <f t="shared" si="234"/>
        <v>41000</v>
      </c>
      <c r="E98" s="6">
        <f t="shared" ref="E98" si="235">SUM(E99:E106)</f>
        <v>41000</v>
      </c>
      <c r="F98" s="6">
        <f t="shared" ref="F98:I98" si="236">SUM(F99:F106)</f>
        <v>0</v>
      </c>
      <c r="G98" s="6">
        <f t="shared" si="236"/>
        <v>0</v>
      </c>
      <c r="H98" s="6">
        <f t="shared" si="236"/>
        <v>0</v>
      </c>
      <c r="I98" s="6">
        <f t="shared" si="236"/>
        <v>0</v>
      </c>
      <c r="J98" s="6">
        <f t="shared" ref="J98:AT98" si="237">SUM(J99:J106)</f>
        <v>0</v>
      </c>
      <c r="K98" s="6">
        <f t="shared" ref="K98:O98" si="238">SUM(K99:K106)</f>
        <v>0</v>
      </c>
      <c r="L98" s="6">
        <f t="shared" si="238"/>
        <v>0</v>
      </c>
      <c r="M98" s="6">
        <f t="shared" si="238"/>
        <v>0</v>
      </c>
      <c r="N98" s="6"/>
      <c r="O98" s="6">
        <f t="shared" si="238"/>
        <v>0</v>
      </c>
      <c r="P98" s="542">
        <f t="shared" si="237"/>
        <v>13077</v>
      </c>
      <c r="Q98" s="6">
        <f t="shared" ref="Q98:R98" si="239">SUM(Q99:Q106)</f>
        <v>13200</v>
      </c>
      <c r="R98" s="6">
        <f t="shared" si="239"/>
        <v>13200</v>
      </c>
      <c r="S98" s="6">
        <f t="shared" ref="S98:T98" si="240">SUM(S99:S106)</f>
        <v>0</v>
      </c>
      <c r="T98" s="6">
        <f t="shared" si="240"/>
        <v>0</v>
      </c>
      <c r="U98" s="6">
        <f t="shared" ref="U98:V98" si="241">SUM(U99:U106)</f>
        <v>0</v>
      </c>
      <c r="V98" s="6">
        <f t="shared" si="241"/>
        <v>0</v>
      </c>
      <c r="W98" s="542">
        <f t="shared" si="237"/>
        <v>1542</v>
      </c>
      <c r="X98" s="6">
        <f t="shared" ref="X98:Y98" si="242">SUM(X99:X106)</f>
        <v>2150</v>
      </c>
      <c r="Y98" s="6">
        <f t="shared" si="242"/>
        <v>2150</v>
      </c>
      <c r="Z98" s="6">
        <f t="shared" ref="Z98:AC98" si="243">SUM(Z99:Z106)</f>
        <v>0</v>
      </c>
      <c r="AA98" s="6">
        <f t="shared" si="243"/>
        <v>0</v>
      </c>
      <c r="AB98" s="6">
        <f t="shared" si="243"/>
        <v>0</v>
      </c>
      <c r="AC98" s="6">
        <f t="shared" si="243"/>
        <v>0</v>
      </c>
      <c r="AD98" s="542">
        <f t="shared" ref="AD98" si="244">SUM(AD99:AD106)</f>
        <v>18262</v>
      </c>
      <c r="AE98" s="6">
        <f t="shared" ref="AE98:AF98" si="245">SUM(AE99:AE106)</f>
        <v>217971</v>
      </c>
      <c r="AF98" s="6">
        <f t="shared" si="245"/>
        <v>50334</v>
      </c>
      <c r="AG98" s="6">
        <f t="shared" ref="AG98" si="246">SUM(AG99:AG106)</f>
        <v>0</v>
      </c>
      <c r="AH98" s="6">
        <f t="shared" ref="AH98:AJ98" si="247">SUM(AH99:AH106)</f>
        <v>0</v>
      </c>
      <c r="AI98" s="6">
        <f t="shared" si="247"/>
        <v>0</v>
      </c>
      <c r="AJ98" s="6">
        <f t="shared" si="247"/>
        <v>0</v>
      </c>
      <c r="AK98" s="542">
        <f t="shared" si="237"/>
        <v>7707</v>
      </c>
      <c r="AL98" s="6">
        <f t="shared" ref="AL98:AM98" si="248">SUM(AL99:AL106)</f>
        <v>7160</v>
      </c>
      <c r="AM98" s="6">
        <f t="shared" si="248"/>
        <v>7776</v>
      </c>
      <c r="AN98" s="6">
        <f t="shared" ref="AN98:AQ98" si="249">SUM(AN99:AN106)</f>
        <v>0</v>
      </c>
      <c r="AO98" s="6">
        <f t="shared" si="249"/>
        <v>0</v>
      </c>
      <c r="AP98" s="6">
        <f t="shared" si="249"/>
        <v>0</v>
      </c>
      <c r="AQ98" s="6">
        <f t="shared" si="249"/>
        <v>0</v>
      </c>
      <c r="AR98" s="6">
        <f t="shared" si="237"/>
        <v>0</v>
      </c>
      <c r="AS98" s="6"/>
      <c r="AT98" s="6">
        <f t="shared" si="237"/>
        <v>0</v>
      </c>
      <c r="AU98" s="6">
        <f t="shared" ref="AU98:BM98" si="250">SUM(AU99:AU106)</f>
        <v>0</v>
      </c>
      <c r="AV98" s="6">
        <f t="shared" si="250"/>
        <v>0</v>
      </c>
      <c r="AW98" s="6"/>
      <c r="AX98" s="6">
        <f t="shared" si="250"/>
        <v>0</v>
      </c>
      <c r="AY98" s="6">
        <f t="shared" si="250"/>
        <v>0</v>
      </c>
      <c r="AZ98" s="6"/>
      <c r="BA98" s="6">
        <f t="shared" si="250"/>
        <v>0</v>
      </c>
      <c r="BB98" s="6">
        <f t="shared" si="250"/>
        <v>0</v>
      </c>
      <c r="BC98" s="6">
        <f t="shared" si="250"/>
        <v>0</v>
      </c>
      <c r="BD98" s="6"/>
      <c r="BE98" s="6">
        <f t="shared" si="250"/>
        <v>0</v>
      </c>
      <c r="BF98" s="542">
        <f t="shared" si="250"/>
        <v>2261</v>
      </c>
      <c r="BG98" s="6">
        <f t="shared" ref="BG98:BH98" si="251">SUM(BG99:BG106)</f>
        <v>2961</v>
      </c>
      <c r="BH98" s="6">
        <f t="shared" si="251"/>
        <v>3485</v>
      </c>
      <c r="BI98" s="6">
        <f t="shared" ref="BI98:BJ98" si="252">SUM(BI99:BI106)</f>
        <v>0</v>
      </c>
      <c r="BJ98" s="6">
        <f t="shared" si="252"/>
        <v>0</v>
      </c>
      <c r="BK98" s="6">
        <f t="shared" ref="BK98:BL98" si="253">SUM(BK99:BK106)</f>
        <v>0</v>
      </c>
      <c r="BL98" s="6">
        <f t="shared" si="253"/>
        <v>0</v>
      </c>
      <c r="BM98" s="542">
        <f t="shared" si="250"/>
        <v>4009</v>
      </c>
      <c r="BN98" s="6">
        <f t="shared" ref="BN98:BO98" si="254">SUM(BN99:BN106)</f>
        <v>6000</v>
      </c>
      <c r="BO98" s="6">
        <f t="shared" si="254"/>
        <v>5995</v>
      </c>
      <c r="BP98" s="6">
        <f t="shared" ref="BP98:BQ98" si="255">SUM(BP99:BP106)</f>
        <v>0</v>
      </c>
      <c r="BQ98" s="6">
        <f t="shared" si="255"/>
        <v>0</v>
      </c>
      <c r="BR98" s="6">
        <f t="shared" ref="BR98:BS98" si="256">SUM(BR99:BR106)</f>
        <v>0</v>
      </c>
      <c r="BS98" s="6">
        <f t="shared" si="256"/>
        <v>0</v>
      </c>
      <c r="BT98" s="647">
        <f t="shared" si="194"/>
        <v>89619</v>
      </c>
      <c r="BU98" s="378">
        <f t="shared" si="189"/>
        <v>290442</v>
      </c>
      <c r="BV98" s="378">
        <f t="shared" si="204"/>
        <v>123940</v>
      </c>
      <c r="BW98" s="378">
        <f t="shared" si="205"/>
        <v>0</v>
      </c>
      <c r="BX98" s="378">
        <f t="shared" si="232"/>
        <v>0</v>
      </c>
      <c r="BY98" s="378">
        <f t="shared" si="233"/>
        <v>0</v>
      </c>
      <c r="BZ98" s="378">
        <f t="shared" si="233"/>
        <v>0</v>
      </c>
    </row>
    <row r="99" spans="1:78" x14ac:dyDescent="0.2">
      <c r="A99" s="58" t="s">
        <v>446</v>
      </c>
      <c r="B99" s="8" t="s">
        <v>257</v>
      </c>
      <c r="C99" s="186">
        <v>4918</v>
      </c>
      <c r="D99" s="11">
        <v>5500</v>
      </c>
      <c r="E99" s="11">
        <v>5500</v>
      </c>
      <c r="F99" s="11">
        <v>0</v>
      </c>
      <c r="G99" s="11">
        <v>0</v>
      </c>
      <c r="H99" s="11">
        <v>0</v>
      </c>
      <c r="I99" s="11">
        <v>0</v>
      </c>
      <c r="J99" s="11"/>
      <c r="K99" s="11"/>
      <c r="L99" s="11"/>
      <c r="M99" s="11"/>
      <c r="N99" s="11"/>
      <c r="O99" s="11"/>
      <c r="P99" s="186">
        <v>13077</v>
      </c>
      <c r="Q99" s="11">
        <v>13200</v>
      </c>
      <c r="R99" s="11">
        <v>13200</v>
      </c>
      <c r="S99" s="11">
        <v>0</v>
      </c>
      <c r="T99" s="11">
        <v>0</v>
      </c>
      <c r="U99" s="11">
        <v>0</v>
      </c>
      <c r="V99" s="11">
        <v>0</v>
      </c>
      <c r="W99" s="186">
        <v>1361</v>
      </c>
      <c r="X99" s="11">
        <v>1900</v>
      </c>
      <c r="Y99" s="11">
        <v>1900</v>
      </c>
      <c r="Z99" s="11">
        <v>0</v>
      </c>
      <c r="AA99" s="11">
        <v>0</v>
      </c>
      <c r="AB99" s="11">
        <v>0</v>
      </c>
      <c r="AC99" s="11">
        <v>0</v>
      </c>
      <c r="AD99" s="186">
        <v>16746</v>
      </c>
      <c r="AE99" s="11">
        <f>21500+945+Q165</f>
        <v>34831</v>
      </c>
      <c r="AF99" s="11">
        <f>21500+945+R165+81+594+378+324</f>
        <v>35639</v>
      </c>
      <c r="AG99" s="11">
        <v>0</v>
      </c>
      <c r="AH99" s="11">
        <v>0</v>
      </c>
      <c r="AI99" s="11">
        <v>0</v>
      </c>
      <c r="AJ99" s="11">
        <v>0</v>
      </c>
      <c r="AK99" s="186">
        <v>7707</v>
      </c>
      <c r="AL99" s="11">
        <f>7120+40</f>
        <v>7160</v>
      </c>
      <c r="AM99" s="11">
        <f>7120+40+270+346</f>
        <v>7776</v>
      </c>
      <c r="AN99" s="11">
        <v>0</v>
      </c>
      <c r="AO99" s="11">
        <v>0</v>
      </c>
      <c r="AP99" s="11">
        <v>0</v>
      </c>
      <c r="AQ99" s="11">
        <v>0</v>
      </c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86">
        <v>2261</v>
      </c>
      <c r="BG99" s="11">
        <v>2961</v>
      </c>
      <c r="BH99" s="11">
        <f>2961+182+110+232</f>
        <v>3485</v>
      </c>
      <c r="BI99" s="11">
        <v>0</v>
      </c>
      <c r="BJ99" s="11">
        <v>0</v>
      </c>
      <c r="BK99" s="11">
        <v>0</v>
      </c>
      <c r="BL99" s="11">
        <v>0</v>
      </c>
      <c r="BM99" s="186">
        <v>3639</v>
      </c>
      <c r="BN99" s="11">
        <v>4800</v>
      </c>
      <c r="BO99" s="11">
        <f>4800-5</f>
        <v>4795</v>
      </c>
      <c r="BP99" s="11">
        <v>0</v>
      </c>
      <c r="BQ99" s="11">
        <v>0</v>
      </c>
      <c r="BR99" s="11">
        <v>0</v>
      </c>
      <c r="BS99" s="11">
        <v>0</v>
      </c>
      <c r="BT99" s="645">
        <f t="shared" si="194"/>
        <v>49709</v>
      </c>
      <c r="BU99" s="268">
        <f t="shared" si="189"/>
        <v>70352</v>
      </c>
      <c r="BV99" s="268">
        <f t="shared" si="204"/>
        <v>72295</v>
      </c>
      <c r="BW99" s="268">
        <f t="shared" si="205"/>
        <v>0</v>
      </c>
      <c r="BX99" s="268">
        <f t="shared" si="232"/>
        <v>0</v>
      </c>
      <c r="BY99" s="268">
        <f t="shared" si="233"/>
        <v>0</v>
      </c>
      <c r="BZ99" s="268">
        <f t="shared" si="233"/>
        <v>0</v>
      </c>
    </row>
    <row r="100" spans="1:78" x14ac:dyDescent="0.2">
      <c r="A100" s="58" t="s">
        <v>459</v>
      </c>
      <c r="B100" s="14" t="s">
        <v>483</v>
      </c>
      <c r="C100" s="186"/>
      <c r="D100" s="11"/>
      <c r="E100" s="11"/>
      <c r="F100" s="11"/>
      <c r="G100" s="11"/>
      <c r="H100" s="11"/>
      <c r="I100" s="11"/>
      <c r="J100" s="186"/>
      <c r="K100" s="186"/>
      <c r="L100" s="186"/>
      <c r="M100" s="186"/>
      <c r="N100" s="186"/>
      <c r="O100" s="186"/>
      <c r="P100" s="186"/>
      <c r="Q100" s="11"/>
      <c r="R100" s="11"/>
      <c r="S100" s="11"/>
      <c r="T100" s="11"/>
      <c r="U100" s="11"/>
      <c r="V100" s="11"/>
      <c r="W100" s="186"/>
      <c r="X100" s="11"/>
      <c r="Y100" s="11"/>
      <c r="Z100" s="11"/>
      <c r="AA100" s="11"/>
      <c r="AB100" s="11"/>
      <c r="AC100" s="11"/>
      <c r="AD100" s="186">
        <v>583</v>
      </c>
      <c r="AE100" s="11">
        <f>BG130</f>
        <v>181140</v>
      </c>
      <c r="AF100" s="11">
        <f>BH130</f>
        <v>13090</v>
      </c>
      <c r="AG100" s="11">
        <v>0</v>
      </c>
      <c r="AH100" s="11">
        <v>0</v>
      </c>
      <c r="AI100" s="11">
        <v>0</v>
      </c>
      <c r="AJ100" s="11">
        <v>0</v>
      </c>
      <c r="AK100" s="186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86"/>
      <c r="BG100" s="11"/>
      <c r="BH100" s="11"/>
      <c r="BI100" s="11"/>
      <c r="BJ100" s="11"/>
      <c r="BK100" s="11"/>
      <c r="BL100" s="11"/>
      <c r="BM100" s="186"/>
      <c r="BN100" s="11"/>
      <c r="BO100" s="11"/>
      <c r="BP100" s="11"/>
      <c r="BQ100" s="11"/>
      <c r="BR100" s="11"/>
      <c r="BS100" s="11"/>
      <c r="BT100" s="645">
        <f t="shared" si="194"/>
        <v>583</v>
      </c>
      <c r="BU100" s="268">
        <f t="shared" si="189"/>
        <v>181140</v>
      </c>
      <c r="BV100" s="268">
        <f t="shared" si="204"/>
        <v>13090</v>
      </c>
      <c r="BW100" s="268">
        <f t="shared" si="205"/>
        <v>0</v>
      </c>
      <c r="BX100" s="268">
        <f t="shared" si="232"/>
        <v>0</v>
      </c>
      <c r="BY100" s="268">
        <f t="shared" si="233"/>
        <v>0</v>
      </c>
      <c r="BZ100" s="268">
        <f t="shared" si="233"/>
        <v>0</v>
      </c>
    </row>
    <row r="101" spans="1:78" x14ac:dyDescent="0.2">
      <c r="A101" s="58" t="s">
        <v>658</v>
      </c>
      <c r="B101" s="8" t="s">
        <v>481</v>
      </c>
      <c r="C101" s="186">
        <v>35277</v>
      </c>
      <c r="D101" s="11">
        <v>33000</v>
      </c>
      <c r="E101" s="11">
        <v>33000</v>
      </c>
      <c r="F101" s="11">
        <v>0</v>
      </c>
      <c r="G101" s="11">
        <v>0</v>
      </c>
      <c r="H101" s="11">
        <v>0</v>
      </c>
      <c r="I101" s="11">
        <v>0</v>
      </c>
      <c r="J101" s="186"/>
      <c r="K101" s="186"/>
      <c r="L101" s="186"/>
      <c r="M101" s="186"/>
      <c r="N101" s="186"/>
      <c r="O101" s="186"/>
      <c r="P101" s="186"/>
      <c r="Q101" s="11"/>
      <c r="R101" s="11"/>
      <c r="S101" s="11"/>
      <c r="T101" s="11"/>
      <c r="U101" s="11"/>
      <c r="V101" s="11"/>
      <c r="W101" s="186"/>
      <c r="X101" s="11"/>
      <c r="Y101" s="11"/>
      <c r="Z101" s="11"/>
      <c r="AA101" s="11"/>
      <c r="AB101" s="11"/>
      <c r="AC101" s="11"/>
      <c r="AD101" s="186"/>
      <c r="AE101" s="11"/>
      <c r="AF101" s="11"/>
      <c r="AG101" s="11"/>
      <c r="AH101" s="11"/>
      <c r="AI101" s="11"/>
      <c r="AJ101" s="11"/>
      <c r="AK101" s="186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86"/>
      <c r="BG101" s="11"/>
      <c r="BH101" s="11"/>
      <c r="BI101" s="11"/>
      <c r="BJ101" s="11"/>
      <c r="BK101" s="11"/>
      <c r="BL101" s="11"/>
      <c r="BM101" s="186"/>
      <c r="BN101" s="11"/>
      <c r="BO101" s="11"/>
      <c r="BP101" s="11"/>
      <c r="BQ101" s="11"/>
      <c r="BR101" s="11"/>
      <c r="BS101" s="11"/>
      <c r="BT101" s="645">
        <f t="shared" si="194"/>
        <v>35277</v>
      </c>
      <c r="BU101" s="268">
        <f t="shared" si="189"/>
        <v>33000</v>
      </c>
      <c r="BV101" s="268">
        <f t="shared" si="204"/>
        <v>33000</v>
      </c>
      <c r="BW101" s="268">
        <f t="shared" si="205"/>
        <v>0</v>
      </c>
      <c r="BX101" s="268">
        <f t="shared" si="232"/>
        <v>0</v>
      </c>
      <c r="BY101" s="268">
        <f t="shared" si="233"/>
        <v>0</v>
      </c>
      <c r="BZ101" s="268">
        <f t="shared" si="233"/>
        <v>0</v>
      </c>
    </row>
    <row r="102" spans="1:78" x14ac:dyDescent="0.2">
      <c r="A102" s="58" t="s">
        <v>447</v>
      </c>
      <c r="B102" s="8" t="s">
        <v>54</v>
      </c>
      <c r="C102" s="186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86"/>
      <c r="Q102" s="11"/>
      <c r="R102" s="11"/>
      <c r="S102" s="11"/>
      <c r="T102" s="11"/>
      <c r="U102" s="11"/>
      <c r="V102" s="11"/>
      <c r="W102" s="186"/>
      <c r="X102" s="11"/>
      <c r="Y102" s="11"/>
      <c r="Z102" s="11"/>
      <c r="AA102" s="11"/>
      <c r="AB102" s="11"/>
      <c r="AC102" s="11"/>
      <c r="AD102" s="186"/>
      <c r="AE102" s="11"/>
      <c r="AF102" s="11"/>
      <c r="AG102" s="11"/>
      <c r="AH102" s="11"/>
      <c r="AI102" s="11"/>
      <c r="AJ102" s="11"/>
      <c r="AK102" s="186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86"/>
      <c r="BG102" s="11"/>
      <c r="BH102" s="11"/>
      <c r="BI102" s="11"/>
      <c r="BJ102" s="11"/>
      <c r="BK102" s="11"/>
      <c r="BL102" s="11"/>
      <c r="BM102" s="186"/>
      <c r="BN102" s="11"/>
      <c r="BO102" s="11"/>
      <c r="BP102" s="11"/>
      <c r="BQ102" s="11"/>
      <c r="BR102" s="11"/>
      <c r="BS102" s="11"/>
      <c r="BT102" s="645">
        <f t="shared" si="194"/>
        <v>0</v>
      </c>
      <c r="BU102" s="268">
        <f t="shared" si="189"/>
        <v>0</v>
      </c>
      <c r="BV102" s="268">
        <f t="shared" si="204"/>
        <v>0</v>
      </c>
      <c r="BW102" s="268">
        <f t="shared" si="205"/>
        <v>0</v>
      </c>
      <c r="BX102" s="268">
        <f t="shared" si="232"/>
        <v>0</v>
      </c>
      <c r="BY102" s="268">
        <f t="shared" si="233"/>
        <v>0</v>
      </c>
      <c r="BZ102" s="268">
        <f t="shared" si="233"/>
        <v>0</v>
      </c>
    </row>
    <row r="103" spans="1:78" ht="12.75" hidden="1" customHeight="1" x14ac:dyDescent="0.2">
      <c r="A103" s="58"/>
      <c r="B103" s="8"/>
      <c r="C103" s="186"/>
      <c r="D103" s="11"/>
      <c r="E103" s="11"/>
      <c r="F103" s="11"/>
      <c r="G103" s="11"/>
      <c r="H103" s="11"/>
      <c r="I103" s="11"/>
      <c r="J103" s="186"/>
      <c r="K103" s="186"/>
      <c r="L103" s="186"/>
      <c r="M103" s="186"/>
      <c r="N103" s="186"/>
      <c r="O103" s="186"/>
      <c r="P103" s="186"/>
      <c r="Q103" s="11"/>
      <c r="R103" s="11"/>
      <c r="S103" s="11"/>
      <c r="T103" s="11"/>
      <c r="U103" s="11"/>
      <c r="V103" s="11"/>
      <c r="W103" s="186"/>
      <c r="X103" s="11"/>
      <c r="Y103" s="11"/>
      <c r="Z103" s="11"/>
      <c r="AA103" s="11"/>
      <c r="AB103" s="11"/>
      <c r="AC103" s="11"/>
      <c r="AD103" s="186"/>
      <c r="AE103" s="11"/>
      <c r="AF103" s="11"/>
      <c r="AG103" s="11"/>
      <c r="AH103" s="11"/>
      <c r="AI103" s="11"/>
      <c r="AJ103" s="11"/>
      <c r="AK103" s="186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86"/>
      <c r="BG103" s="11"/>
      <c r="BH103" s="11"/>
      <c r="BI103" s="11"/>
      <c r="BJ103" s="11"/>
      <c r="BK103" s="11"/>
      <c r="BL103" s="11"/>
      <c r="BM103" s="186"/>
      <c r="BN103" s="11"/>
      <c r="BO103" s="11"/>
      <c r="BP103" s="11"/>
      <c r="BQ103" s="11"/>
      <c r="BR103" s="11"/>
      <c r="BS103" s="11"/>
      <c r="BT103" s="645"/>
      <c r="BU103" s="268"/>
      <c r="BV103" s="268"/>
      <c r="BW103" s="268"/>
      <c r="BX103" s="268"/>
      <c r="BY103" s="268"/>
      <c r="BZ103" s="268"/>
    </row>
    <row r="104" spans="1:78" ht="12.75" hidden="1" customHeight="1" x14ac:dyDescent="0.2">
      <c r="A104" s="58"/>
      <c r="B104" s="8"/>
      <c r="C104" s="186"/>
      <c r="D104" s="11"/>
      <c r="E104" s="11"/>
      <c r="F104" s="11"/>
      <c r="G104" s="11"/>
      <c r="H104" s="11"/>
      <c r="I104" s="11"/>
      <c r="J104" s="186"/>
      <c r="K104" s="186"/>
      <c r="L104" s="186"/>
      <c r="M104" s="186"/>
      <c r="N104" s="186"/>
      <c r="O104" s="186"/>
      <c r="P104" s="186"/>
      <c r="Q104" s="11"/>
      <c r="R104" s="11"/>
      <c r="S104" s="11"/>
      <c r="T104" s="11"/>
      <c r="U104" s="11"/>
      <c r="V104" s="11"/>
      <c r="W104" s="186"/>
      <c r="X104" s="11"/>
      <c r="Y104" s="11"/>
      <c r="Z104" s="11"/>
      <c r="AA104" s="11"/>
      <c r="AB104" s="11"/>
      <c r="AC104" s="11"/>
      <c r="AD104" s="186"/>
      <c r="AE104" s="11"/>
      <c r="AF104" s="11"/>
      <c r="AG104" s="11"/>
      <c r="AH104" s="11"/>
      <c r="AI104" s="11"/>
      <c r="AJ104" s="11"/>
      <c r="AK104" s="186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86"/>
      <c r="BG104" s="11"/>
      <c r="BH104" s="11"/>
      <c r="BI104" s="11"/>
      <c r="BJ104" s="11"/>
      <c r="BK104" s="11"/>
      <c r="BL104" s="11"/>
      <c r="BM104" s="186"/>
      <c r="BN104" s="11"/>
      <c r="BO104" s="11"/>
      <c r="BP104" s="11"/>
      <c r="BQ104" s="11"/>
      <c r="BR104" s="11"/>
      <c r="BS104" s="11"/>
      <c r="BT104" s="645">
        <f t="shared" ref="BT104:BT114" si="257">C104+J104+P104+W104+AD104+AK104+AR104+AY104+BF104+BM104</f>
        <v>0</v>
      </c>
      <c r="BU104" s="268">
        <f t="shared" ref="BU104:BU114" si="258">D104+K104+Q104+X104+AE104+AL104+AS104+AZ104+BG104+BN104</f>
        <v>0</v>
      </c>
      <c r="BV104" s="268">
        <f t="shared" ref="BV104:BV114" si="259">E104+K104+R104+Y104+AF104+AM104+AT104+BA104+BH104+BO104</f>
        <v>0</v>
      </c>
      <c r="BW104" s="268">
        <f t="shared" ref="BW104:BW114" si="260">F104+L104+S104+Z104+AG104+AN104+AU104+BB104+BI104+BP104</f>
        <v>0</v>
      </c>
      <c r="BX104" s="268">
        <f t="shared" ref="BX104:BX114" si="261">G104+M104+T104+AA104+AH104+AO104+AV104+BC104+BJ104+BQ104</f>
        <v>0</v>
      </c>
      <c r="BY104" s="268">
        <f t="shared" ref="BY104:BZ113" si="262">H104+N104+U104+AB104+AI104+AP104+AW104+BD104+BK104+BR104</f>
        <v>0</v>
      </c>
      <c r="BZ104" s="268">
        <f t="shared" si="262"/>
        <v>0</v>
      </c>
    </row>
    <row r="105" spans="1:78" x14ac:dyDescent="0.2">
      <c r="A105" s="58"/>
      <c r="B105" s="8" t="s">
        <v>484</v>
      </c>
      <c r="C105" s="186">
        <v>2566</v>
      </c>
      <c r="D105" s="11">
        <v>2500</v>
      </c>
      <c r="E105" s="11">
        <v>2500</v>
      </c>
      <c r="F105" s="11">
        <v>0</v>
      </c>
      <c r="G105" s="11">
        <v>0</v>
      </c>
      <c r="H105" s="11">
        <v>0</v>
      </c>
      <c r="I105" s="11">
        <v>0</v>
      </c>
      <c r="J105" s="11"/>
      <c r="K105" s="11"/>
      <c r="L105" s="11"/>
      <c r="M105" s="11"/>
      <c r="N105" s="11"/>
      <c r="O105" s="11"/>
      <c r="P105" s="186"/>
      <c r="Q105" s="11"/>
      <c r="R105" s="11"/>
      <c r="S105" s="11"/>
      <c r="T105" s="11"/>
      <c r="U105" s="11"/>
      <c r="V105" s="11"/>
      <c r="W105" s="186">
        <v>181</v>
      </c>
      <c r="X105" s="11">
        <v>250</v>
      </c>
      <c r="Y105" s="11">
        <v>250</v>
      </c>
      <c r="Z105" s="11">
        <v>0</v>
      </c>
      <c r="AA105" s="11">
        <v>0</v>
      </c>
      <c r="AB105" s="11">
        <v>0</v>
      </c>
      <c r="AC105" s="11">
        <v>0</v>
      </c>
      <c r="AD105" s="186">
        <v>933</v>
      </c>
      <c r="AE105" s="11">
        <v>2000</v>
      </c>
      <c r="AF105" s="11">
        <f>2000-395</f>
        <v>1605</v>
      </c>
      <c r="AG105" s="11">
        <v>0</v>
      </c>
      <c r="AH105" s="11">
        <v>0</v>
      </c>
      <c r="AI105" s="11">
        <v>0</v>
      </c>
      <c r="AJ105" s="11">
        <v>0</v>
      </c>
      <c r="AK105" s="186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86"/>
      <c r="BG105" s="11"/>
      <c r="BH105" s="11"/>
      <c r="BI105" s="11"/>
      <c r="BJ105" s="11"/>
      <c r="BK105" s="11"/>
      <c r="BL105" s="11"/>
      <c r="BM105" s="186">
        <v>370</v>
      </c>
      <c r="BN105" s="11">
        <v>1200</v>
      </c>
      <c r="BO105" s="11">
        <v>1200</v>
      </c>
      <c r="BP105" s="11">
        <v>0</v>
      </c>
      <c r="BQ105" s="11">
        <v>0</v>
      </c>
      <c r="BR105" s="11">
        <v>0</v>
      </c>
      <c r="BS105" s="11">
        <v>0</v>
      </c>
      <c r="BT105" s="645">
        <f t="shared" si="257"/>
        <v>4050</v>
      </c>
      <c r="BU105" s="268">
        <f t="shared" si="258"/>
        <v>5950</v>
      </c>
      <c r="BV105" s="268">
        <f t="shared" si="259"/>
        <v>5555</v>
      </c>
      <c r="BW105" s="268">
        <f t="shared" si="260"/>
        <v>0</v>
      </c>
      <c r="BX105" s="268">
        <f t="shared" si="261"/>
        <v>0</v>
      </c>
      <c r="BY105" s="268">
        <f t="shared" si="262"/>
        <v>0</v>
      </c>
      <c r="BZ105" s="268">
        <f t="shared" si="262"/>
        <v>0</v>
      </c>
    </row>
    <row r="106" spans="1:78" ht="12.75" hidden="1" customHeight="1" x14ac:dyDescent="0.2">
      <c r="A106" s="58"/>
      <c r="B106" s="8" t="s">
        <v>395</v>
      </c>
      <c r="C106" s="186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86"/>
      <c r="Q106" s="11"/>
      <c r="R106" s="11"/>
      <c r="S106" s="11"/>
      <c r="T106" s="11"/>
      <c r="U106" s="11"/>
      <c r="V106" s="11"/>
      <c r="W106" s="186"/>
      <c r="X106" s="11"/>
      <c r="Y106" s="11"/>
      <c r="Z106" s="11"/>
      <c r="AA106" s="11"/>
      <c r="AB106" s="11"/>
      <c r="AC106" s="11"/>
      <c r="AD106" s="186"/>
      <c r="AE106" s="11"/>
      <c r="AF106" s="11"/>
      <c r="AG106" s="11"/>
      <c r="AH106" s="11"/>
      <c r="AI106" s="11"/>
      <c r="AJ106" s="11"/>
      <c r="AK106" s="186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86"/>
      <c r="BG106" s="11"/>
      <c r="BH106" s="11"/>
      <c r="BI106" s="11"/>
      <c r="BJ106" s="11"/>
      <c r="BK106" s="11"/>
      <c r="BL106" s="11"/>
      <c r="BM106" s="186"/>
      <c r="BN106" s="11"/>
      <c r="BO106" s="11"/>
      <c r="BP106" s="11"/>
      <c r="BQ106" s="11"/>
      <c r="BR106" s="11"/>
      <c r="BS106" s="11"/>
      <c r="BT106" s="645">
        <f t="shared" si="257"/>
        <v>0</v>
      </c>
      <c r="BU106" s="268">
        <f t="shared" si="258"/>
        <v>0</v>
      </c>
      <c r="BV106" s="268">
        <f t="shared" si="259"/>
        <v>0</v>
      </c>
      <c r="BW106" s="268">
        <f t="shared" si="260"/>
        <v>0</v>
      </c>
      <c r="BX106" s="268">
        <f t="shared" si="261"/>
        <v>0</v>
      </c>
      <c r="BY106" s="268">
        <f t="shared" si="262"/>
        <v>0</v>
      </c>
      <c r="BZ106" s="268">
        <f t="shared" si="262"/>
        <v>0</v>
      </c>
    </row>
    <row r="107" spans="1:78" x14ac:dyDescent="0.2">
      <c r="A107" s="259" t="s">
        <v>262</v>
      </c>
      <c r="B107" s="109" t="s">
        <v>27</v>
      </c>
      <c r="C107" s="638">
        <f t="shared" ref="C107:AT107" si="263">SUM(C37+C46+C49+C95+C98)</f>
        <v>75506</v>
      </c>
      <c r="D107" s="142">
        <f t="shared" si="263"/>
        <v>73225</v>
      </c>
      <c r="E107" s="142">
        <f t="shared" ref="E107" si="264">SUM(E37+E46+E49+E95+E98)</f>
        <v>75986</v>
      </c>
      <c r="F107" s="142">
        <f t="shared" ref="F107:I107" si="265">SUM(F37+F46+F49+F95+F98)</f>
        <v>0</v>
      </c>
      <c r="G107" s="142">
        <f t="shared" si="265"/>
        <v>0</v>
      </c>
      <c r="H107" s="142">
        <f t="shared" si="265"/>
        <v>0</v>
      </c>
      <c r="I107" s="142">
        <f t="shared" si="265"/>
        <v>0</v>
      </c>
      <c r="J107" s="142">
        <f t="shared" si="263"/>
        <v>0</v>
      </c>
      <c r="K107" s="142">
        <f t="shared" si="263"/>
        <v>0</v>
      </c>
      <c r="L107" s="142">
        <f t="shared" si="263"/>
        <v>0</v>
      </c>
      <c r="M107" s="142">
        <f t="shared" si="263"/>
        <v>0</v>
      </c>
      <c r="N107" s="142"/>
      <c r="O107" s="142">
        <f t="shared" si="263"/>
        <v>0</v>
      </c>
      <c r="P107" s="638">
        <f t="shared" si="263"/>
        <v>62947</v>
      </c>
      <c r="Q107" s="142">
        <f t="shared" ref="Q107:R107" si="266">SUM(Q37+Q46+Q49+Q95+Q98)</f>
        <v>63025</v>
      </c>
      <c r="R107" s="142">
        <f t="shared" si="266"/>
        <v>63025</v>
      </c>
      <c r="S107" s="142">
        <f t="shared" ref="S107:T107" si="267">SUM(S37+S46+S49+S95+S98)</f>
        <v>0</v>
      </c>
      <c r="T107" s="142">
        <f t="shared" si="267"/>
        <v>0</v>
      </c>
      <c r="U107" s="142">
        <f t="shared" ref="U107:V107" si="268">SUM(U37+U46+U49+U95+U98)</f>
        <v>0</v>
      </c>
      <c r="V107" s="142">
        <f t="shared" si="268"/>
        <v>0</v>
      </c>
      <c r="W107" s="638">
        <f t="shared" si="263"/>
        <v>8463</v>
      </c>
      <c r="X107" s="142">
        <f t="shared" ref="X107:Y107" si="269">SUM(X37+X46+X49+X95+X98)</f>
        <v>10500</v>
      </c>
      <c r="Y107" s="142">
        <f t="shared" si="269"/>
        <v>9760</v>
      </c>
      <c r="Z107" s="142">
        <f t="shared" ref="Z107:AC107" si="270">SUM(Z37+Z46+Z49+Z95+Z98)</f>
        <v>0</v>
      </c>
      <c r="AA107" s="142">
        <f t="shared" si="270"/>
        <v>0</v>
      </c>
      <c r="AB107" s="142">
        <f t="shared" si="270"/>
        <v>0</v>
      </c>
      <c r="AC107" s="142">
        <f t="shared" si="270"/>
        <v>0</v>
      </c>
      <c r="AD107" s="638">
        <f t="shared" si="263"/>
        <v>89010</v>
      </c>
      <c r="AE107" s="142">
        <f t="shared" ref="AE107:AF107" si="271">SUM(AE37+AE46+AE49+AE95+AE98)</f>
        <v>351344</v>
      </c>
      <c r="AF107" s="142">
        <f t="shared" si="271"/>
        <v>194317</v>
      </c>
      <c r="AG107" s="142">
        <f t="shared" ref="AG107:AJ107" si="272">SUM(AG37+AG46+AG49+AG95+AG98)</f>
        <v>0</v>
      </c>
      <c r="AH107" s="142">
        <f t="shared" si="272"/>
        <v>0</v>
      </c>
      <c r="AI107" s="142">
        <f t="shared" si="272"/>
        <v>0</v>
      </c>
      <c r="AJ107" s="142">
        <f t="shared" si="272"/>
        <v>0</v>
      </c>
      <c r="AK107" s="638">
        <f t="shared" si="263"/>
        <v>36251</v>
      </c>
      <c r="AL107" s="142">
        <f t="shared" ref="AL107:AM107" si="273">SUM(AL37+AL46+AL49+AL95+AL98)</f>
        <v>33774</v>
      </c>
      <c r="AM107" s="142">
        <f t="shared" si="273"/>
        <v>39148</v>
      </c>
      <c r="AN107" s="142">
        <f t="shared" ref="AN107:AQ107" si="274">SUM(AN37+AN46+AN49+AN95+AN98)</f>
        <v>0</v>
      </c>
      <c r="AO107" s="142">
        <f t="shared" si="274"/>
        <v>0</v>
      </c>
      <c r="AP107" s="142">
        <f t="shared" si="274"/>
        <v>0</v>
      </c>
      <c r="AQ107" s="142">
        <f t="shared" si="274"/>
        <v>0</v>
      </c>
      <c r="AR107" s="142">
        <f t="shared" si="263"/>
        <v>0</v>
      </c>
      <c r="AS107" s="142"/>
      <c r="AT107" s="142">
        <f t="shared" si="263"/>
        <v>0</v>
      </c>
      <c r="AU107" s="142">
        <f t="shared" ref="AU107:BN107" si="275">SUM(AU37+AU46+AU49+AU95+AU98)</f>
        <v>0</v>
      </c>
      <c r="AV107" s="142">
        <f t="shared" si="275"/>
        <v>0</v>
      </c>
      <c r="AW107" s="142"/>
      <c r="AX107" s="142">
        <f t="shared" si="275"/>
        <v>0</v>
      </c>
      <c r="AY107" s="142">
        <f t="shared" si="275"/>
        <v>0</v>
      </c>
      <c r="AZ107" s="142"/>
      <c r="BA107" s="142">
        <f t="shared" si="275"/>
        <v>0</v>
      </c>
      <c r="BB107" s="142">
        <f t="shared" si="275"/>
        <v>0</v>
      </c>
      <c r="BC107" s="142">
        <f t="shared" si="275"/>
        <v>0</v>
      </c>
      <c r="BD107" s="142"/>
      <c r="BE107" s="142">
        <f t="shared" si="275"/>
        <v>0</v>
      </c>
      <c r="BF107" s="638">
        <f t="shared" si="275"/>
        <v>26069</v>
      </c>
      <c r="BG107" s="142">
        <f t="shared" si="275"/>
        <v>27514</v>
      </c>
      <c r="BH107" s="142">
        <f t="shared" ref="BH107" si="276">SUM(BH37+BH46+BH49+BH95+BH98)</f>
        <v>30044</v>
      </c>
      <c r="BI107" s="142">
        <f t="shared" ref="BI107:BJ107" si="277">SUM(BI37+BI46+BI49+BI95+BI98)</f>
        <v>0</v>
      </c>
      <c r="BJ107" s="142">
        <f t="shared" si="277"/>
        <v>0</v>
      </c>
      <c r="BK107" s="142">
        <f t="shared" ref="BK107:BL107" si="278">SUM(BK37+BK46+BK49+BK95+BK98)</f>
        <v>0</v>
      </c>
      <c r="BL107" s="142">
        <f t="shared" si="278"/>
        <v>0</v>
      </c>
      <c r="BM107" s="638">
        <f t="shared" si="275"/>
        <v>26642</v>
      </c>
      <c r="BN107" s="142">
        <f t="shared" si="275"/>
        <v>32578</v>
      </c>
      <c r="BO107" s="142">
        <f t="shared" ref="BO107" si="279">SUM(BO37+BO46+BO49+BO95+BO98)</f>
        <v>32387</v>
      </c>
      <c r="BP107" s="142">
        <f t="shared" ref="BP107:BQ107" si="280">SUM(BP37+BP46+BP49+BP95+BP98)</f>
        <v>0</v>
      </c>
      <c r="BQ107" s="142">
        <f t="shared" si="280"/>
        <v>0</v>
      </c>
      <c r="BR107" s="142">
        <f t="shared" ref="BR107:BS107" si="281">SUM(BR37+BR46+BR49+BR95+BR98)</f>
        <v>0</v>
      </c>
      <c r="BS107" s="142">
        <f t="shared" si="281"/>
        <v>0</v>
      </c>
      <c r="BT107" s="638">
        <f t="shared" si="257"/>
        <v>324888</v>
      </c>
      <c r="BU107" s="142">
        <f t="shared" si="258"/>
        <v>591960</v>
      </c>
      <c r="BV107" s="142">
        <f t="shared" si="259"/>
        <v>444667</v>
      </c>
      <c r="BW107" s="142">
        <f t="shared" si="260"/>
        <v>0</v>
      </c>
      <c r="BX107" s="142">
        <f t="shared" si="261"/>
        <v>0</v>
      </c>
      <c r="BY107" s="142">
        <f t="shared" si="262"/>
        <v>0</v>
      </c>
      <c r="BZ107" s="142">
        <f t="shared" si="262"/>
        <v>0</v>
      </c>
    </row>
    <row r="108" spans="1:78" x14ac:dyDescent="0.2">
      <c r="A108" s="261" t="s">
        <v>261</v>
      </c>
      <c r="B108" s="109" t="s">
        <v>420</v>
      </c>
      <c r="C108" s="638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638"/>
      <c r="Q108" s="142"/>
      <c r="R108" s="142"/>
      <c r="S108" s="142"/>
      <c r="T108" s="142"/>
      <c r="U108" s="142"/>
      <c r="V108" s="142"/>
      <c r="W108" s="638"/>
      <c r="X108" s="142"/>
      <c r="Y108" s="142"/>
      <c r="Z108" s="142"/>
      <c r="AA108" s="142"/>
      <c r="AB108" s="142"/>
      <c r="AC108" s="142"/>
      <c r="AD108" s="638"/>
      <c r="AE108" s="142"/>
      <c r="AF108" s="142"/>
      <c r="AG108" s="142"/>
      <c r="AH108" s="142"/>
      <c r="AI108" s="142"/>
      <c r="AJ108" s="142"/>
      <c r="AK108" s="638">
        <v>6186</v>
      </c>
      <c r="AL108" s="142">
        <f>20000</f>
        <v>20000</v>
      </c>
      <c r="AM108" s="142">
        <f>20000</f>
        <v>20000</v>
      </c>
      <c r="AN108" s="142">
        <v>0</v>
      </c>
      <c r="AO108" s="142">
        <v>0</v>
      </c>
      <c r="AP108" s="142">
        <v>0</v>
      </c>
      <c r="AQ108" s="142">
        <v>0</v>
      </c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2"/>
      <c r="BE108" s="142"/>
      <c r="BF108" s="638"/>
      <c r="BG108" s="142"/>
      <c r="BH108" s="142"/>
      <c r="BI108" s="142"/>
      <c r="BJ108" s="142"/>
      <c r="BK108" s="142"/>
      <c r="BL108" s="142"/>
      <c r="BM108" s="638"/>
      <c r="BN108" s="142"/>
      <c r="BO108" s="142"/>
      <c r="BP108" s="142"/>
      <c r="BQ108" s="142"/>
      <c r="BR108" s="142"/>
      <c r="BS108" s="142"/>
      <c r="BT108" s="638">
        <f t="shared" si="257"/>
        <v>6186</v>
      </c>
      <c r="BU108" s="142">
        <f t="shared" si="258"/>
        <v>20000</v>
      </c>
      <c r="BV108" s="142">
        <f t="shared" si="259"/>
        <v>20000</v>
      </c>
      <c r="BW108" s="142">
        <f t="shared" si="260"/>
        <v>0</v>
      </c>
      <c r="BX108" s="142">
        <f t="shared" si="261"/>
        <v>0</v>
      </c>
      <c r="BY108" s="142">
        <f t="shared" si="262"/>
        <v>0</v>
      </c>
      <c r="BZ108" s="142">
        <f t="shared" si="262"/>
        <v>0</v>
      </c>
    </row>
    <row r="109" spans="1:78" s="308" customFormat="1" ht="13.5" hidden="1" x14ac:dyDescent="0.25">
      <c r="A109" s="414"/>
      <c r="B109" s="415" t="s">
        <v>755</v>
      </c>
      <c r="C109" s="639"/>
      <c r="D109" s="416"/>
      <c r="E109" s="416"/>
      <c r="F109" s="416"/>
      <c r="G109" s="416"/>
      <c r="H109" s="416"/>
      <c r="I109" s="416"/>
      <c r="J109" s="417"/>
      <c r="K109" s="417"/>
      <c r="L109" s="417"/>
      <c r="M109" s="417"/>
      <c r="N109" s="417"/>
      <c r="O109" s="417"/>
      <c r="P109" s="639"/>
      <c r="Q109" s="417"/>
      <c r="R109" s="417"/>
      <c r="S109" s="417"/>
      <c r="T109" s="417"/>
      <c r="U109" s="417"/>
      <c r="V109" s="417"/>
      <c r="W109" s="639"/>
      <c r="X109" s="417"/>
      <c r="Y109" s="417"/>
      <c r="Z109" s="417"/>
      <c r="AA109" s="417"/>
      <c r="AB109" s="417"/>
      <c r="AC109" s="417"/>
      <c r="AD109" s="639"/>
      <c r="AE109" s="417"/>
      <c r="AF109" s="417"/>
      <c r="AG109" s="417"/>
      <c r="AH109" s="417"/>
      <c r="AI109" s="417"/>
      <c r="AJ109" s="417"/>
      <c r="AK109" s="639">
        <v>0</v>
      </c>
      <c r="AL109" s="417">
        <v>0</v>
      </c>
      <c r="AM109" s="417">
        <v>0</v>
      </c>
      <c r="AN109" s="417">
        <v>0</v>
      </c>
      <c r="AO109" s="417">
        <v>0</v>
      </c>
      <c r="AP109" s="417">
        <v>0</v>
      </c>
      <c r="AQ109" s="417">
        <v>0</v>
      </c>
      <c r="AR109" s="417"/>
      <c r="AS109" s="417"/>
      <c r="AT109" s="417"/>
      <c r="AU109" s="417"/>
      <c r="AV109" s="417"/>
      <c r="AW109" s="417"/>
      <c r="AX109" s="417"/>
      <c r="AY109" s="417"/>
      <c r="AZ109" s="417"/>
      <c r="BA109" s="417"/>
      <c r="BB109" s="417"/>
      <c r="BC109" s="417"/>
      <c r="BD109" s="417"/>
      <c r="BE109" s="417"/>
      <c r="BF109" s="639"/>
      <c r="BG109" s="417"/>
      <c r="BH109" s="417"/>
      <c r="BI109" s="417"/>
      <c r="BJ109" s="417"/>
      <c r="BK109" s="417"/>
      <c r="BL109" s="417"/>
      <c r="BM109" s="639"/>
      <c r="BN109" s="417"/>
      <c r="BO109" s="417"/>
      <c r="BP109" s="417"/>
      <c r="BQ109" s="417"/>
      <c r="BR109" s="417"/>
      <c r="BS109" s="417"/>
      <c r="BT109" s="639">
        <f t="shared" si="257"/>
        <v>0</v>
      </c>
      <c r="BU109" s="416">
        <f t="shared" si="258"/>
        <v>0</v>
      </c>
      <c r="BV109" s="416">
        <f t="shared" si="259"/>
        <v>0</v>
      </c>
      <c r="BW109" s="416">
        <f t="shared" si="260"/>
        <v>0</v>
      </c>
      <c r="BX109" s="416">
        <f t="shared" si="261"/>
        <v>0</v>
      </c>
      <c r="BY109" s="416">
        <f t="shared" si="262"/>
        <v>0</v>
      </c>
      <c r="BZ109" s="416">
        <f t="shared" si="262"/>
        <v>0</v>
      </c>
    </row>
    <row r="110" spans="1:78" ht="13.5" thickBot="1" x14ac:dyDescent="0.25">
      <c r="A110" s="261" t="s">
        <v>282</v>
      </c>
      <c r="B110" s="144" t="s">
        <v>365</v>
      </c>
      <c r="C110" s="638">
        <f>SUM('4. Átadott p.eszk.'!B68)</f>
        <v>689433</v>
      </c>
      <c r="D110" s="142">
        <f>SUM('4. Átadott p.eszk.'!C68)</f>
        <v>734489</v>
      </c>
      <c r="E110" s="142">
        <f>SUM('4. Átadott p.eszk.'!E68)</f>
        <v>747219</v>
      </c>
      <c r="F110" s="142">
        <f>SUM('4. Átadott p.eszk.'!G68)</f>
        <v>0</v>
      </c>
      <c r="G110" s="142">
        <f>SUM('4. Átadott p.eszk.'!J68)</f>
        <v>0</v>
      </c>
      <c r="H110" s="142">
        <f>SUM('4. Átadott p.eszk.'!K68)</f>
        <v>0</v>
      </c>
      <c r="I110" s="142">
        <f>SUM('4. Átadott p.eszk.'!L68)</f>
        <v>0</v>
      </c>
      <c r="J110" s="110"/>
      <c r="K110" s="110"/>
      <c r="L110" s="110"/>
      <c r="M110" s="110"/>
      <c r="N110" s="110"/>
      <c r="O110" s="110"/>
      <c r="P110" s="638"/>
      <c r="Q110" s="110"/>
      <c r="R110" s="110"/>
      <c r="S110" s="110"/>
      <c r="T110" s="110"/>
      <c r="U110" s="110"/>
      <c r="V110" s="110"/>
      <c r="W110" s="638"/>
      <c r="X110" s="110"/>
      <c r="Y110" s="110"/>
      <c r="Z110" s="110"/>
      <c r="AA110" s="110"/>
      <c r="AB110" s="110"/>
      <c r="AC110" s="110"/>
      <c r="AD110" s="638"/>
      <c r="AE110" s="110"/>
      <c r="AF110" s="110"/>
      <c r="AG110" s="110"/>
      <c r="AH110" s="110"/>
      <c r="AI110" s="110"/>
      <c r="AJ110" s="110"/>
      <c r="AK110" s="638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638"/>
      <c r="BG110" s="110"/>
      <c r="BH110" s="110"/>
      <c r="BI110" s="110"/>
      <c r="BJ110" s="110"/>
      <c r="BK110" s="110"/>
      <c r="BL110" s="110"/>
      <c r="BM110" s="638"/>
      <c r="BN110" s="110"/>
      <c r="BO110" s="110"/>
      <c r="BP110" s="110"/>
      <c r="BQ110" s="110"/>
      <c r="BR110" s="110"/>
      <c r="BS110" s="110"/>
      <c r="BT110" s="638">
        <f t="shared" si="257"/>
        <v>689433</v>
      </c>
      <c r="BU110" s="142">
        <f t="shared" si="258"/>
        <v>734489</v>
      </c>
      <c r="BV110" s="142">
        <f t="shared" si="259"/>
        <v>747219</v>
      </c>
      <c r="BW110" s="142">
        <f t="shared" si="260"/>
        <v>0</v>
      </c>
      <c r="BX110" s="142">
        <f t="shared" si="261"/>
        <v>0</v>
      </c>
      <c r="BY110" s="142">
        <f t="shared" si="262"/>
        <v>0</v>
      </c>
      <c r="BZ110" s="142">
        <f t="shared" si="262"/>
        <v>0</v>
      </c>
    </row>
    <row r="111" spans="1:78" ht="15.75" customHeight="1" thickBot="1" x14ac:dyDescent="0.3">
      <c r="A111" s="261"/>
      <c r="B111" s="201" t="s">
        <v>9</v>
      </c>
      <c r="C111" s="634">
        <f t="shared" ref="C111:AT111" si="282">SUM(C32+C36+C107+C108+C110)</f>
        <v>820618</v>
      </c>
      <c r="D111" s="147">
        <f t="shared" si="282"/>
        <v>857925</v>
      </c>
      <c r="E111" s="147">
        <f t="shared" ref="E111:G111" si="283">SUM(E32+E36+E107+E108+E110)</f>
        <v>873704</v>
      </c>
      <c r="F111" s="147">
        <f t="shared" si="283"/>
        <v>0</v>
      </c>
      <c r="G111" s="147">
        <f t="shared" si="283"/>
        <v>0</v>
      </c>
      <c r="H111" s="147">
        <f t="shared" ref="H111:I111" si="284">SUM(H32+H36+H107+H108+H110)</f>
        <v>0</v>
      </c>
      <c r="I111" s="147">
        <f t="shared" si="284"/>
        <v>0</v>
      </c>
      <c r="J111" s="147">
        <f t="shared" si="282"/>
        <v>0</v>
      </c>
      <c r="K111" s="147">
        <f t="shared" si="282"/>
        <v>0</v>
      </c>
      <c r="L111" s="147">
        <f t="shared" si="282"/>
        <v>0</v>
      </c>
      <c r="M111" s="147">
        <f t="shared" si="282"/>
        <v>0</v>
      </c>
      <c r="N111" s="147"/>
      <c r="O111" s="147">
        <f t="shared" si="282"/>
        <v>0</v>
      </c>
      <c r="P111" s="634">
        <f t="shared" si="282"/>
        <v>62947</v>
      </c>
      <c r="Q111" s="147">
        <f t="shared" ref="Q111:R111" si="285">SUM(Q32+Q36+Q107+Q108+Q110)</f>
        <v>63025</v>
      </c>
      <c r="R111" s="147">
        <f t="shared" si="285"/>
        <v>63025</v>
      </c>
      <c r="S111" s="147">
        <f t="shared" ref="S111:T111" si="286">SUM(S32+S36+S107+S108+S110)</f>
        <v>0</v>
      </c>
      <c r="T111" s="147">
        <f t="shared" si="286"/>
        <v>0</v>
      </c>
      <c r="U111" s="147">
        <f t="shared" ref="U111:V111" si="287">SUM(U32+U36+U107+U108+U110)</f>
        <v>0</v>
      </c>
      <c r="V111" s="147">
        <f t="shared" si="287"/>
        <v>0</v>
      </c>
      <c r="W111" s="634">
        <f>SUM(W32+W36+W107+W108+W110)</f>
        <v>10025</v>
      </c>
      <c r="X111" s="147">
        <f t="shared" ref="X111" si="288">SUM(X32+X36+X107+X108+X110)</f>
        <v>12217</v>
      </c>
      <c r="Y111" s="147">
        <f t="shared" ref="Y111:AA111" si="289">SUM(Y32+Y36+Y107+Y108+Y110)</f>
        <v>11506</v>
      </c>
      <c r="Z111" s="147">
        <f t="shared" si="289"/>
        <v>0</v>
      </c>
      <c r="AA111" s="147">
        <f t="shared" si="289"/>
        <v>0</v>
      </c>
      <c r="AB111" s="147">
        <f t="shared" ref="AB111:AC111" si="290">SUM(AB32+AB36+AB107+AB108+AB110)</f>
        <v>0</v>
      </c>
      <c r="AC111" s="147">
        <f t="shared" si="290"/>
        <v>0</v>
      </c>
      <c r="AD111" s="634">
        <f t="shared" si="282"/>
        <v>100281</v>
      </c>
      <c r="AE111" s="147">
        <f t="shared" ref="AE111:AF111" si="291">SUM(AE32+AE36+AE107+AE108+AE110)</f>
        <v>362308</v>
      </c>
      <c r="AF111" s="147">
        <f t="shared" si="291"/>
        <v>204643</v>
      </c>
      <c r="AG111" s="147">
        <f t="shared" ref="AG111:AJ111" si="292">SUM(AG32+AG36+AG107+AG108+AG110)</f>
        <v>0</v>
      </c>
      <c r="AH111" s="147">
        <f t="shared" si="292"/>
        <v>0</v>
      </c>
      <c r="AI111" s="147">
        <f t="shared" si="292"/>
        <v>0</v>
      </c>
      <c r="AJ111" s="147">
        <f t="shared" si="292"/>
        <v>0</v>
      </c>
      <c r="AK111" s="634">
        <f t="shared" si="282"/>
        <v>45655</v>
      </c>
      <c r="AL111" s="147">
        <f t="shared" ref="AL111:AM111" si="293">SUM(AL32+AL36+AL107+AL108+AL110)</f>
        <v>57544</v>
      </c>
      <c r="AM111" s="147">
        <f t="shared" si="293"/>
        <v>63591</v>
      </c>
      <c r="AN111" s="147">
        <f t="shared" ref="AN111:AQ111" si="294">SUM(AN32+AN36+AN107+AN108+AN110)</f>
        <v>0</v>
      </c>
      <c r="AO111" s="147">
        <f t="shared" si="294"/>
        <v>0</v>
      </c>
      <c r="AP111" s="147">
        <f t="shared" si="294"/>
        <v>0</v>
      </c>
      <c r="AQ111" s="147">
        <f t="shared" si="294"/>
        <v>0</v>
      </c>
      <c r="AR111" s="147">
        <f t="shared" si="282"/>
        <v>0</v>
      </c>
      <c r="AS111" s="147"/>
      <c r="AT111" s="147">
        <f t="shared" si="282"/>
        <v>0</v>
      </c>
      <c r="AU111" s="147">
        <f t="shared" ref="AU111:BN111" si="295">SUM(AU32+AU36+AU107+AU108+AU110)</f>
        <v>0</v>
      </c>
      <c r="AV111" s="147">
        <f t="shared" si="295"/>
        <v>0</v>
      </c>
      <c r="AW111" s="147"/>
      <c r="AX111" s="147">
        <f t="shared" si="295"/>
        <v>0</v>
      </c>
      <c r="AY111" s="147">
        <f t="shared" si="295"/>
        <v>0</v>
      </c>
      <c r="AZ111" s="147"/>
      <c r="BA111" s="147">
        <f t="shared" si="295"/>
        <v>0</v>
      </c>
      <c r="BB111" s="147">
        <f t="shared" si="295"/>
        <v>0</v>
      </c>
      <c r="BC111" s="147">
        <f t="shared" si="295"/>
        <v>0</v>
      </c>
      <c r="BD111" s="147"/>
      <c r="BE111" s="147">
        <f t="shared" si="295"/>
        <v>0</v>
      </c>
      <c r="BF111" s="634">
        <f t="shared" si="295"/>
        <v>31321</v>
      </c>
      <c r="BG111" s="147">
        <f t="shared" si="295"/>
        <v>34735</v>
      </c>
      <c r="BH111" s="147">
        <f t="shared" ref="BH111" si="296">SUM(BH32+BH36+BH107+BH108+BH110)</f>
        <v>37375</v>
      </c>
      <c r="BI111" s="147">
        <f t="shared" ref="BI111:BJ111" si="297">SUM(BI32+BI36+BI107+BI108+BI110)</f>
        <v>0</v>
      </c>
      <c r="BJ111" s="147">
        <f t="shared" si="297"/>
        <v>0</v>
      </c>
      <c r="BK111" s="147">
        <f t="shared" ref="BK111:BL111" si="298">SUM(BK32+BK36+BK107+BK108+BK110)</f>
        <v>0</v>
      </c>
      <c r="BL111" s="147">
        <f t="shared" si="298"/>
        <v>0</v>
      </c>
      <c r="BM111" s="634">
        <f t="shared" si="295"/>
        <v>35862</v>
      </c>
      <c r="BN111" s="147">
        <f t="shared" si="295"/>
        <v>41517</v>
      </c>
      <c r="BO111" s="147">
        <f t="shared" ref="BO111" si="299">SUM(BO32+BO36+BO107+BO108+BO110)</f>
        <v>41308</v>
      </c>
      <c r="BP111" s="147">
        <f t="shared" ref="BP111:BQ111" si="300">SUM(BP32+BP36+BP107+BP108+BP110)</f>
        <v>0</v>
      </c>
      <c r="BQ111" s="147">
        <f t="shared" si="300"/>
        <v>0</v>
      </c>
      <c r="BR111" s="147">
        <f t="shared" ref="BR111:BS111" si="301">SUM(BR32+BR36+BR107+BR108+BR110)</f>
        <v>0</v>
      </c>
      <c r="BS111" s="147">
        <f t="shared" si="301"/>
        <v>0</v>
      </c>
      <c r="BT111" s="634">
        <f t="shared" si="257"/>
        <v>1106709</v>
      </c>
      <c r="BU111" s="147">
        <f t="shared" si="258"/>
        <v>1429271</v>
      </c>
      <c r="BV111" s="147">
        <f t="shared" si="259"/>
        <v>1295152</v>
      </c>
      <c r="BW111" s="147">
        <f t="shared" si="260"/>
        <v>0</v>
      </c>
      <c r="BX111" s="147">
        <f t="shared" si="261"/>
        <v>0</v>
      </c>
      <c r="BY111" s="147">
        <f t="shared" si="262"/>
        <v>0</v>
      </c>
      <c r="BZ111" s="147">
        <f t="shared" si="262"/>
        <v>0</v>
      </c>
    </row>
    <row r="112" spans="1:78" ht="15.75" thickBot="1" x14ac:dyDescent="0.3">
      <c r="A112" s="261" t="s">
        <v>283</v>
      </c>
      <c r="B112" s="199" t="s">
        <v>364</v>
      </c>
      <c r="C112" s="640">
        <f>SUM('3.felh'!C48+'3.felh'!C74+'3.felh'!C96)</f>
        <v>360793</v>
      </c>
      <c r="D112" s="200">
        <f>SUM('3.felh'!D48+'3.felh'!D74+'3.felh'!D96)</f>
        <v>1073538</v>
      </c>
      <c r="E112" s="200">
        <f>SUM('3.felh'!F48+'3.felh'!F74+'3.felh'!F96)</f>
        <v>1043208</v>
      </c>
      <c r="F112" s="200">
        <f>SUM('3.felh'!H48+'3.felh'!H74+'3.felh'!H96)</f>
        <v>0</v>
      </c>
      <c r="G112" s="200">
        <f>SUM('3.felh'!K48+'3.felh'!K74+'3.felh'!K96)</f>
        <v>0</v>
      </c>
      <c r="H112" s="200">
        <f>SUM('3.felh'!L48+'3.felh'!L74+'3.felh'!L96)</f>
        <v>0</v>
      </c>
      <c r="I112" s="200">
        <f>SUM('3.felh'!L48+'3.felh'!L74+'3.felh'!L96)</f>
        <v>0</v>
      </c>
      <c r="J112" s="200"/>
      <c r="K112" s="200"/>
      <c r="L112" s="200"/>
      <c r="M112" s="200"/>
      <c r="N112" s="200"/>
      <c r="O112" s="200"/>
      <c r="P112" s="640"/>
      <c r="Q112" s="200"/>
      <c r="R112" s="200"/>
      <c r="S112" s="200"/>
      <c r="T112" s="200"/>
      <c r="U112" s="200"/>
      <c r="V112" s="200"/>
      <c r="W112" s="640"/>
      <c r="X112" s="200"/>
      <c r="Y112" s="200"/>
      <c r="Z112" s="200"/>
      <c r="AA112" s="200"/>
      <c r="AB112" s="200"/>
      <c r="AC112" s="200"/>
      <c r="AD112" s="640"/>
      <c r="AE112" s="200"/>
      <c r="AF112" s="200"/>
      <c r="AG112" s="200"/>
      <c r="AH112" s="200"/>
      <c r="AI112" s="200"/>
      <c r="AJ112" s="200"/>
      <c r="AK112" s="640"/>
      <c r="AL112" s="200"/>
      <c r="AM112" s="200"/>
      <c r="AN112" s="200"/>
      <c r="AO112" s="200"/>
      <c r="AP112" s="200"/>
      <c r="AQ112" s="200"/>
      <c r="AR112" s="200"/>
      <c r="AS112" s="200"/>
      <c r="AT112" s="200"/>
      <c r="AU112" s="200"/>
      <c r="AV112" s="200"/>
      <c r="AW112" s="200"/>
      <c r="AX112" s="200"/>
      <c r="AY112" s="200"/>
      <c r="AZ112" s="200"/>
      <c r="BA112" s="200"/>
      <c r="BB112" s="200"/>
      <c r="BC112" s="200"/>
      <c r="BD112" s="200"/>
      <c r="BE112" s="200"/>
      <c r="BF112" s="640"/>
      <c r="BG112" s="200"/>
      <c r="BH112" s="200"/>
      <c r="BI112" s="200"/>
      <c r="BJ112" s="200"/>
      <c r="BK112" s="200"/>
      <c r="BL112" s="200"/>
      <c r="BM112" s="640"/>
      <c r="BN112" s="200"/>
      <c r="BO112" s="200"/>
      <c r="BP112" s="200"/>
      <c r="BQ112" s="200"/>
      <c r="BR112" s="200"/>
      <c r="BS112" s="200"/>
      <c r="BT112" s="640">
        <f t="shared" si="257"/>
        <v>360793</v>
      </c>
      <c r="BU112" s="200">
        <f t="shared" si="258"/>
        <v>1073538</v>
      </c>
      <c r="BV112" s="200">
        <f t="shared" si="259"/>
        <v>1043208</v>
      </c>
      <c r="BW112" s="200">
        <f t="shared" si="260"/>
        <v>0</v>
      </c>
      <c r="BX112" s="200">
        <f t="shared" si="261"/>
        <v>0</v>
      </c>
      <c r="BY112" s="200">
        <f t="shared" si="262"/>
        <v>0</v>
      </c>
      <c r="BZ112" s="200">
        <f t="shared" si="262"/>
        <v>0</v>
      </c>
    </row>
    <row r="113" spans="1:78" ht="19.5" x14ac:dyDescent="0.35">
      <c r="A113" s="260"/>
      <c r="B113" s="191" t="s">
        <v>7</v>
      </c>
      <c r="C113" s="641">
        <f t="shared" ref="C113:AK113" si="302">SUM(C111+C112)</f>
        <v>1181411</v>
      </c>
      <c r="D113" s="192">
        <f t="shared" ref="D113" si="303">SUM(D111+D112)</f>
        <v>1931463</v>
      </c>
      <c r="E113" s="192">
        <f t="shared" ref="E113:G113" si="304">SUM(E111+E112)</f>
        <v>1916912</v>
      </c>
      <c r="F113" s="192">
        <f t="shared" si="304"/>
        <v>0</v>
      </c>
      <c r="G113" s="192">
        <f t="shared" si="304"/>
        <v>0</v>
      </c>
      <c r="H113" s="192">
        <f t="shared" ref="H113:I113" si="305">SUM(H111+H112)</f>
        <v>0</v>
      </c>
      <c r="I113" s="192">
        <f t="shared" si="305"/>
        <v>0</v>
      </c>
      <c r="J113" s="192">
        <f>SUM(J111+J112)</f>
        <v>0</v>
      </c>
      <c r="K113" s="192">
        <f>SUM(K111+K112)</f>
        <v>0</v>
      </c>
      <c r="L113" s="192">
        <f>SUM(L111+L112)</f>
        <v>0</v>
      </c>
      <c r="M113" s="192">
        <f>SUM(M111+M112)</f>
        <v>0</v>
      </c>
      <c r="N113" s="192"/>
      <c r="O113" s="192">
        <f>SUM(O111+O112)</f>
        <v>0</v>
      </c>
      <c r="P113" s="641">
        <f t="shared" si="302"/>
        <v>62947</v>
      </c>
      <c r="Q113" s="192">
        <f t="shared" ref="Q113:R113" si="306">SUM(Q111+Q112)</f>
        <v>63025</v>
      </c>
      <c r="R113" s="192">
        <f t="shared" si="306"/>
        <v>63025</v>
      </c>
      <c r="S113" s="192">
        <f t="shared" ref="S113:T113" si="307">SUM(S111+S112)</f>
        <v>0</v>
      </c>
      <c r="T113" s="192">
        <f t="shared" si="307"/>
        <v>0</v>
      </c>
      <c r="U113" s="192">
        <f t="shared" ref="U113:V113" si="308">SUM(U111+U112)</f>
        <v>0</v>
      </c>
      <c r="V113" s="192">
        <f t="shared" si="308"/>
        <v>0</v>
      </c>
      <c r="W113" s="641">
        <f t="shared" si="302"/>
        <v>10025</v>
      </c>
      <c r="X113" s="192">
        <f t="shared" ref="X113" si="309">SUM(X111+X112)</f>
        <v>12217</v>
      </c>
      <c r="Y113" s="192">
        <f t="shared" ref="Y113:AA113" si="310">SUM(Y111+Y112)</f>
        <v>11506</v>
      </c>
      <c r="Z113" s="192">
        <f t="shared" si="310"/>
        <v>0</v>
      </c>
      <c r="AA113" s="192">
        <f t="shared" si="310"/>
        <v>0</v>
      </c>
      <c r="AB113" s="192">
        <f t="shared" ref="AB113:AC113" si="311">SUM(AB111+AB112)</f>
        <v>0</v>
      </c>
      <c r="AC113" s="192">
        <f t="shared" si="311"/>
        <v>0</v>
      </c>
      <c r="AD113" s="641">
        <f t="shared" si="302"/>
        <v>100281</v>
      </c>
      <c r="AE113" s="192">
        <f t="shared" ref="AE113:AF113" si="312">SUM(AE111+AE112)</f>
        <v>362308</v>
      </c>
      <c r="AF113" s="192">
        <f t="shared" si="312"/>
        <v>204643</v>
      </c>
      <c r="AG113" s="192">
        <f t="shared" ref="AG113:AJ113" si="313">SUM(AG111+AG112)</f>
        <v>0</v>
      </c>
      <c r="AH113" s="192">
        <f t="shared" si="313"/>
        <v>0</v>
      </c>
      <c r="AI113" s="192">
        <f t="shared" si="313"/>
        <v>0</v>
      </c>
      <c r="AJ113" s="192">
        <f t="shared" si="313"/>
        <v>0</v>
      </c>
      <c r="AK113" s="641">
        <f t="shared" si="302"/>
        <v>45655</v>
      </c>
      <c r="AL113" s="192">
        <f t="shared" ref="AL113:AM113" si="314">SUM(AL111+AL112)</f>
        <v>57544</v>
      </c>
      <c r="AM113" s="192">
        <f t="shared" si="314"/>
        <v>63591</v>
      </c>
      <c r="AN113" s="192">
        <f t="shared" ref="AN113:AO113" si="315">SUM(AN111+AN112)</f>
        <v>0</v>
      </c>
      <c r="AO113" s="192">
        <f t="shared" si="315"/>
        <v>0</v>
      </c>
      <c r="AP113" s="192">
        <f t="shared" ref="AP113:AQ113" si="316">SUM(AP111+AP112)</f>
        <v>0</v>
      </c>
      <c r="AQ113" s="192">
        <f t="shared" si="316"/>
        <v>0</v>
      </c>
      <c r="AR113" s="192">
        <f t="shared" ref="AR113:BE113" si="317">SUM(AR111+AR112)</f>
        <v>0</v>
      </c>
      <c r="AS113" s="192"/>
      <c r="AT113" s="192">
        <f t="shared" si="317"/>
        <v>0</v>
      </c>
      <c r="AU113" s="192">
        <f>SUM(AU111+AU112)</f>
        <v>0</v>
      </c>
      <c r="AV113" s="192">
        <f t="shared" si="317"/>
        <v>0</v>
      </c>
      <c r="AW113" s="192"/>
      <c r="AX113" s="192">
        <f t="shared" si="317"/>
        <v>0</v>
      </c>
      <c r="AY113" s="192">
        <f t="shared" si="317"/>
        <v>0</v>
      </c>
      <c r="AZ113" s="192"/>
      <c r="BA113" s="192">
        <f>SUM(BA111+BA112)</f>
        <v>0</v>
      </c>
      <c r="BB113" s="192">
        <f>SUM(BB111+BB112)</f>
        <v>0</v>
      </c>
      <c r="BC113" s="192">
        <f>SUM(BC111+BC112)</f>
        <v>0</v>
      </c>
      <c r="BD113" s="192"/>
      <c r="BE113" s="192">
        <f t="shared" si="317"/>
        <v>0</v>
      </c>
      <c r="BF113" s="641">
        <f t="shared" ref="BF113:BN113" si="318">SUM(BF111+BF112)</f>
        <v>31321</v>
      </c>
      <c r="BG113" s="192">
        <f t="shared" si="318"/>
        <v>34735</v>
      </c>
      <c r="BH113" s="192">
        <f t="shared" ref="BH113" si="319">SUM(BH111+BH112)</f>
        <v>37375</v>
      </c>
      <c r="BI113" s="192">
        <f t="shared" ref="BI113:BJ113" si="320">SUM(BI111+BI112)</f>
        <v>0</v>
      </c>
      <c r="BJ113" s="192">
        <f t="shared" si="320"/>
        <v>0</v>
      </c>
      <c r="BK113" s="192">
        <f t="shared" ref="BK113:BL113" si="321">SUM(BK111+BK112)</f>
        <v>0</v>
      </c>
      <c r="BL113" s="192">
        <f t="shared" si="321"/>
        <v>0</v>
      </c>
      <c r="BM113" s="641">
        <f t="shared" si="318"/>
        <v>35862</v>
      </c>
      <c r="BN113" s="192">
        <f t="shared" si="318"/>
        <v>41517</v>
      </c>
      <c r="BO113" s="192">
        <f t="shared" ref="BO113" si="322">SUM(BO111+BO112)</f>
        <v>41308</v>
      </c>
      <c r="BP113" s="192">
        <f t="shared" ref="BP113:BQ113" si="323">SUM(BP111+BP112)</f>
        <v>0</v>
      </c>
      <c r="BQ113" s="192">
        <f t="shared" si="323"/>
        <v>0</v>
      </c>
      <c r="BR113" s="192">
        <f t="shared" ref="BR113:BS113" si="324">SUM(BR111+BR112)</f>
        <v>0</v>
      </c>
      <c r="BS113" s="192">
        <f t="shared" si="324"/>
        <v>0</v>
      </c>
      <c r="BT113" s="641">
        <f t="shared" si="257"/>
        <v>1467502</v>
      </c>
      <c r="BU113" s="192">
        <f t="shared" si="258"/>
        <v>2502809</v>
      </c>
      <c r="BV113" s="192">
        <f t="shared" si="259"/>
        <v>2338360</v>
      </c>
      <c r="BW113" s="192">
        <f t="shared" si="260"/>
        <v>0</v>
      </c>
      <c r="BX113" s="192">
        <f t="shared" si="261"/>
        <v>0</v>
      </c>
      <c r="BY113" s="192">
        <f t="shared" si="262"/>
        <v>0</v>
      </c>
      <c r="BZ113" s="192">
        <f t="shared" si="262"/>
        <v>0</v>
      </c>
    </row>
    <row r="114" spans="1:78" ht="13.5" hidden="1" thickBot="1" x14ac:dyDescent="0.25">
      <c r="A114" s="267"/>
      <c r="B114" s="189" t="s">
        <v>55</v>
      </c>
      <c r="C114" s="642">
        <v>1</v>
      </c>
      <c r="D114" s="220">
        <v>1</v>
      </c>
      <c r="E114" s="220">
        <v>1</v>
      </c>
      <c r="F114" s="220">
        <v>1</v>
      </c>
      <c r="G114" s="220">
        <v>1</v>
      </c>
      <c r="H114" s="220"/>
      <c r="I114" s="220">
        <v>1</v>
      </c>
      <c r="J114" s="220"/>
      <c r="K114" s="220"/>
      <c r="L114" s="220"/>
      <c r="M114" s="220"/>
      <c r="N114" s="220"/>
      <c r="O114" s="220"/>
      <c r="P114" s="642"/>
      <c r="Q114" s="220"/>
      <c r="R114" s="220"/>
      <c r="S114" s="220"/>
      <c r="T114" s="220"/>
      <c r="U114" s="220"/>
      <c r="V114" s="220"/>
      <c r="W114" s="642"/>
      <c r="X114" s="220"/>
      <c r="Y114" s="220"/>
      <c r="Z114" s="220"/>
      <c r="AA114" s="220"/>
      <c r="AB114" s="220"/>
      <c r="AC114" s="220"/>
      <c r="AD114" s="642">
        <v>3</v>
      </c>
      <c r="AE114" s="220">
        <v>2</v>
      </c>
      <c r="AF114" s="220">
        <v>2</v>
      </c>
      <c r="AG114" s="220">
        <v>2</v>
      </c>
      <c r="AH114" s="220">
        <v>2</v>
      </c>
      <c r="AI114" s="220"/>
      <c r="AJ114" s="220">
        <v>2</v>
      </c>
      <c r="AK114" s="642">
        <v>1</v>
      </c>
      <c r="AL114" s="220">
        <v>1</v>
      </c>
      <c r="AM114" s="220">
        <v>1</v>
      </c>
      <c r="AN114" s="220">
        <v>1</v>
      </c>
      <c r="AO114" s="220">
        <v>1</v>
      </c>
      <c r="AP114" s="220"/>
      <c r="AQ114" s="220">
        <v>1</v>
      </c>
      <c r="AR114" s="220"/>
      <c r="AS114" s="220"/>
      <c r="AT114" s="220"/>
      <c r="AU114" s="220"/>
      <c r="AV114" s="220"/>
      <c r="AW114" s="220"/>
      <c r="AX114" s="220"/>
      <c r="AY114" s="220"/>
      <c r="AZ114" s="220"/>
      <c r="BA114" s="220"/>
      <c r="BB114" s="220"/>
      <c r="BC114" s="220"/>
      <c r="BD114" s="220"/>
      <c r="BE114" s="220"/>
      <c r="BF114" s="642">
        <v>1</v>
      </c>
      <c r="BG114" s="220">
        <v>1</v>
      </c>
      <c r="BH114" s="220">
        <v>1</v>
      </c>
      <c r="BI114" s="220">
        <v>1</v>
      </c>
      <c r="BJ114" s="220">
        <v>1</v>
      </c>
      <c r="BK114" s="220"/>
      <c r="BL114" s="220">
        <v>1</v>
      </c>
      <c r="BM114" s="642">
        <v>1</v>
      </c>
      <c r="BN114" s="220">
        <v>1</v>
      </c>
      <c r="BO114" s="220">
        <v>1</v>
      </c>
      <c r="BP114" s="220">
        <v>1</v>
      </c>
      <c r="BQ114" s="220">
        <v>1</v>
      </c>
      <c r="BR114" s="220"/>
      <c r="BS114" s="220">
        <v>1</v>
      </c>
      <c r="BT114" s="642">
        <f t="shared" si="257"/>
        <v>7</v>
      </c>
      <c r="BU114" s="220">
        <f t="shared" si="258"/>
        <v>6</v>
      </c>
      <c r="BV114" s="220">
        <f t="shared" si="259"/>
        <v>6</v>
      </c>
      <c r="BW114" s="220">
        <f t="shared" si="260"/>
        <v>6</v>
      </c>
      <c r="BX114" s="220">
        <f t="shared" si="261"/>
        <v>6</v>
      </c>
      <c r="BY114" s="220"/>
      <c r="BZ114" s="220">
        <f>I114+O114+V114+AC114+AJ114+AQ114+AX114+BE114+BL114+BS114</f>
        <v>6</v>
      </c>
    </row>
    <row r="115" spans="1:78" s="9" customFormat="1" ht="6" customHeight="1" x14ac:dyDescent="0.2">
      <c r="A115" s="160"/>
      <c r="B115" s="190"/>
      <c r="C115"/>
      <c r="D115"/>
      <c r="E115"/>
      <c r="F115"/>
      <c r="G115"/>
      <c r="H115"/>
      <c r="I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 s="35"/>
    </row>
    <row r="116" spans="1:78" s="9" customFormat="1" hidden="1" x14ac:dyDescent="0.2">
      <c r="A116" s="160"/>
      <c r="B116"/>
      <c r="C116"/>
      <c r="D116"/>
      <c r="E116"/>
      <c r="F116"/>
      <c r="G116"/>
      <c r="H116"/>
      <c r="I116"/>
      <c r="O116"/>
      <c r="P116"/>
      <c r="Q116"/>
      <c r="R116"/>
      <c r="S116"/>
      <c r="T116" s="185"/>
      <c r="U116" s="185"/>
      <c r="V116" s="185"/>
      <c r="W116" s="185"/>
      <c r="X116" s="185"/>
      <c r="Y116" s="185"/>
      <c r="Z116" s="185"/>
      <c r="AA116" s="185"/>
      <c r="AB116" s="185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</row>
    <row r="117" spans="1:78" s="9" customFormat="1" hidden="1" x14ac:dyDescent="0.2">
      <c r="A117" s="160"/>
      <c r="B117"/>
      <c r="C117" s="73"/>
      <c r="D117" s="73"/>
      <c r="E117" s="73"/>
      <c r="F117" s="73"/>
      <c r="G117" s="73"/>
      <c r="H117" s="73"/>
      <c r="I117" s="73"/>
      <c r="J117" s="35"/>
      <c r="K117" s="35"/>
      <c r="L117" s="35"/>
      <c r="M117" s="35"/>
      <c r="N117" s="35"/>
      <c r="O117" s="73"/>
      <c r="P117" s="73"/>
      <c r="Q117" s="73"/>
      <c r="R117" s="73"/>
      <c r="S117" s="73"/>
      <c r="T117"/>
      <c r="U117"/>
      <c r="V117"/>
      <c r="W117"/>
      <c r="X117"/>
      <c r="Y117"/>
      <c r="Z117"/>
      <c r="AA117"/>
      <c r="AB117"/>
      <c r="AC117" s="193" t="s">
        <v>357</v>
      </c>
      <c r="AD117" s="193"/>
      <c r="AE117" s="193"/>
      <c r="AF117" s="193"/>
      <c r="AG117" s="193"/>
      <c r="AH117" s="193">
        <v>300</v>
      </c>
      <c r="AI117" s="193"/>
      <c r="AJ117" s="193"/>
      <c r="AK117" s="193"/>
      <c r="AL117" s="193"/>
      <c r="AM117" s="193"/>
      <c r="AN117" s="193"/>
      <c r="AO117" s="193">
        <v>236</v>
      </c>
      <c r="AP117" s="193"/>
      <c r="AQ117" s="193"/>
      <c r="AR117" s="193"/>
      <c r="AS117" s="193"/>
      <c r="AT117" s="193"/>
      <c r="AU117" s="193"/>
      <c r="AV117" s="193"/>
      <c r="AW117" s="193"/>
      <c r="AX117" s="193"/>
      <c r="AY117" s="193"/>
      <c r="AZ117" s="193"/>
      <c r="BA117" s="193"/>
      <c r="BB117" s="193"/>
      <c r="BC117" s="193"/>
      <c r="BD117" s="193"/>
      <c r="BE117" s="193"/>
      <c r="BF117" s="193"/>
      <c r="BG117" s="193"/>
      <c r="BH117" s="193"/>
      <c r="BI117" s="193"/>
      <c r="BJ117" s="193"/>
      <c r="BK117" s="193"/>
      <c r="BL117" s="193"/>
      <c r="BM117" s="193"/>
      <c r="BN117" s="193"/>
      <c r="BO117" s="193"/>
      <c r="BP117" s="193"/>
      <c r="BQ117" s="193"/>
      <c r="BR117" s="193"/>
      <c r="BS117" s="193"/>
      <c r="BT117"/>
      <c r="BU117"/>
      <c r="BV117"/>
      <c r="BW117"/>
      <c r="BX117"/>
      <c r="BY117"/>
      <c r="BZ117"/>
    </row>
    <row r="118" spans="1:78" s="9" customFormat="1" hidden="1" x14ac:dyDescent="0.2">
      <c r="A118" s="160"/>
      <c r="B118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/>
      <c r="U118"/>
      <c r="V118"/>
      <c r="W118"/>
      <c r="X118"/>
      <c r="Y118"/>
      <c r="Z118"/>
      <c r="AA118"/>
      <c r="AB118"/>
      <c r="AC118" s="193" t="s">
        <v>358</v>
      </c>
      <c r="AD118" s="193"/>
      <c r="AE118" s="193"/>
      <c r="AF118" s="193"/>
      <c r="AG118" s="193"/>
      <c r="AH118" s="193">
        <v>700</v>
      </c>
      <c r="AI118" s="193"/>
      <c r="AJ118" s="193"/>
      <c r="AK118" s="193"/>
      <c r="AL118" s="193"/>
      <c r="AM118" s="193"/>
      <c r="AN118" s="193"/>
      <c r="AO118" s="193">
        <v>551</v>
      </c>
      <c r="AP118" s="193"/>
      <c r="AQ118" s="193"/>
      <c r="AR118" s="193"/>
      <c r="AS118" s="193"/>
      <c r="AT118" s="193"/>
      <c r="AU118" s="193"/>
      <c r="AV118" s="193"/>
      <c r="AW118" s="193"/>
      <c r="AX118" s="193"/>
      <c r="AY118" s="193"/>
      <c r="AZ118" s="193"/>
      <c r="BA118" s="193"/>
      <c r="BB118" s="193"/>
      <c r="BC118" s="193"/>
      <c r="BD118" s="193"/>
      <c r="BE118" s="193"/>
      <c r="BF118" s="193"/>
      <c r="BG118" s="193"/>
      <c r="BH118" s="193"/>
      <c r="BI118" s="193"/>
      <c r="BJ118" s="193"/>
      <c r="BK118" s="193"/>
      <c r="BL118" s="193"/>
      <c r="BM118" s="193"/>
      <c r="BN118" s="193"/>
      <c r="BO118" s="193"/>
      <c r="BP118" s="193"/>
      <c r="BQ118" s="193"/>
      <c r="BR118" s="193"/>
      <c r="BS118" s="193"/>
      <c r="BT118"/>
      <c r="BU118"/>
      <c r="BV118"/>
      <c r="BW118"/>
      <c r="BX118"/>
      <c r="BY118"/>
      <c r="BZ118"/>
    </row>
    <row r="119" spans="1:78" s="9" customFormat="1" hidden="1" x14ac:dyDescent="0.2">
      <c r="A119" s="160"/>
      <c r="B119"/>
      <c r="C119" s="187"/>
      <c r="D119" s="187"/>
      <c r="E119" s="187"/>
      <c r="F119" s="187"/>
      <c r="G119" s="187"/>
      <c r="H119" s="187"/>
      <c r="I119" s="187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/>
      <c r="U119"/>
      <c r="V119"/>
      <c r="W119"/>
      <c r="X119"/>
      <c r="Y119"/>
      <c r="Z119"/>
      <c r="AA119"/>
      <c r="AB119"/>
      <c r="AC119" s="194"/>
      <c r="AD119" s="194"/>
      <c r="AE119" s="194"/>
      <c r="AF119" s="194"/>
      <c r="AG119" s="194"/>
      <c r="AH119" s="194"/>
      <c r="AI119" s="194"/>
      <c r="AJ119" s="194"/>
      <c r="AK119" s="194"/>
      <c r="AL119" s="194"/>
      <c r="AM119" s="194"/>
      <c r="AN119" s="194"/>
      <c r="AO119" s="194"/>
      <c r="AP119" s="194"/>
      <c r="AQ119" s="194"/>
      <c r="AR119" s="194"/>
      <c r="AS119" s="194"/>
      <c r="AT119" s="194"/>
      <c r="AU119" s="194"/>
      <c r="AV119" s="194"/>
      <c r="AW119" s="194"/>
      <c r="AX119" s="194"/>
      <c r="AY119" s="194"/>
      <c r="AZ119" s="194"/>
      <c r="BA119" s="194"/>
      <c r="BB119" s="194"/>
      <c r="BC119" s="194"/>
      <c r="BD119" s="194"/>
      <c r="BE119" s="194"/>
      <c r="BF119" s="194"/>
      <c r="BG119" s="194"/>
      <c r="BH119" s="194"/>
      <c r="BI119" s="194"/>
      <c r="BJ119" s="194"/>
      <c r="BK119" s="194"/>
      <c r="BL119" s="194"/>
      <c r="BM119" s="194"/>
      <c r="BN119" s="194"/>
      <c r="BO119" s="194"/>
      <c r="BP119" s="194"/>
      <c r="BQ119" s="194"/>
      <c r="BR119" s="194"/>
      <c r="BS119" s="194"/>
      <c r="BT119"/>
      <c r="BU119"/>
      <c r="BV119"/>
      <c r="BW119"/>
      <c r="BX119"/>
      <c r="BY119"/>
      <c r="BZ119"/>
    </row>
    <row r="120" spans="1:78" s="9" customFormat="1" x14ac:dyDescent="0.2">
      <c r="A120" s="160"/>
      <c r="B120" s="270" t="s">
        <v>417</v>
      </c>
      <c r="C120" s="295"/>
      <c r="D120" s="295"/>
      <c r="F120" s="296"/>
      <c r="G120" s="296"/>
      <c r="H120" s="296"/>
      <c r="I120" s="296"/>
      <c r="V120"/>
      <c r="W120"/>
      <c r="X120"/>
      <c r="Y120"/>
      <c r="Z120"/>
      <c r="AA120"/>
      <c r="AB120"/>
      <c r="AC120" s="270"/>
      <c r="AD120" s="413"/>
      <c r="AE120" s="413"/>
      <c r="AF120" s="194"/>
      <c r="AG120" s="194"/>
      <c r="AH120" s="194"/>
      <c r="AI120" s="194"/>
      <c r="AO120" s="295"/>
      <c r="AP120" s="295"/>
      <c r="AQ120" s="296"/>
      <c r="AY120"/>
      <c r="AZ120"/>
      <c r="BA120"/>
      <c r="BB120"/>
      <c r="BC120"/>
      <c r="BD120"/>
      <c r="BE120"/>
      <c r="BF120"/>
      <c r="BG120"/>
      <c r="BH120"/>
      <c r="BI120"/>
      <c r="BJ120" s="194"/>
      <c r="BK120" s="194"/>
      <c r="BL120" s="194"/>
    </row>
    <row r="121" spans="1:78" s="9" customFormat="1" x14ac:dyDescent="0.2">
      <c r="A121" s="160"/>
      <c r="B121" s="270" t="s">
        <v>543</v>
      </c>
      <c r="C121" s="159"/>
      <c r="D121" s="159" t="s">
        <v>356</v>
      </c>
      <c r="G121" s="159"/>
      <c r="H121" s="159"/>
      <c r="I121" s="159"/>
      <c r="P121" s="159"/>
      <c r="Q121" s="159" t="s">
        <v>278</v>
      </c>
      <c r="V121"/>
      <c r="X121" s="159" t="s">
        <v>465</v>
      </c>
      <c r="Y121"/>
      <c r="Z121"/>
      <c r="AC121" s="270"/>
      <c r="AF121"/>
      <c r="AG121"/>
      <c r="AH121"/>
      <c r="AI121"/>
      <c r="AO121" s="159"/>
      <c r="AP121" s="159"/>
      <c r="AQ121" s="159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T121" s="35"/>
      <c r="BU121" s="35"/>
      <c r="BV121" s="35"/>
      <c r="BW121" s="35"/>
      <c r="BX121" s="35"/>
      <c r="BY121" s="35"/>
    </row>
    <row r="122" spans="1:78" s="9" customFormat="1" x14ac:dyDescent="0.2">
      <c r="A122" s="160"/>
      <c r="B122"/>
      <c r="C122" s="159"/>
      <c r="D122" s="159"/>
      <c r="G122" s="159"/>
      <c r="H122" s="159"/>
      <c r="I122" s="187"/>
      <c r="K122" s="35"/>
      <c r="L122" s="35"/>
      <c r="M122" s="35"/>
      <c r="N122" s="35"/>
      <c r="O122" s="73"/>
      <c r="P122" s="35"/>
      <c r="Q122" s="35"/>
      <c r="R122" s="35"/>
      <c r="S122" s="35"/>
      <c r="T122" s="35"/>
      <c r="U122" s="35"/>
      <c r="V122" s="73"/>
      <c r="X122" s="35"/>
      <c r="Y122" s="73"/>
      <c r="Z122" s="73"/>
      <c r="AA122" s="35"/>
      <c r="AB122" s="35"/>
      <c r="AC122" s="35"/>
      <c r="AF122" s="73"/>
      <c r="AG122" s="73"/>
      <c r="AH122" s="73"/>
      <c r="AI122" s="73"/>
      <c r="AJ122" s="35"/>
      <c r="AL122" s="270" t="s">
        <v>542</v>
      </c>
      <c r="AM122" s="35"/>
      <c r="AN122" s="35"/>
      <c r="AO122" s="35"/>
      <c r="AP122" s="35"/>
      <c r="AQ122" s="35"/>
      <c r="AR122" s="35"/>
      <c r="AS122" s="35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T122"/>
      <c r="BU122"/>
      <c r="BV122"/>
      <c r="BW122"/>
      <c r="BX122"/>
      <c r="BY122"/>
      <c r="BZ122"/>
    </row>
    <row r="123" spans="1:78" s="9" customFormat="1" x14ac:dyDescent="0.2">
      <c r="A123" s="160"/>
      <c r="B123"/>
      <c r="C123" s="159"/>
      <c r="D123" s="159"/>
      <c r="G123" s="159"/>
      <c r="H123" s="159"/>
      <c r="I123" s="187"/>
      <c r="K123" s="35"/>
      <c r="L123" s="35"/>
      <c r="M123" s="35"/>
      <c r="N123" s="35"/>
      <c r="O123" s="73"/>
      <c r="P123" s="35"/>
      <c r="Q123" s="35"/>
      <c r="R123" s="35"/>
      <c r="S123" s="35"/>
      <c r="T123" s="35"/>
      <c r="U123" s="35"/>
      <c r="V123" s="73"/>
      <c r="X123" s="35"/>
      <c r="Y123" s="73"/>
      <c r="Z123" s="73"/>
      <c r="AA123" s="35"/>
      <c r="AB123" s="35"/>
      <c r="AC123" s="35"/>
      <c r="AF123" s="73"/>
      <c r="AG123" s="73"/>
      <c r="AH123" s="73"/>
      <c r="AI123" s="73"/>
      <c r="AJ123" s="35"/>
      <c r="AL123" s="73"/>
      <c r="AM123" s="35"/>
      <c r="AN123" s="35"/>
      <c r="AO123" s="35"/>
      <c r="AP123" s="35"/>
      <c r="AQ123" s="35"/>
      <c r="AR123" s="35"/>
      <c r="AS123" s="35"/>
      <c r="AY123"/>
      <c r="AZ123"/>
      <c r="BA123"/>
      <c r="BB123"/>
      <c r="BC123"/>
      <c r="BD123"/>
      <c r="BE123"/>
      <c r="BF123"/>
      <c r="BG123"/>
      <c r="BH123"/>
      <c r="BI123" s="73"/>
      <c r="BJ123"/>
      <c r="BK123"/>
      <c r="BL123"/>
      <c r="BT123"/>
      <c r="BU123"/>
      <c r="BV123"/>
      <c r="BW123"/>
      <c r="BX123"/>
      <c r="BY123"/>
      <c r="BZ123"/>
    </row>
    <row r="124" spans="1:78" s="9" customFormat="1" x14ac:dyDescent="0.2">
      <c r="A124" s="160"/>
      <c r="B124" t="s">
        <v>710</v>
      </c>
      <c r="C124" s="159"/>
      <c r="D124" s="159">
        <f>1878-939</f>
        <v>939</v>
      </c>
      <c r="E124" s="159">
        <f>1878-939</f>
        <v>939</v>
      </c>
      <c r="G124" s="159"/>
      <c r="H124" s="159"/>
      <c r="I124" s="187"/>
      <c r="K124" s="35"/>
      <c r="L124" s="35"/>
      <c r="M124" s="35"/>
      <c r="N124" s="35"/>
      <c r="O124" s="73"/>
      <c r="P124" s="35"/>
      <c r="Q124" s="35">
        <v>254</v>
      </c>
      <c r="R124" s="35">
        <v>254</v>
      </c>
      <c r="S124" s="73"/>
      <c r="T124" s="73"/>
      <c r="U124" s="73"/>
      <c r="V124" s="73"/>
      <c r="X124" s="35">
        <f t="shared" ref="X124:Y126" si="325">SUM(D124+Q124)</f>
        <v>1193</v>
      </c>
      <c r="Y124" s="35">
        <f t="shared" si="325"/>
        <v>1193</v>
      </c>
      <c r="Z124" s="73"/>
      <c r="AA124" s="35"/>
      <c r="AB124" s="35"/>
      <c r="AC124" s="35"/>
      <c r="AF124" s="73"/>
      <c r="AG124" s="73"/>
      <c r="AH124" s="73"/>
      <c r="AI124" s="73"/>
      <c r="AJ124" s="35"/>
      <c r="AL124" s="73" t="s">
        <v>428</v>
      </c>
      <c r="AM124" s="35"/>
      <c r="AO124" s="73"/>
      <c r="AP124" s="35"/>
      <c r="AQ124" s="35"/>
      <c r="AR124" s="35"/>
      <c r="AS124" s="35"/>
      <c r="AY124"/>
      <c r="AZ124"/>
      <c r="BA124"/>
      <c r="BB124"/>
      <c r="BC124"/>
      <c r="BD124"/>
      <c r="BE124"/>
      <c r="BG124" s="73">
        <v>22715</v>
      </c>
      <c r="BH124" s="73">
        <f>22715-19625</f>
        <v>3090</v>
      </c>
      <c r="BJ124" s="73"/>
      <c r="BK124" s="73"/>
      <c r="BL124" s="73"/>
      <c r="BM124" s="35"/>
      <c r="BN124" s="35"/>
      <c r="BT124"/>
      <c r="BU124"/>
      <c r="BV124"/>
      <c r="BW124"/>
      <c r="BX124"/>
      <c r="BY124"/>
      <c r="BZ124"/>
    </row>
    <row r="125" spans="1:78" s="9" customFormat="1" x14ac:dyDescent="0.2">
      <c r="A125" s="160"/>
      <c r="B125" t="s">
        <v>711</v>
      </c>
      <c r="C125" s="159"/>
      <c r="D125" s="159">
        <v>1411</v>
      </c>
      <c r="E125" s="159">
        <v>1411</v>
      </c>
      <c r="G125" s="159"/>
      <c r="H125" s="159"/>
      <c r="I125" s="187"/>
      <c r="K125" s="35"/>
      <c r="L125" s="35"/>
      <c r="M125" s="35"/>
      <c r="N125" s="35"/>
      <c r="O125" s="73"/>
      <c r="P125" s="35"/>
      <c r="Q125" s="35">
        <v>0</v>
      </c>
      <c r="R125" s="35">
        <v>0</v>
      </c>
      <c r="S125" s="73"/>
      <c r="T125" s="73"/>
      <c r="U125" s="73"/>
      <c r="V125" s="73"/>
      <c r="X125" s="35">
        <f t="shared" si="325"/>
        <v>1411</v>
      </c>
      <c r="Y125" s="35">
        <f t="shared" si="325"/>
        <v>1411</v>
      </c>
      <c r="Z125" s="73"/>
      <c r="AA125" s="35"/>
      <c r="AB125" s="35"/>
      <c r="AC125" s="35"/>
      <c r="AF125" s="73"/>
      <c r="AG125" s="73"/>
      <c r="AH125" s="73"/>
      <c r="AI125" s="73"/>
      <c r="AJ125" s="35"/>
      <c r="AL125" s="73"/>
      <c r="AO125" s="73"/>
      <c r="BG125" s="73"/>
      <c r="BH125" s="73"/>
      <c r="BJ125" s="73"/>
      <c r="BK125" s="73"/>
      <c r="BL125" s="73"/>
      <c r="BM125" s="35"/>
      <c r="BN125" s="35"/>
      <c r="BT125"/>
      <c r="BU125"/>
      <c r="BV125"/>
      <c r="BW125"/>
      <c r="BX125"/>
      <c r="BY125"/>
      <c r="BZ125"/>
    </row>
    <row r="126" spans="1:78" s="9" customFormat="1" x14ac:dyDescent="0.2">
      <c r="A126" s="160"/>
      <c r="B126" t="s">
        <v>712</v>
      </c>
      <c r="C126" s="159"/>
      <c r="D126" s="159">
        <v>650</v>
      </c>
      <c r="E126" s="159">
        <v>650</v>
      </c>
      <c r="G126" s="159"/>
      <c r="H126" s="159"/>
      <c r="I126" s="187"/>
      <c r="K126" s="35"/>
      <c r="L126" s="35"/>
      <c r="M126" s="35"/>
      <c r="N126" s="35"/>
      <c r="O126" s="73"/>
      <c r="P126" s="35"/>
      <c r="Q126" s="35">
        <v>176</v>
      </c>
      <c r="R126" s="35">
        <v>176</v>
      </c>
      <c r="S126" s="73"/>
      <c r="T126" s="73"/>
      <c r="U126" s="73"/>
      <c r="V126" s="73"/>
      <c r="X126" s="35">
        <f t="shared" si="325"/>
        <v>826</v>
      </c>
      <c r="Y126" s="35">
        <f t="shared" si="325"/>
        <v>826</v>
      </c>
      <c r="Z126" s="73"/>
      <c r="AA126" s="35"/>
      <c r="AB126" s="35"/>
      <c r="AC126" s="35"/>
      <c r="AF126" s="73"/>
      <c r="AG126" s="73"/>
      <c r="AH126" s="73"/>
      <c r="AI126" s="73"/>
      <c r="AJ126" s="35"/>
      <c r="AL126" s="73" t="s">
        <v>708</v>
      </c>
      <c r="AO126" s="73"/>
      <c r="BG126" s="73">
        <v>148425</v>
      </c>
      <c r="BH126" s="73">
        <f>148425-148425</f>
        <v>0</v>
      </c>
      <c r="BJ126" s="73"/>
      <c r="BK126" s="73"/>
      <c r="BL126" s="73"/>
      <c r="BM126" s="35"/>
      <c r="BN126" s="35"/>
      <c r="BT126"/>
      <c r="BU126"/>
      <c r="BV126"/>
      <c r="BW126"/>
      <c r="BX126"/>
      <c r="BY126"/>
      <c r="BZ126"/>
    </row>
    <row r="127" spans="1:78" s="9" customFormat="1" x14ac:dyDescent="0.2">
      <c r="A127" s="160"/>
      <c r="X127" s="35"/>
      <c r="Y127" s="35"/>
      <c r="Z127" s="73"/>
      <c r="AA127" s="35"/>
      <c r="AB127" s="35"/>
      <c r="AC127" s="35"/>
      <c r="AF127" s="73"/>
      <c r="AG127" s="73"/>
      <c r="AH127" s="73"/>
      <c r="AI127" s="73"/>
      <c r="AJ127" s="35"/>
      <c r="AL127" s="73"/>
      <c r="AO127" s="73"/>
      <c r="BG127" s="73"/>
      <c r="BH127" s="73"/>
      <c r="BJ127" s="73"/>
      <c r="BK127" s="73"/>
      <c r="BL127" s="73"/>
      <c r="BM127" s="35"/>
      <c r="BN127" s="35"/>
      <c r="BT127"/>
      <c r="BU127"/>
      <c r="BV127"/>
      <c r="BW127"/>
      <c r="BX127"/>
      <c r="BY127"/>
      <c r="BZ127"/>
    </row>
    <row r="128" spans="1:78" s="9" customFormat="1" x14ac:dyDescent="0.2">
      <c r="A128" s="160"/>
      <c r="B128" t="s">
        <v>744</v>
      </c>
      <c r="C128" s="159"/>
      <c r="D128" s="159">
        <v>5420</v>
      </c>
      <c r="E128" s="159">
        <v>5420</v>
      </c>
      <c r="G128" s="159"/>
      <c r="H128" s="159"/>
      <c r="I128" s="187"/>
      <c r="K128" s="35"/>
      <c r="L128" s="35"/>
      <c r="M128" s="35"/>
      <c r="N128" s="35"/>
      <c r="O128" s="73"/>
      <c r="P128" s="35"/>
      <c r="Q128" s="35">
        <v>1463</v>
      </c>
      <c r="R128" s="35">
        <v>1463</v>
      </c>
      <c r="S128" s="73"/>
      <c r="T128" s="73"/>
      <c r="U128" s="73"/>
      <c r="V128" s="73"/>
      <c r="X128" s="35">
        <f t="shared" ref="X128:Y132" si="326">SUM(D128+Q128)</f>
        <v>6883</v>
      </c>
      <c r="Y128" s="35">
        <f t="shared" si="326"/>
        <v>6883</v>
      </c>
      <c r="Z128" s="73"/>
      <c r="AA128" s="35"/>
      <c r="AB128" s="35"/>
      <c r="AC128" s="35"/>
      <c r="AF128" s="73"/>
      <c r="AG128" s="73"/>
      <c r="AH128" s="73"/>
      <c r="AI128" s="73"/>
      <c r="AJ128" s="35"/>
      <c r="AL128" s="73" t="s">
        <v>485</v>
      </c>
      <c r="AM128" s="35"/>
      <c r="AO128" s="73"/>
      <c r="AP128" s="35"/>
      <c r="AQ128" s="35"/>
      <c r="AR128" s="35"/>
      <c r="AS128" s="35"/>
      <c r="AY128"/>
      <c r="AZ128"/>
      <c r="BA128"/>
      <c r="BB128"/>
      <c r="BC128"/>
      <c r="BD128"/>
      <c r="BE128"/>
      <c r="BG128" s="73">
        <v>10000</v>
      </c>
      <c r="BH128" s="73">
        <v>10000</v>
      </c>
      <c r="BJ128" s="73"/>
      <c r="BK128" s="73"/>
      <c r="BL128" s="73"/>
      <c r="BM128" s="35"/>
      <c r="BN128" s="35"/>
      <c r="BT128"/>
      <c r="BU128"/>
      <c r="BV128"/>
      <c r="BW128"/>
      <c r="BX128"/>
      <c r="BY128"/>
      <c r="BZ128"/>
    </row>
    <row r="129" spans="1:94" s="9" customFormat="1" x14ac:dyDescent="0.2">
      <c r="A129" s="160"/>
      <c r="B129" t="s">
        <v>1303</v>
      </c>
      <c r="C129" s="159"/>
      <c r="D129" s="159">
        <f>6090-5100</f>
        <v>990</v>
      </c>
      <c r="E129" s="159">
        <f>6090-5100+395</f>
        <v>1385</v>
      </c>
      <c r="G129" s="159"/>
      <c r="H129" s="159"/>
      <c r="I129" s="187"/>
      <c r="K129" s="35"/>
      <c r="L129" s="35"/>
      <c r="M129" s="35"/>
      <c r="N129" s="35"/>
      <c r="O129" s="73"/>
      <c r="P129" s="35"/>
      <c r="Q129" s="35">
        <v>267</v>
      </c>
      <c r="R129" s="35">
        <f>267+107</f>
        <v>374</v>
      </c>
      <c r="S129" s="73"/>
      <c r="T129" s="73"/>
      <c r="U129" s="73"/>
      <c r="V129" s="73"/>
      <c r="X129" s="35">
        <f t="shared" si="326"/>
        <v>1257</v>
      </c>
      <c r="Y129" s="35">
        <f t="shared" si="326"/>
        <v>1759</v>
      </c>
      <c r="Z129" s="73"/>
      <c r="AA129" s="35"/>
      <c r="AB129" s="35"/>
      <c r="AC129" s="35"/>
      <c r="AF129" s="73"/>
      <c r="AG129" s="73"/>
      <c r="AH129" s="73"/>
      <c r="AI129" s="73"/>
      <c r="AJ129" s="35"/>
      <c r="BJ129" s="73"/>
      <c r="BK129" s="73"/>
      <c r="BL129" s="73"/>
      <c r="BM129" s="35"/>
      <c r="BN129" s="35"/>
      <c r="BT129"/>
      <c r="BU129"/>
      <c r="BV129"/>
      <c r="BW129"/>
      <c r="BX129"/>
      <c r="BY129"/>
      <c r="BZ129"/>
    </row>
    <row r="130" spans="1:94" s="9" customFormat="1" x14ac:dyDescent="0.2">
      <c r="A130" s="160"/>
      <c r="B130" t="s">
        <v>1042</v>
      </c>
      <c r="C130" s="159"/>
      <c r="D130" s="159">
        <v>8500</v>
      </c>
      <c r="E130" s="159">
        <v>8500</v>
      </c>
      <c r="G130"/>
      <c r="H130"/>
      <c r="I130"/>
      <c r="K130" s="35"/>
      <c r="L130" s="35"/>
      <c r="O130"/>
      <c r="P130" s="35"/>
      <c r="Q130" s="35">
        <v>2295</v>
      </c>
      <c r="R130" s="35">
        <v>2295</v>
      </c>
      <c r="S130" s="73"/>
      <c r="T130" s="73"/>
      <c r="U130" s="73"/>
      <c r="V130" s="73"/>
      <c r="X130" s="35">
        <f t="shared" si="326"/>
        <v>10795</v>
      </c>
      <c r="Y130" s="35">
        <f t="shared" si="326"/>
        <v>10795</v>
      </c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L130" s="338" t="s">
        <v>43</v>
      </c>
      <c r="AM130" s="35"/>
      <c r="AO130" s="338"/>
      <c r="AP130" s="35"/>
      <c r="AQ130" s="35"/>
      <c r="AR130" s="35"/>
      <c r="AS130" s="35"/>
      <c r="AY130"/>
      <c r="AZ130"/>
      <c r="BA130"/>
      <c r="BB130"/>
      <c r="BC130"/>
      <c r="BD130"/>
      <c r="BE130"/>
      <c r="BG130" s="338">
        <f>SUM(BG124:BG129)</f>
        <v>181140</v>
      </c>
      <c r="BH130" s="338">
        <f>SUM(BH124:BH129)</f>
        <v>13090</v>
      </c>
      <c r="BJ130" s="73"/>
      <c r="BK130" s="73"/>
      <c r="BL130" s="73"/>
      <c r="BM130" s="73"/>
      <c r="BN130" s="73"/>
      <c r="BO130"/>
      <c r="BP130"/>
      <c r="BQ130"/>
      <c r="BR130"/>
      <c r="BS130"/>
      <c r="BT130"/>
      <c r="BU130"/>
      <c r="BV130"/>
      <c r="BW130"/>
      <c r="BX130"/>
      <c r="BY130"/>
      <c r="BZ130"/>
    </row>
    <row r="131" spans="1:94" s="9" customFormat="1" x14ac:dyDescent="0.2">
      <c r="A131" s="160"/>
      <c r="B131" t="s">
        <v>1041</v>
      </c>
      <c r="C131" s="159"/>
      <c r="D131" s="159">
        <v>8000</v>
      </c>
      <c r="E131" s="159">
        <v>8000</v>
      </c>
      <c r="G131"/>
      <c r="H131"/>
      <c r="I131"/>
      <c r="K131" s="35"/>
      <c r="L131" s="35"/>
      <c r="O131"/>
      <c r="P131" s="35"/>
      <c r="Q131" s="35">
        <v>2160</v>
      </c>
      <c r="R131" s="35">
        <v>2160</v>
      </c>
      <c r="S131" s="73"/>
      <c r="T131" s="73"/>
      <c r="U131" s="73"/>
      <c r="V131" s="73"/>
      <c r="X131" s="35">
        <f t="shared" si="326"/>
        <v>10160</v>
      </c>
      <c r="Y131" s="35">
        <f t="shared" si="326"/>
        <v>10160</v>
      </c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L131" s="338"/>
      <c r="AM131" s="35"/>
      <c r="AO131" s="338"/>
      <c r="AP131" s="35"/>
      <c r="AQ131" s="35"/>
      <c r="AR131" s="35"/>
      <c r="AS131" s="35"/>
      <c r="AY131"/>
      <c r="AZ131"/>
      <c r="BA131"/>
      <c r="BB131"/>
      <c r="BC131"/>
      <c r="BD131"/>
      <c r="BE131"/>
      <c r="BG131" s="338"/>
      <c r="BJ131" s="73"/>
      <c r="BK131" s="73"/>
      <c r="BL131" s="73"/>
      <c r="BM131" s="73"/>
      <c r="BN131" s="73"/>
      <c r="BO131"/>
      <c r="BP131"/>
      <c r="BQ131"/>
      <c r="BR131"/>
      <c r="BS131"/>
      <c r="BT131"/>
      <c r="BU131"/>
      <c r="BV131"/>
      <c r="BW131"/>
      <c r="BX131"/>
      <c r="BY131"/>
      <c r="BZ131"/>
    </row>
    <row r="132" spans="1:94" s="9" customFormat="1" x14ac:dyDescent="0.2">
      <c r="A132" s="160"/>
      <c r="B132" t="s">
        <v>754</v>
      </c>
      <c r="C132" s="159"/>
      <c r="D132" s="159">
        <v>14173</v>
      </c>
      <c r="E132" s="159">
        <f>14173-2100-395</f>
        <v>11678</v>
      </c>
      <c r="G132"/>
      <c r="H132"/>
      <c r="I132"/>
      <c r="K132" s="35"/>
      <c r="L132" s="35"/>
      <c r="O132"/>
      <c r="P132" s="35"/>
      <c r="Q132" s="35">
        <v>3827</v>
      </c>
      <c r="R132" s="35">
        <f>3827-245-107</f>
        <v>3475</v>
      </c>
      <c r="S132" s="73"/>
      <c r="T132" s="73"/>
      <c r="U132" s="73"/>
      <c r="V132" s="73"/>
      <c r="X132" s="35">
        <f t="shared" si="326"/>
        <v>18000</v>
      </c>
      <c r="Y132" s="35">
        <f t="shared" si="326"/>
        <v>15153</v>
      </c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L132" s="338"/>
      <c r="AM132" s="35"/>
      <c r="AO132" s="338"/>
      <c r="AP132" s="35"/>
      <c r="AQ132" s="35"/>
      <c r="AR132" s="35"/>
      <c r="AS132" s="35"/>
      <c r="AY132"/>
      <c r="AZ132"/>
      <c r="BA132"/>
      <c r="BB132"/>
      <c r="BC132"/>
      <c r="BD132"/>
      <c r="BE132"/>
      <c r="BG132" s="338"/>
      <c r="BJ132" s="73"/>
      <c r="BK132" s="73"/>
      <c r="BL132" s="73"/>
      <c r="BM132" s="73"/>
      <c r="BN132" s="73"/>
      <c r="BO132"/>
      <c r="BP132"/>
      <c r="BQ132"/>
      <c r="BR132"/>
      <c r="BS132"/>
      <c r="BT132"/>
      <c r="BU132"/>
      <c r="BV132"/>
      <c r="BW132"/>
      <c r="BX132"/>
      <c r="BY132"/>
      <c r="BZ132"/>
    </row>
    <row r="133" spans="1:94" s="9" customFormat="1" x14ac:dyDescent="0.2">
      <c r="A133" s="160"/>
      <c r="X133" s="35"/>
      <c r="Y133" s="35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/>
      <c r="AS133"/>
      <c r="AT133" s="159"/>
      <c r="AU133" s="159"/>
      <c r="AX133" s="159">
        <v>5350</v>
      </c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35"/>
      <c r="BK133" s="35"/>
      <c r="BL133" s="35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</row>
    <row r="134" spans="1:94" s="9" customFormat="1" x14ac:dyDescent="0.2">
      <c r="A134" s="160"/>
      <c r="B134" s="218" t="s">
        <v>1110</v>
      </c>
      <c r="C134" s="159"/>
      <c r="D134" s="159">
        <f>3000-2100</f>
        <v>900</v>
      </c>
      <c r="E134" s="159">
        <f>3000-2100</f>
        <v>900</v>
      </c>
      <c r="G134"/>
      <c r="H134"/>
      <c r="I134"/>
      <c r="K134" s="35"/>
      <c r="L134" s="35"/>
      <c r="O134"/>
      <c r="P134" s="35"/>
      <c r="Q134" s="35">
        <v>0</v>
      </c>
      <c r="R134" s="35">
        <v>0</v>
      </c>
      <c r="S134"/>
      <c r="T134"/>
      <c r="U134"/>
      <c r="V134"/>
      <c r="W134" s="514"/>
      <c r="X134" s="35">
        <f>SUM(D134+Q134)</f>
        <v>900</v>
      </c>
      <c r="Y134" s="35">
        <f>SUM(E134+R134)</f>
        <v>900</v>
      </c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3"/>
      <c r="AM134" s="73"/>
      <c r="AN134" s="73"/>
      <c r="AO134" s="73"/>
      <c r="AP134" s="73"/>
      <c r="AQ134" s="73"/>
      <c r="AR134"/>
      <c r="AS134"/>
      <c r="AT134" s="159"/>
      <c r="AU134" s="159"/>
      <c r="AX134" s="159"/>
      <c r="AY134" s="73"/>
      <c r="AZ134" s="73"/>
      <c r="BA134" s="73"/>
      <c r="BB134" s="73"/>
      <c r="BC134" s="73"/>
      <c r="BD134" s="73"/>
      <c r="BE134" s="73"/>
      <c r="BF134" s="73"/>
      <c r="BG134" s="73"/>
      <c r="BH134" s="73"/>
      <c r="BI134" s="73"/>
      <c r="BJ134" s="35"/>
      <c r="BK134" s="35"/>
      <c r="BL134" s="35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</row>
    <row r="135" spans="1:94" s="9" customFormat="1" x14ac:dyDescent="0.2">
      <c r="A135" s="160"/>
      <c r="B135"/>
      <c r="C135" s="159"/>
      <c r="D135" s="159"/>
      <c r="E135" s="159"/>
      <c r="G135" s="159"/>
      <c r="H135" s="159"/>
      <c r="I135" s="187"/>
      <c r="K135" s="35"/>
      <c r="L135" s="35"/>
      <c r="M135" s="35"/>
      <c r="N135" s="35"/>
      <c r="O135" s="73"/>
      <c r="P135" s="35"/>
      <c r="Q135" s="35"/>
      <c r="R135" s="35"/>
      <c r="S135" s="73"/>
      <c r="T135" s="73"/>
      <c r="U135" s="73"/>
      <c r="V135" s="73"/>
      <c r="X135" s="35"/>
      <c r="Y135" s="35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73"/>
      <c r="AO135" s="73"/>
      <c r="AP135" s="73"/>
      <c r="AQ135" s="73"/>
      <c r="AR135"/>
      <c r="AS135"/>
      <c r="AT135" s="159"/>
      <c r="AU135" s="159"/>
      <c r="AX135" s="159"/>
      <c r="AY135" s="73"/>
      <c r="AZ135" s="73"/>
      <c r="BA135" s="73"/>
      <c r="BB135" s="73"/>
      <c r="BC135" s="73"/>
      <c r="BD135" s="73"/>
      <c r="BE135" s="73"/>
      <c r="BF135" s="73"/>
      <c r="BG135" s="73"/>
      <c r="BH135" s="73"/>
      <c r="BI135" s="73"/>
      <c r="BJ135" s="35"/>
      <c r="BK135" s="35"/>
      <c r="BL135" s="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 s="270"/>
      <c r="CB135" s="35"/>
      <c r="CC135" s="35"/>
      <c r="CD135" s="35"/>
      <c r="CE135" s="35"/>
      <c r="CF135" s="35"/>
      <c r="CK135"/>
      <c r="CL135"/>
      <c r="CM135"/>
      <c r="CN135"/>
      <c r="CO135"/>
      <c r="CP135"/>
    </row>
    <row r="136" spans="1:94" s="9" customFormat="1" x14ac:dyDescent="0.2">
      <c r="A136" s="160"/>
      <c r="B136" t="s">
        <v>1071</v>
      </c>
      <c r="C136" s="159"/>
      <c r="D136" s="159">
        <v>400</v>
      </c>
      <c r="E136" s="159">
        <f>400-210</f>
        <v>190</v>
      </c>
      <c r="G136"/>
      <c r="H136"/>
      <c r="I136"/>
      <c r="K136" s="35"/>
      <c r="L136" s="35"/>
      <c r="O136"/>
      <c r="P136" s="35"/>
      <c r="Q136" s="35">
        <v>108</v>
      </c>
      <c r="R136" s="35">
        <f>108-27-81</f>
        <v>0</v>
      </c>
      <c r="S136" s="73"/>
      <c r="T136" s="73"/>
      <c r="U136" s="73"/>
      <c r="V136" s="73"/>
      <c r="X136" s="35">
        <f t="shared" ref="X136:Y143" si="327">SUM(D136+Q136)</f>
        <v>508</v>
      </c>
      <c r="Y136" s="35">
        <f t="shared" si="327"/>
        <v>190</v>
      </c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L136" s="338"/>
      <c r="AM136" s="35"/>
      <c r="AO136" s="338"/>
      <c r="AP136" s="35"/>
      <c r="AQ136" s="35"/>
      <c r="AR136" s="35"/>
      <c r="AS136" s="35"/>
      <c r="AY136"/>
      <c r="AZ136"/>
      <c r="BA136"/>
      <c r="BB136"/>
      <c r="BC136"/>
      <c r="BD136"/>
      <c r="BE136"/>
      <c r="BG136" s="338"/>
      <c r="BJ136" s="73"/>
      <c r="BK136" s="73"/>
      <c r="BL136" s="73"/>
      <c r="BM136" s="73"/>
      <c r="BN136" s="73"/>
      <c r="BO136"/>
      <c r="BP136"/>
      <c r="BQ136"/>
      <c r="BR136"/>
      <c r="BS136"/>
      <c r="BT136"/>
      <c r="BU136"/>
      <c r="BV136"/>
      <c r="BW136"/>
      <c r="BX136"/>
      <c r="BY136"/>
      <c r="BZ136"/>
    </row>
    <row r="137" spans="1:94" s="9" customFormat="1" x14ac:dyDescent="0.2">
      <c r="A137" s="160"/>
      <c r="B137" t="s">
        <v>1060</v>
      </c>
      <c r="C137" s="159"/>
      <c r="D137" s="159">
        <v>400</v>
      </c>
      <c r="E137" s="159">
        <f>400-250</f>
        <v>150</v>
      </c>
      <c r="G137"/>
      <c r="H137"/>
      <c r="I137"/>
      <c r="K137" s="35"/>
      <c r="L137" s="35"/>
      <c r="O137"/>
      <c r="P137" s="35"/>
      <c r="Q137" s="35">
        <v>108</v>
      </c>
      <c r="R137" s="35">
        <f>108-108</f>
        <v>0</v>
      </c>
      <c r="S137" s="73"/>
      <c r="T137" s="73"/>
      <c r="U137" s="73"/>
      <c r="V137" s="73"/>
      <c r="X137" s="35">
        <f t="shared" si="327"/>
        <v>508</v>
      </c>
      <c r="Y137" s="35">
        <f t="shared" si="327"/>
        <v>150</v>
      </c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L137" s="338"/>
      <c r="AM137" s="35"/>
      <c r="AO137" s="338"/>
      <c r="AP137" s="35"/>
      <c r="AQ137" s="35"/>
      <c r="AR137" s="35"/>
      <c r="AS137" s="35"/>
      <c r="AY137"/>
      <c r="AZ137"/>
      <c r="BA137"/>
      <c r="BB137"/>
      <c r="BC137"/>
      <c r="BD137"/>
      <c r="BE137"/>
      <c r="BG137" s="338"/>
      <c r="BJ137" s="73"/>
      <c r="BK137" s="73"/>
      <c r="BL137" s="73"/>
      <c r="BM137" s="73"/>
      <c r="BN137" s="73"/>
      <c r="BO137"/>
      <c r="BP137"/>
      <c r="BQ137"/>
      <c r="BR137"/>
      <c r="BS137"/>
      <c r="BT137"/>
      <c r="BU137"/>
      <c r="BV137"/>
      <c r="BW137"/>
      <c r="BX137"/>
      <c r="BY137"/>
      <c r="BZ137"/>
    </row>
    <row r="138" spans="1:94" s="9" customFormat="1" x14ac:dyDescent="0.2">
      <c r="A138" s="160"/>
      <c r="B138"/>
      <c r="C138" s="159"/>
      <c r="D138" s="159"/>
      <c r="E138" s="159"/>
      <c r="G138"/>
      <c r="H138"/>
      <c r="I138"/>
      <c r="K138" s="35"/>
      <c r="L138" s="35"/>
      <c r="O138"/>
      <c r="P138" s="35"/>
      <c r="Q138" s="35"/>
      <c r="R138" s="35"/>
      <c r="S138" s="73"/>
      <c r="T138" s="73"/>
      <c r="U138" s="73"/>
      <c r="V138" s="73"/>
      <c r="X138" s="35"/>
      <c r="Y138" s="35"/>
      <c r="Z138" s="73"/>
      <c r="AA138" s="73"/>
      <c r="AB138" s="73"/>
      <c r="AC138" s="73"/>
      <c r="AD138" s="73"/>
      <c r="AE138" s="73"/>
      <c r="AF138" s="73"/>
      <c r="AG138" s="73"/>
      <c r="AH138" s="73"/>
      <c r="AI138" s="73"/>
      <c r="AJ138" s="73"/>
      <c r="AL138" s="338"/>
      <c r="AM138" s="35"/>
      <c r="AO138" s="338"/>
      <c r="AP138" s="35"/>
      <c r="AQ138" s="35"/>
      <c r="AR138" s="35"/>
      <c r="AS138" s="35"/>
      <c r="AY138"/>
      <c r="AZ138"/>
      <c r="BA138"/>
      <c r="BB138"/>
      <c r="BC138"/>
      <c r="BD138"/>
      <c r="BE138"/>
      <c r="BG138" s="338"/>
      <c r="BJ138" s="73"/>
      <c r="BK138" s="73"/>
      <c r="BL138" s="73"/>
      <c r="BM138" s="73"/>
      <c r="BN138" s="73"/>
      <c r="BO138"/>
      <c r="BP138"/>
      <c r="BQ138"/>
      <c r="BR138"/>
      <c r="BS138"/>
      <c r="BT138"/>
      <c r="BU138"/>
      <c r="BV138"/>
      <c r="BW138"/>
      <c r="BX138"/>
      <c r="BY138"/>
      <c r="BZ138"/>
    </row>
    <row r="139" spans="1:94" s="9" customFormat="1" x14ac:dyDescent="0.2">
      <c r="A139" s="160"/>
      <c r="B139" t="s">
        <v>1064</v>
      </c>
      <c r="C139" s="159"/>
      <c r="D139" s="159">
        <v>500</v>
      </c>
      <c r="E139" s="159">
        <v>500</v>
      </c>
      <c r="G139"/>
      <c r="H139"/>
      <c r="I139"/>
      <c r="K139" s="35"/>
      <c r="L139" s="35"/>
      <c r="O139"/>
      <c r="P139" s="35"/>
      <c r="Q139" s="35">
        <v>135</v>
      </c>
      <c r="R139" s="35">
        <v>135</v>
      </c>
      <c r="S139" s="73"/>
      <c r="T139" s="73"/>
      <c r="U139" s="73"/>
      <c r="V139" s="73"/>
      <c r="X139" s="35">
        <f t="shared" si="327"/>
        <v>635</v>
      </c>
      <c r="Y139" s="35">
        <f t="shared" si="327"/>
        <v>635</v>
      </c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L139" s="338"/>
      <c r="AM139" s="35"/>
      <c r="AO139" s="338"/>
      <c r="AP139" s="35"/>
      <c r="AQ139" s="35"/>
      <c r="AR139" s="35"/>
      <c r="AS139" s="35"/>
      <c r="AY139"/>
      <c r="AZ139"/>
      <c r="BA139"/>
      <c r="BB139"/>
      <c r="BC139"/>
      <c r="BD139"/>
      <c r="BE139"/>
      <c r="BG139" s="338"/>
      <c r="BJ139" s="73"/>
      <c r="BK139" s="73"/>
      <c r="BL139" s="73"/>
      <c r="BM139" s="73"/>
      <c r="BN139" s="73"/>
      <c r="BO139"/>
      <c r="BP139"/>
      <c r="BQ139"/>
      <c r="BR139"/>
      <c r="BS139"/>
      <c r="BT139"/>
      <c r="BU139"/>
      <c r="BV139"/>
      <c r="BW139"/>
      <c r="BX139"/>
      <c r="BY139"/>
      <c r="BZ139"/>
    </row>
    <row r="140" spans="1:94" s="9" customFormat="1" x14ac:dyDescent="0.2">
      <c r="A140" s="160"/>
      <c r="B140"/>
      <c r="C140" s="159"/>
      <c r="D140" s="159"/>
      <c r="E140" s="159"/>
      <c r="G140"/>
      <c r="H140"/>
      <c r="I140"/>
      <c r="K140" s="35"/>
      <c r="L140" s="35"/>
      <c r="O140"/>
      <c r="P140" s="35"/>
      <c r="Q140" s="35"/>
      <c r="R140" s="35"/>
      <c r="S140" s="73"/>
      <c r="T140" s="73"/>
      <c r="U140" s="73"/>
      <c r="V140" s="73"/>
      <c r="X140" s="35"/>
      <c r="Y140" s="35"/>
      <c r="Z140" s="73"/>
      <c r="AA140" s="73"/>
      <c r="AB140" s="73"/>
      <c r="AC140" s="73"/>
      <c r="AD140" s="73"/>
      <c r="AE140" s="73"/>
      <c r="AF140" s="73"/>
      <c r="AG140" s="73"/>
      <c r="AH140" s="73"/>
      <c r="AI140" s="73"/>
      <c r="AJ140" s="73"/>
      <c r="AL140" s="338"/>
      <c r="AM140" s="35"/>
      <c r="AO140" s="338"/>
      <c r="AP140" s="35"/>
      <c r="AQ140" s="35"/>
      <c r="AR140" s="35"/>
      <c r="AS140" s="35"/>
      <c r="AY140"/>
      <c r="AZ140"/>
      <c r="BA140"/>
      <c r="BB140"/>
      <c r="BC140"/>
      <c r="BD140"/>
      <c r="BE140"/>
      <c r="BG140" s="338"/>
      <c r="BJ140" s="73"/>
      <c r="BK140" s="73"/>
      <c r="BL140" s="73"/>
      <c r="BM140" s="73"/>
      <c r="BN140" s="73"/>
      <c r="BO140"/>
      <c r="BP140"/>
      <c r="BQ140"/>
      <c r="BR140"/>
      <c r="BS140"/>
      <c r="BT140"/>
      <c r="BU140"/>
      <c r="BV140"/>
      <c r="BW140"/>
      <c r="BX140"/>
      <c r="BY140"/>
      <c r="BZ140"/>
    </row>
    <row r="141" spans="1:94" s="9" customFormat="1" x14ac:dyDescent="0.2">
      <c r="A141" s="160"/>
      <c r="B141" t="s">
        <v>1302</v>
      </c>
      <c r="C141" s="159"/>
      <c r="D141" s="159">
        <v>3000</v>
      </c>
      <c r="E141" s="159">
        <f>3000+40+210+250</f>
        <v>3500</v>
      </c>
      <c r="G141"/>
      <c r="H141"/>
      <c r="I141"/>
      <c r="K141" s="35"/>
      <c r="L141" s="35"/>
      <c r="O141"/>
      <c r="P141" s="35"/>
      <c r="Q141" s="35">
        <v>810</v>
      </c>
      <c r="R141" s="35">
        <f>810+135</f>
        <v>945</v>
      </c>
      <c r="S141" s="73"/>
      <c r="T141" s="73"/>
      <c r="U141" s="73"/>
      <c r="V141" s="73"/>
      <c r="X141" s="35">
        <f t="shared" si="327"/>
        <v>3810</v>
      </c>
      <c r="Y141" s="35">
        <f t="shared" si="327"/>
        <v>4445</v>
      </c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L141" s="338"/>
      <c r="AM141" s="35"/>
      <c r="AO141" s="338"/>
      <c r="AP141" s="35"/>
      <c r="AQ141" s="35"/>
      <c r="AR141" s="35"/>
      <c r="AS141" s="35"/>
      <c r="AY141"/>
      <c r="AZ141"/>
      <c r="BA141"/>
      <c r="BB141"/>
      <c r="BC141"/>
      <c r="BD141"/>
      <c r="BE141"/>
      <c r="BG141" s="338"/>
      <c r="BJ141" s="73"/>
      <c r="BK141" s="73"/>
      <c r="BL141" s="73"/>
      <c r="BM141" s="73"/>
      <c r="BN141" s="73"/>
      <c r="BO141"/>
      <c r="BP141"/>
      <c r="BQ141"/>
      <c r="BR141"/>
      <c r="BS141"/>
      <c r="BT141"/>
      <c r="BU141"/>
      <c r="BV141"/>
      <c r="BW141"/>
      <c r="BX141"/>
      <c r="BY141"/>
      <c r="BZ141"/>
    </row>
    <row r="142" spans="1:94" s="9" customFormat="1" x14ac:dyDescent="0.2">
      <c r="A142" s="160"/>
      <c r="B142"/>
      <c r="C142" s="159"/>
      <c r="D142" s="159"/>
      <c r="E142" s="159"/>
      <c r="G142"/>
      <c r="H142"/>
      <c r="I142"/>
      <c r="K142" s="35"/>
      <c r="L142" s="35"/>
      <c r="O142"/>
      <c r="P142" s="35"/>
      <c r="Q142" s="35"/>
      <c r="R142" s="35"/>
      <c r="S142" s="73"/>
      <c r="T142" s="73"/>
      <c r="U142" s="73"/>
      <c r="V142" s="73"/>
      <c r="X142" s="35"/>
      <c r="Y142" s="35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/>
      <c r="AJ142" s="73"/>
      <c r="AL142" s="338"/>
      <c r="AM142" s="35"/>
      <c r="AO142" s="338"/>
      <c r="AP142" s="35"/>
      <c r="AQ142" s="35"/>
      <c r="AR142" s="35"/>
      <c r="AS142" s="35"/>
      <c r="AY142"/>
      <c r="AZ142"/>
      <c r="BA142"/>
      <c r="BB142"/>
      <c r="BC142"/>
      <c r="BD142"/>
      <c r="BE142"/>
      <c r="BG142" s="338"/>
      <c r="BJ142" s="73"/>
      <c r="BK142" s="73"/>
      <c r="BL142" s="73"/>
      <c r="BM142" s="73"/>
      <c r="BN142" s="73"/>
      <c r="BO142"/>
      <c r="BP142"/>
      <c r="BQ142"/>
      <c r="BR142"/>
      <c r="BS142"/>
      <c r="BT142"/>
      <c r="BU142"/>
      <c r="BV142"/>
      <c r="BW142"/>
      <c r="BX142"/>
      <c r="BY142"/>
      <c r="BZ142"/>
    </row>
    <row r="143" spans="1:94" s="9" customFormat="1" x14ac:dyDescent="0.2">
      <c r="A143" s="160"/>
      <c r="B143" t="s">
        <v>1096</v>
      </c>
      <c r="C143" s="159"/>
      <c r="D143" s="159">
        <v>485</v>
      </c>
      <c r="E143" s="159">
        <v>485</v>
      </c>
      <c r="G143"/>
      <c r="H143"/>
      <c r="I143"/>
      <c r="K143" s="35"/>
      <c r="L143" s="35"/>
      <c r="O143"/>
      <c r="P143" s="35"/>
      <c r="Q143" s="35">
        <v>0</v>
      </c>
      <c r="R143" s="35">
        <v>0</v>
      </c>
      <c r="S143" s="73"/>
      <c r="T143" s="73"/>
      <c r="U143" s="73"/>
      <c r="V143" s="73"/>
      <c r="X143" s="35">
        <f t="shared" si="327"/>
        <v>485</v>
      </c>
      <c r="Y143" s="35">
        <f t="shared" si="327"/>
        <v>485</v>
      </c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L143" s="338"/>
      <c r="AM143" s="35"/>
      <c r="AO143" s="338"/>
      <c r="AP143" s="35"/>
      <c r="AQ143" s="35"/>
      <c r="AR143" s="35"/>
      <c r="AS143" s="35"/>
      <c r="AY143"/>
      <c r="AZ143"/>
      <c r="BA143"/>
      <c r="BB143"/>
      <c r="BC143"/>
      <c r="BD143"/>
      <c r="BE143"/>
      <c r="BG143" s="338"/>
      <c r="BJ143" s="73"/>
      <c r="BK143" s="73"/>
      <c r="BL143" s="73"/>
      <c r="BM143" s="73"/>
      <c r="BN143" s="73"/>
      <c r="BO143"/>
      <c r="BP143"/>
      <c r="BQ143"/>
      <c r="BR143"/>
      <c r="BS143"/>
      <c r="BT143"/>
      <c r="BU143"/>
      <c r="BV143"/>
      <c r="BW143"/>
      <c r="BX143"/>
      <c r="BY143"/>
      <c r="BZ143"/>
    </row>
    <row r="144" spans="1:94" s="9" customFormat="1" x14ac:dyDescent="0.2">
      <c r="A144" s="160"/>
      <c r="B144"/>
      <c r="C144" s="159"/>
      <c r="D144" s="159"/>
      <c r="E144" s="159"/>
      <c r="G144"/>
      <c r="H144"/>
      <c r="I144"/>
      <c r="K144" s="35"/>
      <c r="L144" s="35"/>
      <c r="O144"/>
      <c r="P144" s="35"/>
      <c r="Q144" s="35"/>
      <c r="R144" s="35"/>
      <c r="S144" s="73"/>
      <c r="T144" s="73"/>
      <c r="U144" s="73"/>
      <c r="V144" s="73"/>
      <c r="X144" s="35"/>
      <c r="Y144" s="35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/>
      <c r="AJ144" s="73"/>
      <c r="AL144" s="338"/>
      <c r="AM144" s="35"/>
      <c r="AO144" s="338"/>
      <c r="AP144" s="35"/>
      <c r="AQ144" s="35"/>
      <c r="AR144" s="35"/>
      <c r="AS144" s="35"/>
      <c r="AY144"/>
      <c r="AZ144"/>
      <c r="BA144"/>
      <c r="BB144"/>
      <c r="BC144"/>
      <c r="BD144"/>
      <c r="BE144"/>
      <c r="BG144" s="338"/>
      <c r="BJ144" s="73"/>
      <c r="BK144" s="73"/>
      <c r="BL144" s="73"/>
      <c r="BM144" s="73"/>
      <c r="BN144" s="73"/>
      <c r="BO144"/>
      <c r="BP144"/>
      <c r="BQ144"/>
      <c r="BR144"/>
      <c r="BS144"/>
      <c r="BT144"/>
      <c r="BU144"/>
      <c r="BV144"/>
      <c r="BW144"/>
      <c r="BX144"/>
      <c r="BY144"/>
      <c r="BZ144"/>
    </row>
    <row r="145" spans="1:78" s="9" customFormat="1" x14ac:dyDescent="0.2">
      <c r="A145" s="160"/>
      <c r="B145" s="218" t="s">
        <v>1098</v>
      </c>
      <c r="C145" s="159"/>
      <c r="D145" s="159">
        <v>900</v>
      </c>
      <c r="E145" s="159">
        <f>900-235-40</f>
        <v>625</v>
      </c>
      <c r="G145"/>
      <c r="H145"/>
      <c r="I145"/>
      <c r="K145" s="35"/>
      <c r="L145" s="35"/>
      <c r="O145"/>
      <c r="P145" s="35"/>
      <c r="Q145" s="35">
        <v>243</v>
      </c>
      <c r="R145" s="35">
        <f>243-243</f>
        <v>0</v>
      </c>
      <c r="S145"/>
      <c r="T145"/>
      <c r="U145"/>
      <c r="V145"/>
      <c r="W145" s="514"/>
      <c r="X145" s="35">
        <f>SUM(D145+Q145)</f>
        <v>1143</v>
      </c>
      <c r="Y145" s="35">
        <f>SUM(E145+R145)</f>
        <v>625</v>
      </c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L145" s="338"/>
      <c r="AM145" s="35"/>
      <c r="AO145" s="338"/>
      <c r="AP145" s="35"/>
      <c r="AQ145" s="35"/>
      <c r="AR145" s="35"/>
      <c r="AS145" s="35"/>
      <c r="AY145"/>
      <c r="AZ145"/>
      <c r="BA145"/>
      <c r="BB145"/>
      <c r="BC145"/>
      <c r="BD145"/>
      <c r="BE145"/>
      <c r="BG145" s="338"/>
      <c r="BJ145" s="73"/>
      <c r="BK145" s="73"/>
      <c r="BL145" s="73"/>
      <c r="BM145" s="73"/>
      <c r="BN145" s="73"/>
      <c r="BO145"/>
      <c r="BP145"/>
      <c r="BQ145"/>
      <c r="BR145"/>
      <c r="BS145"/>
      <c r="BT145"/>
      <c r="BU145"/>
      <c r="BV145"/>
      <c r="BW145"/>
      <c r="BX145"/>
      <c r="BY145"/>
      <c r="BZ145"/>
    </row>
    <row r="146" spans="1:78" s="9" customFormat="1" x14ac:dyDescent="0.2">
      <c r="A146" s="160"/>
      <c r="B146" t="s">
        <v>1109</v>
      </c>
      <c r="C146" s="159"/>
      <c r="D146" s="159">
        <v>2000</v>
      </c>
      <c r="E146" s="159">
        <v>2000</v>
      </c>
      <c r="G146"/>
      <c r="H146"/>
      <c r="I146"/>
      <c r="K146" s="35"/>
      <c r="L146" s="35"/>
      <c r="O146"/>
      <c r="P146" s="35"/>
      <c r="Q146" s="35">
        <v>540</v>
      </c>
      <c r="R146" s="35">
        <v>540</v>
      </c>
      <c r="S146"/>
      <c r="T146"/>
      <c r="U146"/>
      <c r="V146"/>
      <c r="W146" s="514"/>
      <c r="X146" s="35">
        <f t="shared" ref="X146" si="328">SUM(D146+Q146)</f>
        <v>2540</v>
      </c>
      <c r="Y146" s="35">
        <f t="shared" ref="Y146" si="329">SUM(E146+R146)</f>
        <v>2540</v>
      </c>
      <c r="Z146" s="73"/>
      <c r="AA146" s="73"/>
      <c r="AB146" s="73"/>
      <c r="AC146" s="73"/>
      <c r="AD146" s="73"/>
      <c r="AE146" s="73"/>
      <c r="AF146" s="73"/>
      <c r="AG146" s="73"/>
      <c r="AH146" s="73"/>
      <c r="AI146" s="73"/>
      <c r="AJ146" s="73"/>
      <c r="AL146" s="338"/>
      <c r="AM146" s="35"/>
      <c r="AO146" s="338"/>
      <c r="AP146" s="35"/>
      <c r="AQ146" s="35"/>
      <c r="AR146" s="35"/>
      <c r="AS146" s="35"/>
      <c r="AY146"/>
      <c r="AZ146"/>
      <c r="BA146"/>
      <c r="BB146"/>
      <c r="BC146"/>
      <c r="BD146"/>
      <c r="BE146"/>
      <c r="BG146" s="338"/>
      <c r="BJ146" s="73"/>
      <c r="BK146" s="73"/>
      <c r="BL146" s="73"/>
      <c r="BM146" s="73"/>
      <c r="BN146" s="73"/>
      <c r="BO146"/>
      <c r="BP146"/>
      <c r="BQ146"/>
      <c r="BR146"/>
      <c r="BS146"/>
      <c r="BT146"/>
      <c r="BU146"/>
      <c r="BV146"/>
      <c r="BW146"/>
      <c r="BX146"/>
      <c r="BY146"/>
      <c r="BZ146"/>
    </row>
    <row r="147" spans="1:78" s="9" customFormat="1" x14ac:dyDescent="0.2">
      <c r="A147" s="160"/>
      <c r="B147"/>
      <c r="C147" s="159"/>
      <c r="D147" s="159"/>
      <c r="E147" s="159"/>
      <c r="G147"/>
      <c r="H147"/>
      <c r="I147"/>
      <c r="K147" s="35"/>
      <c r="L147" s="35"/>
      <c r="O147"/>
      <c r="P147" s="35"/>
      <c r="Q147" s="35"/>
      <c r="R147" s="35"/>
      <c r="S147"/>
      <c r="T147"/>
      <c r="U147"/>
      <c r="V147"/>
      <c r="W147" s="514"/>
      <c r="X147" s="35"/>
      <c r="Y147" s="35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L147" s="338"/>
      <c r="AM147" s="35"/>
      <c r="AO147" s="338"/>
      <c r="AP147" s="35"/>
      <c r="AQ147" s="35"/>
      <c r="AR147" s="35"/>
      <c r="AS147" s="35"/>
      <c r="AX147" s="9">
        <v>1555</v>
      </c>
      <c r="AY147"/>
      <c r="AZ147"/>
      <c r="BA147"/>
      <c r="BB147"/>
      <c r="BC147"/>
      <c r="BD147"/>
      <c r="BE147"/>
      <c r="BG147" s="338"/>
      <c r="BJ147" s="73"/>
      <c r="BK147" s="73"/>
      <c r="BL147" s="73"/>
      <c r="BM147" s="73"/>
      <c r="BN147" s="73"/>
      <c r="BO147"/>
      <c r="BP147"/>
      <c r="BQ147"/>
      <c r="BR147"/>
      <c r="BS147"/>
      <c r="BT147"/>
      <c r="BU147"/>
      <c r="BV147"/>
      <c r="BW147"/>
      <c r="BX147"/>
      <c r="BY147"/>
      <c r="BZ147"/>
    </row>
    <row r="148" spans="1:78" s="9" customFormat="1" hidden="1" x14ac:dyDescent="0.2">
      <c r="A148" s="160"/>
      <c r="B148"/>
      <c r="C148" s="159"/>
      <c r="D148" s="159"/>
      <c r="E148" s="159"/>
      <c r="G148"/>
      <c r="H148"/>
      <c r="I148"/>
      <c r="K148" s="35"/>
      <c r="L148" s="35"/>
      <c r="O148"/>
      <c r="P148" s="35"/>
      <c r="Q148" s="35"/>
      <c r="R148" s="35"/>
      <c r="S148"/>
      <c r="T148"/>
      <c r="U148"/>
      <c r="V148"/>
      <c r="W148" s="514"/>
      <c r="X148" s="35"/>
      <c r="Y148" s="35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L148" s="338"/>
      <c r="AM148" s="35"/>
      <c r="AO148" s="338"/>
      <c r="AP148" s="35"/>
      <c r="AQ148" s="35"/>
      <c r="AR148" s="35"/>
      <c r="AS148" s="35"/>
      <c r="AY148"/>
      <c r="AZ148"/>
      <c r="BA148"/>
      <c r="BB148"/>
      <c r="BC148"/>
      <c r="BD148"/>
      <c r="BE148"/>
      <c r="BG148" s="338"/>
      <c r="BJ148" s="73"/>
      <c r="BK148" s="73"/>
      <c r="BL148" s="73"/>
      <c r="BM148" s="73"/>
      <c r="BN148" s="73"/>
      <c r="BO148"/>
      <c r="BP148"/>
      <c r="BQ148"/>
      <c r="BR148"/>
      <c r="BS148"/>
      <c r="BT148"/>
      <c r="BU148"/>
      <c r="BV148"/>
      <c r="BW148"/>
      <c r="BX148"/>
      <c r="BY148"/>
      <c r="BZ148"/>
    </row>
    <row r="149" spans="1:78" s="9" customFormat="1" hidden="1" x14ac:dyDescent="0.2">
      <c r="A149" s="160"/>
      <c r="B149"/>
      <c r="C149" s="159"/>
      <c r="G149"/>
      <c r="H149"/>
      <c r="I149"/>
      <c r="K149" s="35"/>
      <c r="L149" s="35"/>
      <c r="O149"/>
      <c r="P149" s="35"/>
      <c r="Q149" s="35"/>
      <c r="R149" s="35"/>
      <c r="S149"/>
      <c r="T149"/>
      <c r="U149"/>
      <c r="V149"/>
      <c r="W149" s="514"/>
      <c r="X149" s="35"/>
      <c r="Y149" s="35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L149" s="338"/>
      <c r="AM149" s="35"/>
      <c r="AO149" s="338"/>
      <c r="AP149" s="35"/>
      <c r="AQ149" s="35"/>
      <c r="AR149" s="35"/>
      <c r="AS149" s="35"/>
      <c r="AY149"/>
      <c r="AZ149"/>
      <c r="BA149"/>
      <c r="BB149"/>
      <c r="BC149"/>
      <c r="BD149"/>
      <c r="BE149"/>
      <c r="BG149" s="338"/>
      <c r="BJ149" s="73"/>
      <c r="BK149" s="73"/>
      <c r="BL149" s="73"/>
      <c r="BM149" s="73"/>
      <c r="BN149" s="73"/>
      <c r="BO149"/>
      <c r="BP149"/>
      <c r="BQ149"/>
      <c r="BR149"/>
      <c r="BS149"/>
      <c r="BT149"/>
      <c r="BU149"/>
      <c r="BV149"/>
      <c r="BW149"/>
      <c r="BX149"/>
      <c r="BY149"/>
      <c r="BZ149"/>
    </row>
    <row r="150" spans="1:78" s="9" customFormat="1" hidden="1" x14ac:dyDescent="0.2">
      <c r="A150" s="160"/>
      <c r="B150"/>
      <c r="C150" s="159"/>
      <c r="D150" s="159"/>
      <c r="E150" s="159"/>
      <c r="G150"/>
      <c r="H150"/>
      <c r="I150"/>
      <c r="K150" s="35"/>
      <c r="L150" s="35"/>
      <c r="O150"/>
      <c r="P150" s="35"/>
      <c r="Q150" s="35"/>
      <c r="R150" s="35"/>
      <c r="S150"/>
      <c r="T150"/>
      <c r="U150"/>
      <c r="V150"/>
      <c r="W150" s="514"/>
      <c r="X150" s="35"/>
      <c r="Y150" s="35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L150" s="338"/>
      <c r="AM150" s="35"/>
      <c r="AO150" s="338"/>
      <c r="AP150" s="35"/>
      <c r="AQ150" s="35"/>
      <c r="AR150" s="35"/>
      <c r="AS150" s="35"/>
      <c r="AY150"/>
      <c r="AZ150"/>
      <c r="BA150"/>
      <c r="BB150"/>
      <c r="BC150"/>
      <c r="BD150"/>
      <c r="BE150"/>
      <c r="BG150" s="338"/>
      <c r="BJ150" s="73"/>
      <c r="BK150" s="73"/>
      <c r="BL150" s="73"/>
      <c r="BM150" s="73"/>
      <c r="BN150" s="73"/>
      <c r="BO150"/>
      <c r="BP150"/>
      <c r="BQ150"/>
      <c r="BR150"/>
      <c r="BS150"/>
      <c r="BT150"/>
      <c r="BU150"/>
      <c r="BV150"/>
      <c r="BW150"/>
      <c r="BX150"/>
      <c r="BY150"/>
      <c r="BZ150"/>
    </row>
    <row r="151" spans="1:78" s="9" customFormat="1" hidden="1" x14ac:dyDescent="0.2">
      <c r="A151" s="160"/>
      <c r="B151"/>
      <c r="C151" s="159"/>
      <c r="D151" s="159"/>
      <c r="E151" s="159"/>
      <c r="G151"/>
      <c r="H151"/>
      <c r="I151"/>
      <c r="K151" s="35"/>
      <c r="L151" s="35"/>
      <c r="O151"/>
      <c r="P151" s="35"/>
      <c r="Q151" s="35"/>
      <c r="R151" s="35"/>
      <c r="S151"/>
      <c r="T151"/>
      <c r="U151"/>
      <c r="V151"/>
      <c r="W151" s="514"/>
      <c r="X151" s="35"/>
      <c r="Y151" s="35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L151" s="338"/>
      <c r="AM151" s="35"/>
      <c r="AO151" s="338"/>
      <c r="AP151" s="35"/>
      <c r="AQ151" s="35"/>
      <c r="AR151" s="35"/>
      <c r="AS151" s="35"/>
      <c r="AY151"/>
      <c r="AZ151"/>
      <c r="BA151"/>
      <c r="BB151"/>
      <c r="BC151"/>
      <c r="BD151"/>
      <c r="BE151"/>
      <c r="BG151" s="338"/>
      <c r="BJ151" s="73"/>
      <c r="BK151" s="73"/>
      <c r="BL151" s="73"/>
      <c r="BM151" s="73"/>
      <c r="BN151" s="73"/>
      <c r="BO151"/>
      <c r="BP151"/>
      <c r="BQ151"/>
      <c r="BR151"/>
      <c r="BS151"/>
      <c r="BT151"/>
      <c r="BU151"/>
      <c r="BV151"/>
      <c r="BW151"/>
      <c r="BX151"/>
      <c r="BY151"/>
      <c r="BZ151"/>
    </row>
    <row r="152" spans="1:78" s="9" customFormat="1" hidden="1" x14ac:dyDescent="0.2">
      <c r="A152" s="160"/>
      <c r="B152"/>
      <c r="C152" s="159"/>
      <c r="D152" s="159"/>
      <c r="E152" s="159"/>
      <c r="G152"/>
      <c r="H152"/>
      <c r="I152"/>
      <c r="K152" s="35"/>
      <c r="L152" s="35"/>
      <c r="O152"/>
      <c r="P152" s="35"/>
      <c r="Q152" s="35"/>
      <c r="R152" s="35"/>
      <c r="S152"/>
      <c r="T152"/>
      <c r="U152"/>
      <c r="V152"/>
      <c r="W152" s="514"/>
      <c r="X152" s="35"/>
      <c r="Y152" s="35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L152" s="338"/>
      <c r="AM152" s="35"/>
      <c r="AO152" s="338"/>
      <c r="AP152" s="35"/>
      <c r="AQ152" s="35"/>
      <c r="AR152" s="35"/>
      <c r="AS152" s="35"/>
      <c r="AY152"/>
      <c r="AZ152"/>
      <c r="BA152"/>
      <c r="BB152"/>
      <c r="BC152"/>
      <c r="BD152"/>
      <c r="BE152"/>
      <c r="BG152" s="338"/>
      <c r="BJ152" s="73"/>
      <c r="BK152" s="73"/>
      <c r="BL152" s="73"/>
      <c r="BM152" s="73"/>
      <c r="BN152" s="73"/>
      <c r="BO152"/>
      <c r="BP152"/>
      <c r="BQ152"/>
      <c r="BR152"/>
      <c r="BS152"/>
      <c r="BT152"/>
      <c r="BU152"/>
      <c r="BV152"/>
      <c r="BW152"/>
      <c r="BX152"/>
      <c r="BY152"/>
      <c r="BZ152"/>
    </row>
    <row r="153" spans="1:78" s="9" customFormat="1" hidden="1" x14ac:dyDescent="0.2">
      <c r="A153" s="160"/>
      <c r="B153"/>
      <c r="C153" s="159"/>
      <c r="D153" s="159"/>
      <c r="E153" s="159"/>
      <c r="G153"/>
      <c r="H153"/>
      <c r="I153"/>
      <c r="K153" s="35"/>
      <c r="L153" s="35"/>
      <c r="O153"/>
      <c r="P153" s="35"/>
      <c r="Q153" s="35"/>
      <c r="R153" s="35"/>
      <c r="S153"/>
      <c r="T153"/>
      <c r="U153"/>
      <c r="V153"/>
      <c r="W153" s="514"/>
      <c r="X153" s="35"/>
      <c r="Y153" s="35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L153" s="338"/>
      <c r="AM153" s="35"/>
      <c r="AO153" s="338"/>
      <c r="AP153" s="35"/>
      <c r="AQ153" s="35"/>
      <c r="AR153" s="35"/>
      <c r="AS153" s="35"/>
      <c r="AY153"/>
      <c r="AZ153"/>
      <c r="BA153"/>
      <c r="BB153"/>
      <c r="BC153"/>
      <c r="BD153"/>
      <c r="BE153"/>
      <c r="BG153" s="338"/>
      <c r="BJ153" s="73"/>
      <c r="BK153" s="73"/>
      <c r="BL153" s="73"/>
      <c r="BM153" s="73"/>
      <c r="BN153" s="73"/>
      <c r="BO153"/>
      <c r="BP153"/>
      <c r="BQ153"/>
      <c r="BR153"/>
      <c r="BS153"/>
      <c r="BT153"/>
      <c r="BU153"/>
      <c r="BV153"/>
      <c r="BW153"/>
      <c r="BX153"/>
      <c r="BY153"/>
      <c r="BZ153"/>
    </row>
    <row r="154" spans="1:78" s="9" customFormat="1" hidden="1" x14ac:dyDescent="0.2">
      <c r="A154" s="160"/>
      <c r="B154"/>
      <c r="C154" s="159"/>
      <c r="D154" s="159"/>
      <c r="E154" s="159"/>
      <c r="G154"/>
      <c r="H154"/>
      <c r="I154"/>
      <c r="K154" s="35"/>
      <c r="L154" s="35"/>
      <c r="O154"/>
      <c r="P154" s="35"/>
      <c r="Q154" s="35"/>
      <c r="R154" s="35"/>
      <c r="S154"/>
      <c r="T154"/>
      <c r="U154"/>
      <c r="V154"/>
      <c r="W154" s="514"/>
      <c r="X154" s="35"/>
      <c r="Y154" s="35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L154" s="338"/>
      <c r="AM154" s="35"/>
      <c r="AO154" s="338"/>
      <c r="AP154" s="35"/>
      <c r="AQ154" s="35"/>
      <c r="AR154" s="35"/>
      <c r="AS154" s="35"/>
      <c r="AY154"/>
      <c r="AZ154"/>
      <c r="BA154"/>
      <c r="BB154"/>
      <c r="BC154"/>
      <c r="BD154"/>
      <c r="BE154"/>
      <c r="BG154" s="338"/>
      <c r="BJ154" s="73"/>
      <c r="BK154" s="73"/>
      <c r="BL154" s="73"/>
      <c r="BM154" s="73"/>
      <c r="BN154" s="73"/>
      <c r="BO154"/>
      <c r="BP154"/>
      <c r="BQ154"/>
      <c r="BR154"/>
      <c r="BS154"/>
      <c r="BT154"/>
      <c r="BU154"/>
      <c r="BV154"/>
      <c r="BW154"/>
      <c r="BX154"/>
      <c r="BY154"/>
      <c r="BZ154"/>
    </row>
    <row r="155" spans="1:78" s="9" customFormat="1" hidden="1" x14ac:dyDescent="0.2">
      <c r="A155" s="160"/>
      <c r="B155"/>
      <c r="C155" s="159"/>
      <c r="D155" s="159"/>
      <c r="E155" s="159"/>
      <c r="G155"/>
      <c r="H155"/>
      <c r="I155"/>
      <c r="K155" s="35"/>
      <c r="L155" s="35"/>
      <c r="O155"/>
      <c r="P155" s="35"/>
      <c r="Q155" s="35"/>
      <c r="R155" s="35"/>
      <c r="S155"/>
      <c r="T155"/>
      <c r="U155"/>
      <c r="V155"/>
      <c r="W155" s="514"/>
      <c r="X155" s="35"/>
      <c r="Y155" s="35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L155" s="338"/>
      <c r="AM155" s="35"/>
      <c r="AO155" s="338"/>
      <c r="AP155" s="35"/>
      <c r="AQ155" s="35"/>
      <c r="AR155" s="35"/>
      <c r="AS155" s="35"/>
      <c r="AY155"/>
      <c r="AZ155"/>
      <c r="BA155"/>
      <c r="BB155"/>
      <c r="BC155"/>
      <c r="BD155"/>
      <c r="BE155"/>
      <c r="BG155" s="338"/>
      <c r="BJ155" s="73"/>
      <c r="BK155" s="73"/>
      <c r="BL155" s="73"/>
      <c r="BM155" s="73"/>
      <c r="BN155" s="73"/>
      <c r="BO155"/>
      <c r="BP155"/>
      <c r="BQ155"/>
      <c r="BR155"/>
      <c r="BS155"/>
      <c r="BT155"/>
      <c r="BU155"/>
      <c r="BV155"/>
      <c r="BW155"/>
      <c r="BX155"/>
      <c r="BY155"/>
      <c r="BZ155"/>
    </row>
    <row r="156" spans="1:78" s="9" customFormat="1" hidden="1" x14ac:dyDescent="0.2">
      <c r="A156" s="160"/>
      <c r="B156"/>
      <c r="C156" s="159"/>
      <c r="D156" s="159"/>
      <c r="E156" s="159"/>
      <c r="G156"/>
      <c r="H156"/>
      <c r="I156"/>
      <c r="K156" s="35"/>
      <c r="L156" s="35"/>
      <c r="O156"/>
      <c r="P156" s="35"/>
      <c r="Q156" s="35"/>
      <c r="R156" s="35"/>
      <c r="S156"/>
      <c r="T156"/>
      <c r="U156"/>
      <c r="V156"/>
      <c r="W156" s="514"/>
      <c r="X156" s="35"/>
      <c r="Y156" s="35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L156" s="338"/>
      <c r="AM156" s="35"/>
      <c r="AO156" s="338"/>
      <c r="AP156" s="35"/>
      <c r="AQ156" s="35"/>
      <c r="AR156" s="35"/>
      <c r="AS156" s="35"/>
      <c r="AY156"/>
      <c r="AZ156"/>
      <c r="BA156"/>
      <c r="BB156"/>
      <c r="BC156"/>
      <c r="BD156"/>
      <c r="BE156"/>
      <c r="BG156" s="338"/>
      <c r="BJ156" s="73"/>
      <c r="BK156" s="73"/>
      <c r="BL156" s="73"/>
      <c r="BM156" s="73"/>
      <c r="BN156" s="73"/>
      <c r="BO156"/>
      <c r="BP156"/>
      <c r="BQ156"/>
      <c r="BR156"/>
      <c r="BS156"/>
      <c r="BT156"/>
      <c r="BU156"/>
      <c r="BV156"/>
      <c r="BW156"/>
      <c r="BX156"/>
      <c r="BY156"/>
      <c r="BZ156"/>
    </row>
    <row r="157" spans="1:78" s="9" customFormat="1" hidden="1" x14ac:dyDescent="0.2">
      <c r="A157" s="160"/>
      <c r="B157"/>
      <c r="C157" s="159"/>
      <c r="D157" s="159"/>
      <c r="E157" s="159"/>
      <c r="G157"/>
      <c r="H157"/>
      <c r="I157"/>
      <c r="K157" s="35"/>
      <c r="L157" s="35"/>
      <c r="O157"/>
      <c r="P157" s="35"/>
      <c r="Q157" s="35"/>
      <c r="R157" s="35"/>
      <c r="S157"/>
      <c r="T157"/>
      <c r="U157"/>
      <c r="V157"/>
      <c r="W157" s="514"/>
      <c r="X157" s="35"/>
      <c r="Y157" s="35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L157" s="338"/>
      <c r="AM157" s="35"/>
      <c r="AO157" s="338"/>
      <c r="AP157" s="35"/>
      <c r="AQ157" s="35"/>
      <c r="AR157" s="35"/>
      <c r="AS157" s="35"/>
      <c r="AY157"/>
      <c r="AZ157"/>
      <c r="BA157"/>
      <c r="BB157"/>
      <c r="BC157"/>
      <c r="BD157"/>
      <c r="BE157"/>
      <c r="BG157" s="338"/>
      <c r="BJ157" s="73"/>
      <c r="BK157" s="73"/>
      <c r="BL157" s="73"/>
      <c r="BM157" s="73"/>
      <c r="BN157" s="73"/>
      <c r="BO157"/>
      <c r="BP157"/>
      <c r="BQ157"/>
      <c r="BR157"/>
      <c r="BS157"/>
      <c r="BT157"/>
      <c r="BU157"/>
      <c r="BV157"/>
      <c r="BW157"/>
      <c r="BX157"/>
      <c r="BY157"/>
      <c r="BZ157"/>
    </row>
    <row r="158" spans="1:78" s="9" customFormat="1" hidden="1" x14ac:dyDescent="0.2">
      <c r="A158" s="160"/>
      <c r="Q158" s="35"/>
      <c r="R158" s="35"/>
      <c r="S158"/>
      <c r="T158"/>
      <c r="U158"/>
      <c r="V158"/>
      <c r="W158" s="514"/>
      <c r="X158" s="35"/>
      <c r="Y158" s="35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</row>
    <row r="159" spans="1:78" s="9" customFormat="1" hidden="1" x14ac:dyDescent="0.2">
      <c r="A159" s="160"/>
      <c r="Q159" s="35"/>
      <c r="R159" s="35"/>
      <c r="S159"/>
      <c r="T159"/>
      <c r="U159"/>
      <c r="V159"/>
      <c r="W159" s="514"/>
      <c r="X159" s="35"/>
      <c r="Y159" s="35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</row>
    <row r="160" spans="1:78" s="9" customFormat="1" hidden="1" x14ac:dyDescent="0.2">
      <c r="A160" s="160"/>
      <c r="Q160" s="35"/>
      <c r="R160" s="35"/>
      <c r="S160"/>
      <c r="T160"/>
      <c r="U160"/>
      <c r="V160"/>
      <c r="W160" s="514"/>
      <c r="X160" s="35"/>
      <c r="Y160" s="35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</row>
    <row r="161" spans="1:78" s="9" customFormat="1" hidden="1" x14ac:dyDescent="0.2">
      <c r="A161" s="160"/>
      <c r="B161" s="218"/>
      <c r="C161" s="519"/>
      <c r="D161" s="519"/>
      <c r="E161" s="519"/>
      <c r="G161"/>
      <c r="H161"/>
      <c r="I161"/>
      <c r="K161" s="35"/>
      <c r="L161" s="35"/>
      <c r="O161"/>
      <c r="P161" s="35"/>
      <c r="Q161" s="35"/>
      <c r="R161" s="35"/>
      <c r="S161"/>
      <c r="T161"/>
      <c r="U161"/>
      <c r="V161"/>
      <c r="W161" s="514"/>
      <c r="X161" s="35"/>
      <c r="Y161" s="35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</row>
    <row r="162" spans="1:78" s="9" customFormat="1" hidden="1" x14ac:dyDescent="0.2">
      <c r="A162" s="160"/>
      <c r="B162" s="218"/>
      <c r="C162" s="159"/>
      <c r="D162" s="159"/>
      <c r="E162" s="159"/>
      <c r="G162"/>
      <c r="H162"/>
      <c r="I162"/>
      <c r="K162" s="35"/>
      <c r="L162" s="35"/>
      <c r="O162"/>
      <c r="P162" s="35"/>
      <c r="Q162" s="35"/>
      <c r="R162" s="35"/>
      <c r="S162"/>
      <c r="T162"/>
      <c r="U162"/>
      <c r="V162"/>
      <c r="W162" s="514"/>
      <c r="X162" s="35"/>
      <c r="Y162" s="35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</row>
    <row r="163" spans="1:78" s="9" customFormat="1" hidden="1" x14ac:dyDescent="0.2">
      <c r="A163" s="160"/>
      <c r="B163"/>
      <c r="C163" s="159"/>
      <c r="D163" s="159"/>
      <c r="E163" s="159"/>
      <c r="G163"/>
      <c r="H163"/>
      <c r="I163"/>
      <c r="K163" s="35"/>
      <c r="L163" s="35"/>
      <c r="O163"/>
      <c r="P163" s="35"/>
      <c r="Q163" s="35"/>
      <c r="R163" s="35"/>
      <c r="S163"/>
      <c r="T163"/>
      <c r="U163"/>
      <c r="V163"/>
      <c r="W163" s="514"/>
      <c r="X163" s="35"/>
      <c r="Y163" s="35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</row>
    <row r="164" spans="1:78" s="9" customFormat="1" ht="13.5" thickBot="1" x14ac:dyDescent="0.25">
      <c r="A164" s="160"/>
      <c r="B164"/>
      <c r="C164" s="159"/>
      <c r="D164" s="159"/>
      <c r="E164" s="159"/>
      <c r="G164"/>
      <c r="H164"/>
      <c r="I164"/>
      <c r="K164" s="35"/>
      <c r="L164" s="35"/>
      <c r="O164"/>
      <c r="P164" s="35"/>
      <c r="Q164" s="35"/>
      <c r="R164" s="35"/>
      <c r="S164"/>
      <c r="T164"/>
      <c r="U164"/>
      <c r="V164"/>
      <c r="X164" s="35"/>
      <c r="Y164" s="35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</row>
    <row r="165" spans="1:78" s="9" customFormat="1" ht="13.5" thickBot="1" x14ac:dyDescent="0.25">
      <c r="A165" s="160"/>
      <c r="B165" s="271" t="s">
        <v>43</v>
      </c>
      <c r="C165" s="188"/>
      <c r="D165" s="188">
        <f>SUM(D122:D164)</f>
        <v>48668</v>
      </c>
      <c r="E165" s="188">
        <f>SUM(E122:E164)</f>
        <v>46333</v>
      </c>
      <c r="F165" s="327"/>
      <c r="G165" s="327"/>
      <c r="H165" s="327"/>
      <c r="I165" s="327"/>
      <c r="J165" s="327"/>
      <c r="K165" s="327"/>
      <c r="L165" s="327"/>
      <c r="M165" s="327"/>
      <c r="N165" s="327"/>
      <c r="O165" s="327"/>
      <c r="P165" s="327"/>
      <c r="Q165" s="188">
        <f>SUM(Q122:Q164)</f>
        <v>12386</v>
      </c>
      <c r="R165" s="329">
        <f>SUM(R122:R164)</f>
        <v>11817</v>
      </c>
      <c r="X165" s="159"/>
      <c r="Y165" s="159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</row>
    <row r="166" spans="1:78" x14ac:dyDescent="0.2">
      <c r="W166" s="35"/>
      <c r="X166" s="35"/>
      <c r="Y166" s="35"/>
    </row>
    <row r="169" spans="1:78" x14ac:dyDescent="0.2">
      <c r="J169"/>
      <c r="K169"/>
      <c r="L169"/>
      <c r="M169"/>
      <c r="N169"/>
    </row>
    <row r="170" spans="1:78" hidden="1" x14ac:dyDescent="0.2">
      <c r="D170" s="159">
        <f>(D30+D38+D39+D40+D41+D42+D43+D44+D45+D47+D48+D50+D51+D52+D53+D55+D56+D57+D59+(D60-3000)+D67+D69+D70+D75+D76+D81+D82+D83+D85+D86+D87+(D88)+D89+D96+D97+D102+(D105-1200))*0.27</f>
        <v>5520.1500000000005</v>
      </c>
      <c r="E170" s="159">
        <f>(E30+E38+E39+E40+E41+E42+E43+E44+E45+E47+E48+E50+E51+E52+E53+E55+E56+E57+E59+(E60-3000)+E67+E69+E70+E75+E76+E81+E82+E83+E85+E86+E87+(E88)+E89+E96+E97+E102+(E105-1200))*0.27</f>
        <v>6265.6200000000008</v>
      </c>
      <c r="Q170" s="159">
        <f>(Q30+Q38+Q39+Q40+Q41+Q42+Q43+Q44+Q45+Q47+Q48+Q50+Q51+Q52+Q53+Q55+Q56+Q57+Q59+Q60+Q67+Q69+Q70+Q75+Q76+Q81+Q82+Q83+Q85+Q86+Q87+(Q88)+Q89+Q96+Q97+Q102+(Q105))*0.27</f>
        <v>13452.75</v>
      </c>
      <c r="R170" s="159">
        <f>(R30+R38+R39+R40+R41+R42+R43+R44+R45+R47+R48+(R50-900)+R51+R52+R53+R55+R56+R57+R59+R60+R67+R69+R70+R75+R76+R81+R82+R83+R85+R86+R87+(R88)+R89+R96+R97+R102+(R105))*0.27</f>
        <v>13209.75</v>
      </c>
      <c r="X170" s="159">
        <f>(X30+X38+X39+X40+X41+X42+X43+X44+X45+X47+X48+X50+X51+X52+X53+X55+X56+X57+X59+X60+X67+X69+X70+X75+X76+X81+X82+X83+X85+X86+X87+(X88)+X89+X96+X97+X102+(X105))*0.27</f>
        <v>1944.0000000000002</v>
      </c>
      <c r="Y170" s="159">
        <f>(Y30+Y38+Y39+Y40+Y41+Y42+Y43+Y44+Y45+Y47+Y48+Y50+Y51+Y52+Y53+Y55+Y56+Y57+Y59+Y60+Y67+Y69+Y70+Y75+Y76+Y81+Y82+Y83+Y85+Y86+Y87+(Y88)+Y89+Y96+Y97+Y102+(Y105))*0.27</f>
        <v>1744.2</v>
      </c>
      <c r="AE170" s="159">
        <f>(AE30+AE38+AE39+AE40+AE41+AE42+AE43+AE44+AE45+AE47+AE48+AE50+AE51+AE52+AE53+AE55+AE56+AE57+AE59+AE60+AE67+AE69+AE70+AE76+AE81+AE82+AE83+AE85+AE86+AE87+(AE88)+AE89+AE96+AE97+AE102+(AE105))*0.27</f>
        <v>22667.850000000002</v>
      </c>
      <c r="AF170" s="159">
        <f>(AF30+AF38+AF39+AF40+AF41+AF42+AF43+AF44+AF45+AF47+AF48+AF50+AF51+AF52+AF53+(AF55-300)+AF56+AF57+AF59+AF60+AF67+AF69+AF70+AF76+AF81+AF82+(AF83-500)+AF85+AF86+AF87+(AF88)+AF89+AF96+AF97+AF102+(AF105))*0.27</f>
        <v>23532.66</v>
      </c>
      <c r="AL170" s="159">
        <f>(AL30+AL38+AL39+AL40+AL41+AL42+AL43+AL44+AL45+AL47+AL48+AL50+AL51+AL52+AL53+AL55+AL56+AL57+AL59+AL60+AL67+AL69+AL70+AL75+AL76+AL81+AL82+AL83+AL85+AL86+AL87+(AL88)+AL89+AL96+AL97+AL102+(AL105))*0.27</f>
        <v>7185.7800000000007</v>
      </c>
      <c r="AM170" s="159">
        <f>(AM30+AM38+AM39+AM40+AM41+AM42+AM43+AM44+AM45+AM47+AM48+AM50+AM51+AM52+AM53+AM55+AM56+AM57+AM59+AM60+AM67+AM69+AM70+AM75+AM76+AM81+AM82+AM83+AM85+AM86+AM87+(AM88)+AM89+AM96+AM97+AM102+(AM105))*0.27</f>
        <v>8275.5</v>
      </c>
      <c r="BG170" s="159">
        <f>(BG30+BG38+BG39+BG40+BG41+BG42+BG43+BG44+BG45+BG47+BG48+BG50+BG51+BG52+BG53+BG55+BG56+BG57+BG59+BG60+BG67+BG69+BG70+BG75+BG76+BG81+BG82+BG83+BG85+BG86+BG87+(BG88)+BG89+BG96+BG97+BG102+(BG105))*0.27</f>
        <v>2964.6000000000004</v>
      </c>
      <c r="BH170" s="159">
        <f>(BH30+BH38+BH39+BH40+BH41+BH42+BH43+BH44+BH45+BH47+BH48+BH50+BH51+BH52+BH53+BH55+BH56+BH57+BH59+BH60+BH67+BH69+BH70+BH75+BH76+BH81+BH82+BH83+BH85+BH86+BH87+(BH88)+BH89+BH96+BH97+BH102+(BH105))*0.27</f>
        <v>3610.44</v>
      </c>
      <c r="BN170" s="159">
        <f>(BN30+BN38+BN39+BN40+BN41+BN42+BN43+BN44+BN45+BN47+BN48+BN50+BN51+BN52+BN53+BN55+BN56+BN57+BN59+BN60+BN67+BN69+BN70+BN75+BN76+BN81+BN82+BN83+BN85+BN86+BN87+(BN88-5000)+BN89+BN96+BN97+BN102+(BN105))*0.27</f>
        <v>4627.8</v>
      </c>
      <c r="BO170" s="159">
        <f>(BO30+BO38+BO39+BO40+BO41+BO42+BO43+BO44+BO45+BO47+BO48+BO50+BO51+BO52+BO53+BO55+BO56+BO57+BO59+BO60+BO67+BO69+BO70+BO75+BO76+BO81+BO82+BO83+BO85+BO86+BO87+(BO88-4000)+BO89+BO96+BO97+BO102+(BO105-200))*0.27</f>
        <v>4793.58</v>
      </c>
    </row>
    <row r="171" spans="1:78" hidden="1" x14ac:dyDescent="0.2">
      <c r="AF171" s="73">
        <f>AF170+R165</f>
        <v>35349.660000000003</v>
      </c>
    </row>
    <row r="174" spans="1:78" x14ac:dyDescent="0.2">
      <c r="A174"/>
      <c r="J174"/>
      <c r="K174"/>
      <c r="L174"/>
      <c r="M174"/>
      <c r="N174"/>
    </row>
    <row r="175" spans="1:78" x14ac:dyDescent="0.2">
      <c r="A175"/>
      <c r="J175"/>
      <c r="K175"/>
      <c r="L175"/>
      <c r="M175"/>
      <c r="N175"/>
    </row>
    <row r="176" spans="1:78" x14ac:dyDescent="0.2">
      <c r="A176"/>
      <c r="J176"/>
      <c r="K176"/>
      <c r="L176"/>
      <c r="M176"/>
      <c r="N176"/>
    </row>
    <row r="177" customFormat="1" x14ac:dyDescent="0.2"/>
    <row r="178" customFormat="1" x14ac:dyDescent="0.2"/>
    <row r="179" customFormat="1" x14ac:dyDescent="0.2"/>
    <row r="180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</sheetData>
  <mergeCells count="16">
    <mergeCell ref="A9:A10"/>
    <mergeCell ref="B9:B10"/>
    <mergeCell ref="C9:I9"/>
    <mergeCell ref="B5:BV5"/>
    <mergeCell ref="B6:BV6"/>
    <mergeCell ref="B7:BV7"/>
    <mergeCell ref="BT9:BZ9"/>
    <mergeCell ref="J9:O9"/>
    <mergeCell ref="P9:V9"/>
    <mergeCell ref="W9:AC9"/>
    <mergeCell ref="AY9:BE9"/>
    <mergeCell ref="AD9:AJ9"/>
    <mergeCell ref="AK9:AQ9"/>
    <mergeCell ref="AR9:AX9"/>
    <mergeCell ref="BF9:BL9"/>
    <mergeCell ref="BM9:BS9"/>
  </mergeCells>
  <phoneticPr fontId="14" type="noConversion"/>
  <pageMargins left="0.19685039370078741" right="0.15748031496062992" top="0.43307086614173229" bottom="0.15748031496062992" header="0.39370078740157483" footer="0.15748031496062992"/>
  <pageSetup paperSize="9" scale="60" orientation="landscape" r:id="rId1"/>
  <headerFooter alignWithMargins="0"/>
  <rowBreaks count="2" manualBreakCount="2">
    <brk id="54" max="78" man="1"/>
    <brk id="107" max="78" man="1"/>
  </rowBreaks>
  <colBreaks count="1" manualBreakCount="1">
    <brk id="32" max="166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J149"/>
  <sheetViews>
    <sheetView zoomScaleNormal="100" zoomScaleSheetLayoutView="80" workbookViewId="0">
      <selection activeCell="B8" sqref="B8:B9"/>
    </sheetView>
  </sheetViews>
  <sheetFormatPr defaultRowHeight="12.75" x14ac:dyDescent="0.2"/>
  <cols>
    <col min="1" max="1" width="6.140625" customWidth="1"/>
    <col min="2" max="2" width="60.28515625" customWidth="1"/>
    <col min="3" max="3" width="9.5703125" customWidth="1"/>
    <col min="4" max="4" width="13" customWidth="1"/>
    <col min="5" max="5" width="12.5703125" customWidth="1"/>
    <col min="6" max="6" width="12.5703125" hidden="1" customWidth="1"/>
    <col min="7" max="8" width="10.85546875" hidden="1" customWidth="1"/>
    <col min="9" max="9" width="9.7109375" hidden="1" customWidth="1"/>
    <col min="10" max="10" width="8.7109375" customWidth="1"/>
    <col min="11" max="11" width="12.140625" customWidth="1"/>
    <col min="12" max="12" width="11.42578125" customWidth="1"/>
    <col min="13" max="13" width="11.42578125" hidden="1" customWidth="1"/>
    <col min="14" max="23" width="10.85546875" hidden="1" customWidth="1"/>
    <col min="24" max="24" width="9.42578125" customWidth="1"/>
    <col min="25" max="26" width="12.85546875" customWidth="1"/>
    <col min="27" max="27" width="12.7109375" hidden="1" customWidth="1"/>
    <col min="28" max="29" width="11.28515625" hidden="1" customWidth="1"/>
    <col min="30" max="30" width="9.7109375" hidden="1" customWidth="1"/>
    <col min="31" max="31" width="6" style="9" customWidth="1"/>
    <col min="32" max="32" width="9.140625" hidden="1" customWidth="1"/>
    <col min="33" max="40" width="0" hidden="1" customWidth="1"/>
  </cols>
  <sheetData>
    <row r="1" spans="1:36" x14ac:dyDescent="0.2">
      <c r="A1" s="52"/>
      <c r="B1" s="1"/>
      <c r="C1" s="81"/>
      <c r="D1" s="81"/>
      <c r="E1" s="81"/>
      <c r="F1" s="81"/>
      <c r="G1" s="81"/>
      <c r="H1" s="81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Z1" s="167" t="s">
        <v>503</v>
      </c>
    </row>
    <row r="2" spans="1:36" x14ac:dyDescent="0.2">
      <c r="A2" s="52"/>
      <c r="B2" s="1"/>
      <c r="C2" s="81"/>
      <c r="D2" s="81"/>
      <c r="E2" s="81"/>
      <c r="F2" s="81"/>
      <c r="G2" s="81"/>
      <c r="H2" s="81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Z2" s="171" t="str">
        <f>'1.Bev-kiad.'!F2</f>
        <v>a 12/2026.(X.2.) önkormányzati rendelethez</v>
      </c>
    </row>
    <row r="3" spans="1:36" x14ac:dyDescent="0.2">
      <c r="A3" s="52"/>
      <c r="B3" s="1"/>
      <c r="C3" s="81"/>
      <c r="D3" s="81"/>
      <c r="E3" s="81"/>
      <c r="F3" s="81"/>
      <c r="G3" s="81"/>
      <c r="H3" s="81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Z3" s="171" t="s">
        <v>1143</v>
      </c>
      <c r="AC3" s="171"/>
    </row>
    <row r="4" spans="1:36" ht="15.75" x14ac:dyDescent="0.25">
      <c r="A4" s="842" t="s">
        <v>88</v>
      </c>
      <c r="B4" s="760"/>
      <c r="C4" s="760"/>
      <c r="D4" s="760"/>
      <c r="E4" s="760"/>
      <c r="F4" s="760"/>
      <c r="G4" s="760"/>
      <c r="H4" s="760"/>
      <c r="I4" s="760"/>
      <c r="J4" s="760"/>
      <c r="K4" s="760"/>
      <c r="L4" s="760"/>
      <c r="M4" s="760"/>
      <c r="N4" s="760"/>
      <c r="O4" s="760"/>
      <c r="P4" s="760"/>
      <c r="Q4" s="760"/>
      <c r="R4" s="760"/>
      <c r="S4" s="760"/>
      <c r="T4" s="760"/>
      <c r="U4" s="760"/>
      <c r="V4" s="760"/>
      <c r="W4" s="760"/>
      <c r="X4" s="760"/>
      <c r="Y4" s="760"/>
      <c r="Z4" s="760"/>
      <c r="AA4" s="760"/>
      <c r="AB4" s="760"/>
      <c r="AC4" s="760"/>
      <c r="AD4" s="760"/>
    </row>
    <row r="5" spans="1:36" ht="15.75" x14ac:dyDescent="0.25">
      <c r="A5" s="842" t="s">
        <v>1025</v>
      </c>
      <c r="B5" s="760"/>
      <c r="C5" s="760"/>
      <c r="D5" s="760"/>
      <c r="E5" s="760"/>
      <c r="F5" s="760"/>
      <c r="G5" s="760"/>
      <c r="H5" s="760"/>
      <c r="I5" s="760"/>
      <c r="J5" s="760"/>
      <c r="K5" s="760"/>
      <c r="L5" s="760"/>
      <c r="M5" s="760"/>
      <c r="N5" s="760"/>
      <c r="O5" s="760"/>
      <c r="P5" s="760"/>
      <c r="Q5" s="760"/>
      <c r="R5" s="760"/>
      <c r="S5" s="760"/>
      <c r="T5" s="760"/>
      <c r="U5" s="760"/>
      <c r="V5" s="760"/>
      <c r="W5" s="760"/>
      <c r="X5" s="760"/>
      <c r="Y5" s="760"/>
      <c r="Z5" s="760"/>
      <c r="AA5" s="760"/>
      <c r="AB5" s="760"/>
      <c r="AC5" s="760"/>
      <c r="AD5" s="760"/>
    </row>
    <row r="6" spans="1:36" ht="15.75" x14ac:dyDescent="0.25">
      <c r="A6" s="842" t="s">
        <v>361</v>
      </c>
      <c r="B6" s="760"/>
      <c r="C6" s="760"/>
      <c r="D6" s="760"/>
      <c r="E6" s="760"/>
      <c r="F6" s="760"/>
      <c r="G6" s="760"/>
      <c r="H6" s="760"/>
      <c r="I6" s="760"/>
      <c r="J6" s="760"/>
      <c r="K6" s="760"/>
      <c r="L6" s="760"/>
      <c r="M6" s="760"/>
      <c r="N6" s="760"/>
      <c r="O6" s="760"/>
      <c r="P6" s="760"/>
      <c r="Q6" s="760"/>
      <c r="R6" s="760"/>
      <c r="S6" s="760"/>
      <c r="T6" s="760"/>
      <c r="U6" s="760"/>
      <c r="V6" s="760"/>
      <c r="W6" s="760"/>
      <c r="X6" s="760"/>
      <c r="Y6" s="760"/>
      <c r="Z6" s="760"/>
      <c r="AA6" s="760"/>
      <c r="AB6" s="760"/>
      <c r="AC6" s="760"/>
      <c r="AD6" s="760"/>
    </row>
    <row r="7" spans="1:36" ht="13.5" thickBot="1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Z7" s="81" t="s">
        <v>0</v>
      </c>
    </row>
    <row r="8" spans="1:36" ht="149.25" customHeight="1" thickBot="1" x14ac:dyDescent="0.25">
      <c r="A8" s="846" t="s">
        <v>108</v>
      </c>
      <c r="B8" s="846" t="s">
        <v>25</v>
      </c>
      <c r="C8" s="848" t="s">
        <v>793</v>
      </c>
      <c r="D8" s="849"/>
      <c r="E8" s="849"/>
      <c r="F8" s="849"/>
      <c r="G8" s="849"/>
      <c r="H8" s="849"/>
      <c r="I8" s="850"/>
      <c r="J8" s="848" t="s">
        <v>285</v>
      </c>
      <c r="K8" s="849"/>
      <c r="L8" s="849"/>
      <c r="M8" s="849"/>
      <c r="N8" s="849"/>
      <c r="O8" s="849"/>
      <c r="P8" s="850"/>
      <c r="Q8" s="848" t="s">
        <v>591</v>
      </c>
      <c r="R8" s="849"/>
      <c r="S8" s="849"/>
      <c r="T8" s="849"/>
      <c r="U8" s="849"/>
      <c r="V8" s="849"/>
      <c r="W8" s="850"/>
      <c r="X8" s="848" t="s">
        <v>43</v>
      </c>
      <c r="Y8" s="849"/>
      <c r="Z8" s="849"/>
      <c r="AA8" s="849"/>
      <c r="AB8" s="849"/>
      <c r="AC8" s="849"/>
      <c r="AD8" s="850"/>
    </row>
    <row r="9" spans="1:36" ht="39.75" customHeight="1" thickBot="1" x14ac:dyDescent="0.25">
      <c r="A9" s="847"/>
      <c r="B9" s="847"/>
      <c r="C9" s="624" t="s">
        <v>1021</v>
      </c>
      <c r="D9" s="266" t="s">
        <v>693</v>
      </c>
      <c r="E9" s="266" t="s">
        <v>1290</v>
      </c>
      <c r="F9" s="266"/>
      <c r="G9" s="266"/>
      <c r="H9" s="266"/>
      <c r="I9" s="266"/>
      <c r="J9" s="624" t="str">
        <f t="shared" ref="J9:R9" si="0">C9</f>
        <v>2025. évi teljesítés</v>
      </c>
      <c r="K9" s="266" t="str">
        <f t="shared" si="0"/>
        <v>2026. évi eredeti előirányzat</v>
      </c>
      <c r="L9" s="266" t="str">
        <f t="shared" si="0"/>
        <v>mód.ei.          2026.10.hó</v>
      </c>
      <c r="M9" s="266">
        <f t="shared" si="0"/>
        <v>0</v>
      </c>
      <c r="N9" s="266">
        <f t="shared" si="0"/>
        <v>0</v>
      </c>
      <c r="O9" s="266">
        <f t="shared" si="0"/>
        <v>0</v>
      </c>
      <c r="P9" s="266">
        <f t="shared" si="0"/>
        <v>0</v>
      </c>
      <c r="Q9" s="266" t="str">
        <f t="shared" si="0"/>
        <v>2025. évi teljesítés</v>
      </c>
      <c r="R9" s="266" t="str">
        <f t="shared" si="0"/>
        <v>2026. évi eredeti előirányzat</v>
      </c>
      <c r="S9" s="266" t="str">
        <f>E9</f>
        <v>mód.ei.          2026.10.hó</v>
      </c>
      <c r="T9" s="266" t="s">
        <v>671</v>
      </c>
      <c r="U9" s="266">
        <f>N9</f>
        <v>0</v>
      </c>
      <c r="V9" s="266"/>
      <c r="W9" s="266">
        <f>P9</f>
        <v>0</v>
      </c>
      <c r="X9" s="624" t="str">
        <f t="shared" ref="X9:AC9" si="1">C9</f>
        <v>2025. évi teljesítés</v>
      </c>
      <c r="Y9" s="266" t="str">
        <f t="shared" si="1"/>
        <v>2026. évi eredeti előirányzat</v>
      </c>
      <c r="Z9" s="266" t="str">
        <f t="shared" si="1"/>
        <v>mód.ei.          2026.10.hó</v>
      </c>
      <c r="AA9" s="266">
        <f t="shared" si="1"/>
        <v>0</v>
      </c>
      <c r="AB9" s="266">
        <f t="shared" si="1"/>
        <v>0</v>
      </c>
      <c r="AC9" s="266">
        <f t="shared" si="1"/>
        <v>0</v>
      </c>
      <c r="AD9" s="266">
        <f t="shared" ref="AD9" si="2">I9</f>
        <v>0</v>
      </c>
    </row>
    <row r="10" spans="1:36" x14ac:dyDescent="0.2">
      <c r="A10" s="148" t="s">
        <v>264</v>
      </c>
      <c r="B10" s="16" t="s">
        <v>265</v>
      </c>
      <c r="C10" s="585"/>
      <c r="D10" s="39"/>
      <c r="E10" s="39"/>
      <c r="F10" s="39"/>
      <c r="G10" s="39"/>
      <c r="H10" s="39"/>
      <c r="I10" s="39"/>
      <c r="J10" s="585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630"/>
      <c r="Y10" s="282"/>
      <c r="Z10" s="282"/>
      <c r="AA10" s="282"/>
      <c r="AB10" s="282"/>
      <c r="AC10" s="282"/>
      <c r="AD10" s="282"/>
      <c r="AE10" s="27"/>
    </row>
    <row r="11" spans="1:36" x14ac:dyDescent="0.2">
      <c r="A11" s="59" t="s">
        <v>440</v>
      </c>
      <c r="B11" s="8" t="s">
        <v>863</v>
      </c>
      <c r="C11" s="166">
        <v>180688</v>
      </c>
      <c r="D11" s="13">
        <v>229400</v>
      </c>
      <c r="E11" s="13">
        <f>229400-1400-870</f>
        <v>227130</v>
      </c>
      <c r="F11" s="13">
        <v>0</v>
      </c>
      <c r="G11" s="13">
        <v>0</v>
      </c>
      <c r="H11" s="13">
        <v>0</v>
      </c>
      <c r="I11" s="13">
        <v>0</v>
      </c>
      <c r="J11" s="166">
        <v>21688</v>
      </c>
      <c r="K11" s="13">
        <v>26000</v>
      </c>
      <c r="L11" s="13">
        <v>26000</v>
      </c>
      <c r="M11" s="13">
        <v>0</v>
      </c>
      <c r="N11" s="13">
        <v>0</v>
      </c>
      <c r="O11" s="13">
        <v>0</v>
      </c>
      <c r="P11" s="13">
        <v>0</v>
      </c>
      <c r="Q11" s="297"/>
      <c r="R11" s="297"/>
      <c r="S11" s="297"/>
      <c r="T11" s="297"/>
      <c r="U11" s="297"/>
      <c r="V11" s="297"/>
      <c r="W11" s="297"/>
      <c r="X11" s="631">
        <f t="shared" ref="X11:AD12" si="3">C11+J11+Q11</f>
        <v>202376</v>
      </c>
      <c r="Y11" s="283">
        <f t="shared" si="3"/>
        <v>255400</v>
      </c>
      <c r="Z11" s="283">
        <f t="shared" si="3"/>
        <v>253130</v>
      </c>
      <c r="AA11" s="283">
        <f t="shared" si="3"/>
        <v>0</v>
      </c>
      <c r="AB11" s="283">
        <f t="shared" si="3"/>
        <v>0</v>
      </c>
      <c r="AC11" s="283">
        <f t="shared" si="3"/>
        <v>0</v>
      </c>
      <c r="AD11" s="283">
        <f t="shared" si="3"/>
        <v>0</v>
      </c>
      <c r="AE11" s="243"/>
      <c r="AF11">
        <v>-1400</v>
      </c>
      <c r="AG11">
        <v>-870</v>
      </c>
      <c r="AI11" s="742">
        <f>-3000+870</f>
        <v>-2130</v>
      </c>
      <c r="AJ11" t="s">
        <v>1157</v>
      </c>
    </row>
    <row r="12" spans="1:36" x14ac:dyDescent="0.2">
      <c r="A12" s="59" t="s">
        <v>1150</v>
      </c>
      <c r="B12" s="8" t="s">
        <v>1151</v>
      </c>
      <c r="C12" s="166">
        <v>0</v>
      </c>
      <c r="D12" s="13">
        <v>0</v>
      </c>
      <c r="E12" s="13">
        <v>2795</v>
      </c>
      <c r="F12" s="13"/>
      <c r="G12" s="13"/>
      <c r="H12" s="13"/>
      <c r="I12" s="13"/>
      <c r="J12" s="166"/>
      <c r="K12" s="13"/>
      <c r="L12" s="13"/>
      <c r="M12" s="13"/>
      <c r="N12" s="13"/>
      <c r="O12" s="13"/>
      <c r="P12" s="13"/>
      <c r="Q12" s="297"/>
      <c r="R12" s="297"/>
      <c r="S12" s="297"/>
      <c r="T12" s="297"/>
      <c r="U12" s="297"/>
      <c r="V12" s="297"/>
      <c r="W12" s="297"/>
      <c r="X12" s="631">
        <f t="shared" si="3"/>
        <v>0</v>
      </c>
      <c r="Y12" s="283">
        <f t="shared" si="3"/>
        <v>0</v>
      </c>
      <c r="Z12" s="283">
        <f t="shared" si="3"/>
        <v>2795</v>
      </c>
      <c r="AA12" s="283"/>
      <c r="AB12" s="283"/>
      <c r="AC12" s="283"/>
      <c r="AD12" s="283"/>
      <c r="AE12" s="243"/>
      <c r="AF12">
        <v>2795</v>
      </c>
    </row>
    <row r="13" spans="1:36" x14ac:dyDescent="0.2">
      <c r="A13" s="59" t="s">
        <v>493</v>
      </c>
      <c r="B13" s="8" t="s">
        <v>856</v>
      </c>
      <c r="C13" s="166">
        <v>1600</v>
      </c>
      <c r="D13" s="13">
        <v>1200</v>
      </c>
      <c r="E13" s="13">
        <v>1200</v>
      </c>
      <c r="F13" s="13">
        <v>0</v>
      </c>
      <c r="G13" s="13">
        <v>0</v>
      </c>
      <c r="H13" s="13">
        <v>0</v>
      </c>
      <c r="I13" s="13">
        <v>0</v>
      </c>
      <c r="J13" s="166"/>
      <c r="K13" s="13"/>
      <c r="L13" s="13"/>
      <c r="M13" s="13"/>
      <c r="N13" s="13"/>
      <c r="O13" s="13"/>
      <c r="P13" s="13"/>
      <c r="Q13" s="297"/>
      <c r="R13" s="297"/>
      <c r="S13" s="297"/>
      <c r="T13" s="297"/>
      <c r="U13" s="297"/>
      <c r="V13" s="297"/>
      <c r="W13" s="297"/>
      <c r="X13" s="631">
        <f t="shared" ref="X13:X28" si="4">C13+J13+Q13</f>
        <v>1600</v>
      </c>
      <c r="Y13" s="283">
        <f t="shared" ref="Y13:Y28" si="5">D13+K13+R13</f>
        <v>1200</v>
      </c>
      <c r="Z13" s="283">
        <f t="shared" ref="Z13:Z26" si="6">E13+L13+S13</f>
        <v>1200</v>
      </c>
      <c r="AA13" s="283">
        <f t="shared" ref="AA13:AA26" si="7">F13+M13+T13</f>
        <v>0</v>
      </c>
      <c r="AB13" s="283">
        <f t="shared" ref="AB13:AD26" si="8">G13+N13+U13</f>
        <v>0</v>
      </c>
      <c r="AC13" s="283">
        <f t="shared" si="8"/>
        <v>0</v>
      </c>
      <c r="AD13" s="283">
        <f t="shared" si="8"/>
        <v>0</v>
      </c>
      <c r="AE13" s="243"/>
    </row>
    <row r="14" spans="1:36" x14ac:dyDescent="0.2">
      <c r="A14" s="59" t="s">
        <v>493</v>
      </c>
      <c r="B14" s="8" t="s">
        <v>1085</v>
      </c>
      <c r="C14" s="166">
        <v>394</v>
      </c>
      <c r="D14" s="13">
        <v>4500</v>
      </c>
      <c r="E14" s="13">
        <f>4500-1572-2795-133</f>
        <v>0</v>
      </c>
      <c r="F14" s="13">
        <v>0</v>
      </c>
      <c r="G14" s="13">
        <v>0</v>
      </c>
      <c r="H14" s="13">
        <v>0</v>
      </c>
      <c r="I14" s="13">
        <v>0</v>
      </c>
      <c r="J14" s="166"/>
      <c r="K14" s="13"/>
      <c r="L14" s="13"/>
      <c r="M14" s="13"/>
      <c r="N14" s="13"/>
      <c r="O14" s="13"/>
      <c r="P14" s="13"/>
      <c r="Q14" s="297"/>
      <c r="R14" s="297"/>
      <c r="S14" s="297"/>
      <c r="T14" s="297"/>
      <c r="U14" s="297"/>
      <c r="V14" s="297"/>
      <c r="W14" s="297"/>
      <c r="X14" s="631">
        <f t="shared" si="4"/>
        <v>394</v>
      </c>
      <c r="Y14" s="283">
        <f t="shared" si="5"/>
        <v>4500</v>
      </c>
      <c r="Z14" s="283">
        <f t="shared" si="6"/>
        <v>0</v>
      </c>
      <c r="AA14" s="283">
        <f t="shared" si="7"/>
        <v>0</v>
      </c>
      <c r="AB14" s="283">
        <f t="shared" si="8"/>
        <v>0</v>
      </c>
      <c r="AC14" s="283">
        <f t="shared" si="8"/>
        <v>0</v>
      </c>
      <c r="AD14" s="283">
        <f t="shared" si="8"/>
        <v>0</v>
      </c>
      <c r="AE14" s="243"/>
      <c r="AF14">
        <v>-1572</v>
      </c>
      <c r="AG14">
        <v>-2795</v>
      </c>
      <c r="AH14">
        <v>-133</v>
      </c>
    </row>
    <row r="15" spans="1:36" x14ac:dyDescent="0.2">
      <c r="A15" s="59" t="s">
        <v>676</v>
      </c>
      <c r="B15" s="8" t="s">
        <v>727</v>
      </c>
      <c r="C15" s="166">
        <v>1975</v>
      </c>
      <c r="D15" s="13">
        <v>0</v>
      </c>
      <c r="E15" s="13">
        <f>100+133</f>
        <v>233</v>
      </c>
      <c r="F15" s="13">
        <v>0</v>
      </c>
      <c r="G15" s="13">
        <v>0</v>
      </c>
      <c r="H15" s="13">
        <v>0</v>
      </c>
      <c r="I15" s="13">
        <v>0</v>
      </c>
      <c r="J15" s="166"/>
      <c r="K15" s="13"/>
      <c r="L15" s="13"/>
      <c r="M15" s="13"/>
      <c r="N15" s="13"/>
      <c r="O15" s="13"/>
      <c r="P15" s="13"/>
      <c r="Q15" s="297"/>
      <c r="R15" s="297"/>
      <c r="S15" s="297"/>
      <c r="T15" s="297"/>
      <c r="U15" s="297"/>
      <c r="V15" s="297"/>
      <c r="W15" s="297"/>
      <c r="X15" s="631">
        <f t="shared" si="4"/>
        <v>1975</v>
      </c>
      <c r="Y15" s="283">
        <f t="shared" si="5"/>
        <v>0</v>
      </c>
      <c r="Z15" s="283">
        <f t="shared" si="6"/>
        <v>233</v>
      </c>
      <c r="AA15" s="283">
        <f t="shared" si="7"/>
        <v>0</v>
      </c>
      <c r="AB15" s="283">
        <f t="shared" si="8"/>
        <v>0</v>
      </c>
      <c r="AC15" s="283">
        <f t="shared" si="8"/>
        <v>0</v>
      </c>
      <c r="AD15" s="283">
        <f t="shared" si="8"/>
        <v>0</v>
      </c>
      <c r="AE15" s="243"/>
      <c r="AF15">
        <v>100</v>
      </c>
      <c r="AG15">
        <v>133</v>
      </c>
    </row>
    <row r="16" spans="1:36" x14ac:dyDescent="0.2">
      <c r="A16" s="59" t="s">
        <v>682</v>
      </c>
      <c r="B16" s="8" t="s">
        <v>683</v>
      </c>
      <c r="C16" s="166">
        <v>3040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66"/>
      <c r="K16" s="13"/>
      <c r="L16" s="13"/>
      <c r="M16" s="13"/>
      <c r="N16" s="13"/>
      <c r="O16" s="13"/>
      <c r="P16" s="13"/>
      <c r="Q16" s="297"/>
      <c r="R16" s="297"/>
      <c r="S16" s="297"/>
      <c r="T16" s="297"/>
      <c r="U16" s="297"/>
      <c r="V16" s="297"/>
      <c r="W16" s="297"/>
      <c r="X16" s="631">
        <f t="shared" si="4"/>
        <v>3040</v>
      </c>
      <c r="Y16" s="283">
        <f t="shared" si="5"/>
        <v>0</v>
      </c>
      <c r="Z16" s="283">
        <f t="shared" si="6"/>
        <v>0</v>
      </c>
      <c r="AA16" s="283">
        <f t="shared" si="7"/>
        <v>0</v>
      </c>
      <c r="AB16" s="283">
        <f t="shared" si="8"/>
        <v>0</v>
      </c>
      <c r="AC16" s="283">
        <f t="shared" si="8"/>
        <v>0</v>
      </c>
      <c r="AD16" s="283">
        <f t="shared" si="8"/>
        <v>0</v>
      </c>
      <c r="AE16" s="243"/>
    </row>
    <row r="17" spans="1:36" x14ac:dyDescent="0.2">
      <c r="A17" s="59" t="s">
        <v>461</v>
      </c>
      <c r="B17" s="8" t="s">
        <v>857</v>
      </c>
      <c r="C17" s="166">
        <v>2983</v>
      </c>
      <c r="D17" s="13">
        <v>8280</v>
      </c>
      <c r="E17" s="13">
        <v>8280</v>
      </c>
      <c r="F17" s="13">
        <v>0</v>
      </c>
      <c r="G17" s="13">
        <v>0</v>
      </c>
      <c r="H17" s="13">
        <v>0</v>
      </c>
      <c r="I17" s="13">
        <v>0</v>
      </c>
      <c r="J17" s="166">
        <v>2120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297"/>
      <c r="R17" s="297"/>
      <c r="S17" s="297"/>
      <c r="T17" s="297"/>
      <c r="U17" s="297"/>
      <c r="V17" s="297"/>
      <c r="W17" s="297"/>
      <c r="X17" s="631">
        <f t="shared" si="4"/>
        <v>5103</v>
      </c>
      <c r="Y17" s="283">
        <f t="shared" si="5"/>
        <v>8280</v>
      </c>
      <c r="Z17" s="283">
        <f t="shared" si="6"/>
        <v>8280</v>
      </c>
      <c r="AA17" s="283">
        <f t="shared" si="7"/>
        <v>0</v>
      </c>
      <c r="AB17" s="283">
        <f t="shared" si="8"/>
        <v>0</v>
      </c>
      <c r="AC17" s="283">
        <f t="shared" si="8"/>
        <v>0</v>
      </c>
      <c r="AD17" s="283">
        <f t="shared" si="8"/>
        <v>0</v>
      </c>
      <c r="AE17" s="243"/>
    </row>
    <row r="18" spans="1:36" x14ac:dyDescent="0.2">
      <c r="A18" s="59" t="s">
        <v>457</v>
      </c>
      <c r="B18" s="8" t="s">
        <v>728</v>
      </c>
      <c r="C18" s="166">
        <v>4707</v>
      </c>
      <c r="D18" s="13">
        <v>4735</v>
      </c>
      <c r="E18" s="13">
        <v>4735</v>
      </c>
      <c r="F18" s="13">
        <v>0</v>
      </c>
      <c r="G18" s="13">
        <v>0</v>
      </c>
      <c r="H18" s="13">
        <v>0</v>
      </c>
      <c r="I18" s="13">
        <v>0</v>
      </c>
      <c r="J18" s="166">
        <v>640</v>
      </c>
      <c r="K18" s="13">
        <v>565</v>
      </c>
      <c r="L18" s="13">
        <v>565</v>
      </c>
      <c r="M18" s="13">
        <v>0</v>
      </c>
      <c r="N18" s="13">
        <v>0</v>
      </c>
      <c r="O18" s="13">
        <v>0</v>
      </c>
      <c r="P18" s="13">
        <v>0</v>
      </c>
      <c r="Q18" s="297"/>
      <c r="R18" s="297"/>
      <c r="S18" s="297"/>
      <c r="T18" s="297"/>
      <c r="U18" s="297"/>
      <c r="V18" s="297"/>
      <c r="W18" s="297"/>
      <c r="X18" s="631">
        <f t="shared" si="4"/>
        <v>5347</v>
      </c>
      <c r="Y18" s="283">
        <f t="shared" si="5"/>
        <v>5300</v>
      </c>
      <c r="Z18" s="283">
        <f t="shared" si="6"/>
        <v>5300</v>
      </c>
      <c r="AA18" s="283">
        <f t="shared" si="7"/>
        <v>0</v>
      </c>
      <c r="AB18" s="283">
        <f t="shared" si="8"/>
        <v>0</v>
      </c>
      <c r="AC18" s="283">
        <f t="shared" si="8"/>
        <v>0</v>
      </c>
      <c r="AD18" s="283">
        <f t="shared" si="8"/>
        <v>0</v>
      </c>
      <c r="AE18" s="243"/>
    </row>
    <row r="19" spans="1:36" x14ac:dyDescent="0.2">
      <c r="A19" s="59" t="s">
        <v>457</v>
      </c>
      <c r="B19" s="8" t="s">
        <v>1108</v>
      </c>
      <c r="C19" s="166">
        <v>0</v>
      </c>
      <c r="D19" s="13">
        <v>5251</v>
      </c>
      <c r="E19" s="13">
        <v>5251</v>
      </c>
      <c r="F19" s="13"/>
      <c r="G19" s="13"/>
      <c r="H19" s="13"/>
      <c r="I19" s="13"/>
      <c r="J19" s="166"/>
      <c r="K19" s="13"/>
      <c r="L19" s="13"/>
      <c r="M19" s="13"/>
      <c r="N19" s="13"/>
      <c r="O19" s="13"/>
      <c r="P19" s="13"/>
      <c r="Q19" s="297"/>
      <c r="R19" s="297"/>
      <c r="S19" s="297"/>
      <c r="T19" s="297"/>
      <c r="U19" s="297"/>
      <c r="V19" s="297"/>
      <c r="W19" s="297"/>
      <c r="X19" s="631">
        <f t="shared" ref="X19" si="9">C19+J19+Q19</f>
        <v>0</v>
      </c>
      <c r="Y19" s="283">
        <f t="shared" ref="Y19" si="10">D19+K19+R19</f>
        <v>5251</v>
      </c>
      <c r="Z19" s="283">
        <f t="shared" ref="Z19" si="11">E19+L19+S19</f>
        <v>5251</v>
      </c>
      <c r="AA19" s="283"/>
      <c r="AB19" s="283"/>
      <c r="AC19" s="283"/>
      <c r="AD19" s="283"/>
      <c r="AE19" s="243"/>
    </row>
    <row r="20" spans="1:36" x14ac:dyDescent="0.2">
      <c r="A20" s="59" t="s">
        <v>460</v>
      </c>
      <c r="B20" s="8" t="s">
        <v>393</v>
      </c>
      <c r="C20" s="166">
        <v>3684</v>
      </c>
      <c r="D20" s="13">
        <v>4550</v>
      </c>
      <c r="E20" s="13">
        <v>4550</v>
      </c>
      <c r="F20" s="13">
        <v>0</v>
      </c>
      <c r="G20" s="13">
        <v>0</v>
      </c>
      <c r="H20" s="13">
        <v>0</v>
      </c>
      <c r="I20" s="13">
        <v>0</v>
      </c>
      <c r="J20" s="166">
        <v>247</v>
      </c>
      <c r="K20" s="13">
        <v>250</v>
      </c>
      <c r="L20" s="13">
        <v>250</v>
      </c>
      <c r="M20" s="13">
        <v>0</v>
      </c>
      <c r="N20" s="13">
        <v>0</v>
      </c>
      <c r="O20" s="13">
        <v>0</v>
      </c>
      <c r="P20" s="13">
        <v>0</v>
      </c>
      <c r="Q20" s="297"/>
      <c r="R20" s="297"/>
      <c r="S20" s="297"/>
      <c r="T20" s="297"/>
      <c r="U20" s="297"/>
      <c r="V20" s="297"/>
      <c r="W20" s="297"/>
      <c r="X20" s="631">
        <f t="shared" si="4"/>
        <v>3931</v>
      </c>
      <c r="Y20" s="283">
        <f t="shared" si="5"/>
        <v>4800</v>
      </c>
      <c r="Z20" s="283">
        <f t="shared" si="6"/>
        <v>4800</v>
      </c>
      <c r="AA20" s="283">
        <f t="shared" si="7"/>
        <v>0</v>
      </c>
      <c r="AB20" s="283">
        <f t="shared" si="8"/>
        <v>0</v>
      </c>
      <c r="AC20" s="283">
        <f t="shared" si="8"/>
        <v>0</v>
      </c>
      <c r="AD20" s="283">
        <f t="shared" si="8"/>
        <v>0</v>
      </c>
      <c r="AE20" s="243"/>
    </row>
    <row r="21" spans="1:36" x14ac:dyDescent="0.2">
      <c r="A21" s="59" t="s">
        <v>441</v>
      </c>
      <c r="B21" s="8" t="s">
        <v>729</v>
      </c>
      <c r="C21" s="166">
        <v>1901</v>
      </c>
      <c r="D21" s="13">
        <v>2500</v>
      </c>
      <c r="E21" s="13">
        <f>2500-100+1500</f>
        <v>3900</v>
      </c>
      <c r="F21" s="13">
        <v>0</v>
      </c>
      <c r="G21" s="13">
        <v>0</v>
      </c>
      <c r="H21" s="13">
        <v>0</v>
      </c>
      <c r="I21" s="13">
        <v>0</v>
      </c>
      <c r="J21" s="166">
        <v>1598</v>
      </c>
      <c r="K21" s="13">
        <v>1700</v>
      </c>
      <c r="L21" s="13">
        <f>1700-1500</f>
        <v>200</v>
      </c>
      <c r="M21" s="13">
        <v>0</v>
      </c>
      <c r="N21" s="13">
        <v>0</v>
      </c>
      <c r="O21" s="13">
        <v>0</v>
      </c>
      <c r="P21" s="13">
        <v>0</v>
      </c>
      <c r="Q21" s="297"/>
      <c r="R21" s="297"/>
      <c r="S21" s="297"/>
      <c r="T21" s="297"/>
      <c r="U21" s="297"/>
      <c r="V21" s="297"/>
      <c r="W21" s="297"/>
      <c r="X21" s="631">
        <f t="shared" si="4"/>
        <v>3499</v>
      </c>
      <c r="Y21" s="283">
        <f t="shared" si="5"/>
        <v>4200</v>
      </c>
      <c r="Z21" s="283">
        <f t="shared" si="6"/>
        <v>4100</v>
      </c>
      <c r="AA21" s="283">
        <f t="shared" si="7"/>
        <v>0</v>
      </c>
      <c r="AB21" s="283">
        <f t="shared" si="8"/>
        <v>0</v>
      </c>
      <c r="AC21" s="283">
        <f t="shared" si="8"/>
        <v>0</v>
      </c>
      <c r="AD21" s="283">
        <f t="shared" si="8"/>
        <v>0</v>
      </c>
      <c r="AE21" s="243"/>
      <c r="AF21">
        <v>-100</v>
      </c>
      <c r="AG21">
        <v>-1500</v>
      </c>
      <c r="AH21">
        <v>1500</v>
      </c>
    </row>
    <row r="22" spans="1:36" x14ac:dyDescent="0.2">
      <c r="A22" s="59" t="s">
        <v>441</v>
      </c>
      <c r="B22" s="8" t="s">
        <v>731</v>
      </c>
      <c r="C22" s="166">
        <v>636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66"/>
      <c r="K22" s="13"/>
      <c r="L22" s="13"/>
      <c r="M22" s="13"/>
      <c r="N22" s="13"/>
      <c r="O22" s="13"/>
      <c r="P22" s="13"/>
      <c r="Q22" s="297"/>
      <c r="R22" s="297"/>
      <c r="S22" s="297"/>
      <c r="T22" s="297"/>
      <c r="U22" s="297"/>
      <c r="V22" s="297"/>
      <c r="W22" s="297"/>
      <c r="X22" s="631">
        <f t="shared" si="4"/>
        <v>636</v>
      </c>
      <c r="Y22" s="283">
        <f t="shared" si="5"/>
        <v>0</v>
      </c>
      <c r="Z22" s="283">
        <f t="shared" si="6"/>
        <v>0</v>
      </c>
      <c r="AA22" s="283">
        <f t="shared" si="7"/>
        <v>0</v>
      </c>
      <c r="AB22" s="283">
        <f t="shared" si="8"/>
        <v>0</v>
      </c>
      <c r="AC22" s="283">
        <f t="shared" si="8"/>
        <v>0</v>
      </c>
      <c r="AD22" s="283">
        <f t="shared" si="8"/>
        <v>0</v>
      </c>
      <c r="AE22" s="243"/>
    </row>
    <row r="23" spans="1:36" x14ac:dyDescent="0.2">
      <c r="A23" s="59" t="s">
        <v>442</v>
      </c>
      <c r="B23" s="8" t="s">
        <v>730</v>
      </c>
      <c r="C23" s="166">
        <v>2400</v>
      </c>
      <c r="D23" s="13">
        <v>2400</v>
      </c>
      <c r="E23" s="13">
        <v>2400</v>
      </c>
      <c r="F23" s="13">
        <v>0</v>
      </c>
      <c r="G23" s="13">
        <v>0</v>
      </c>
      <c r="H23" s="13">
        <v>0</v>
      </c>
      <c r="I23" s="13">
        <v>0</v>
      </c>
      <c r="J23" s="166"/>
      <c r="K23" s="13"/>
      <c r="L23" s="13"/>
      <c r="M23" s="13"/>
      <c r="N23" s="13"/>
      <c r="O23" s="13"/>
      <c r="P23" s="13"/>
      <c r="Q23" s="297"/>
      <c r="R23" s="297"/>
      <c r="S23" s="297"/>
      <c r="T23" s="297"/>
      <c r="U23" s="297"/>
      <c r="V23" s="297"/>
      <c r="W23" s="297"/>
      <c r="X23" s="631">
        <f t="shared" si="4"/>
        <v>2400</v>
      </c>
      <c r="Y23" s="283">
        <f t="shared" si="5"/>
        <v>2400</v>
      </c>
      <c r="Z23" s="283">
        <f t="shared" si="6"/>
        <v>2400</v>
      </c>
      <c r="AA23" s="283">
        <f t="shared" si="7"/>
        <v>0</v>
      </c>
      <c r="AB23" s="283">
        <f t="shared" si="8"/>
        <v>0</v>
      </c>
      <c r="AC23" s="283">
        <f t="shared" si="8"/>
        <v>0</v>
      </c>
      <c r="AD23" s="283">
        <f t="shared" si="8"/>
        <v>0</v>
      </c>
      <c r="AE23" s="243"/>
    </row>
    <row r="24" spans="1:36" x14ac:dyDescent="0.2">
      <c r="A24" s="59" t="s">
        <v>442</v>
      </c>
      <c r="B24" s="8" t="s">
        <v>1148</v>
      </c>
      <c r="C24" s="166">
        <v>0</v>
      </c>
      <c r="D24" s="13">
        <v>0</v>
      </c>
      <c r="E24" s="13">
        <f>1400+300+1900+870</f>
        <v>4470</v>
      </c>
      <c r="F24" s="13"/>
      <c r="G24" s="13"/>
      <c r="H24" s="13"/>
      <c r="I24" s="13"/>
      <c r="J24" s="166"/>
      <c r="K24" s="13"/>
      <c r="L24" s="13"/>
      <c r="M24" s="13"/>
      <c r="N24" s="13"/>
      <c r="O24" s="13"/>
      <c r="P24" s="13"/>
      <c r="Q24" s="297"/>
      <c r="R24" s="297"/>
      <c r="S24" s="297"/>
      <c r="T24" s="297"/>
      <c r="U24" s="297"/>
      <c r="V24" s="297"/>
      <c r="W24" s="297"/>
      <c r="X24" s="631">
        <f t="shared" si="4"/>
        <v>0</v>
      </c>
      <c r="Y24" s="283">
        <f t="shared" si="5"/>
        <v>0</v>
      </c>
      <c r="Z24" s="283">
        <f t="shared" si="6"/>
        <v>4470</v>
      </c>
      <c r="AA24" s="283"/>
      <c r="AB24" s="283"/>
      <c r="AC24" s="283"/>
      <c r="AD24" s="283"/>
      <c r="AE24" s="243"/>
      <c r="AF24">
        <v>1400</v>
      </c>
      <c r="AG24">
        <v>300</v>
      </c>
      <c r="AH24">
        <v>1900</v>
      </c>
      <c r="AI24">
        <v>870</v>
      </c>
    </row>
    <row r="25" spans="1:36" x14ac:dyDescent="0.2">
      <c r="A25" s="59" t="s">
        <v>442</v>
      </c>
      <c r="B25" s="8" t="s">
        <v>731</v>
      </c>
      <c r="C25" s="166">
        <v>86</v>
      </c>
      <c r="D25" s="13">
        <v>300</v>
      </c>
      <c r="E25" s="13">
        <f>300-300</f>
        <v>0</v>
      </c>
      <c r="F25" s="13">
        <v>0</v>
      </c>
      <c r="G25" s="13">
        <v>0</v>
      </c>
      <c r="H25" s="13">
        <v>0</v>
      </c>
      <c r="I25" s="13">
        <v>0</v>
      </c>
      <c r="J25" s="166"/>
      <c r="K25" s="13"/>
      <c r="L25" s="13"/>
      <c r="M25" s="13"/>
      <c r="N25" s="13"/>
      <c r="O25" s="13"/>
      <c r="P25" s="13"/>
      <c r="Q25" s="297"/>
      <c r="R25" s="297"/>
      <c r="S25" s="297"/>
      <c r="T25" s="297"/>
      <c r="U25" s="297"/>
      <c r="V25" s="297"/>
      <c r="W25" s="297"/>
      <c r="X25" s="631">
        <f t="shared" si="4"/>
        <v>86</v>
      </c>
      <c r="Y25" s="283">
        <f t="shared" si="5"/>
        <v>300</v>
      </c>
      <c r="Z25" s="283">
        <f t="shared" si="6"/>
        <v>0</v>
      </c>
      <c r="AA25" s="283">
        <f t="shared" si="7"/>
        <v>0</v>
      </c>
      <c r="AB25" s="283">
        <f t="shared" si="8"/>
        <v>0</v>
      </c>
      <c r="AC25" s="283">
        <f t="shared" si="8"/>
        <v>0</v>
      </c>
      <c r="AD25" s="283">
        <f t="shared" si="8"/>
        <v>0</v>
      </c>
      <c r="AE25" s="26"/>
      <c r="AF25">
        <v>-300</v>
      </c>
    </row>
    <row r="26" spans="1:36" x14ac:dyDescent="0.2">
      <c r="A26" s="59" t="s">
        <v>453</v>
      </c>
      <c r="B26" s="8" t="s">
        <v>57</v>
      </c>
      <c r="C26" s="166">
        <v>86</v>
      </c>
      <c r="D26" s="13">
        <v>500</v>
      </c>
      <c r="E26" s="13">
        <v>500</v>
      </c>
      <c r="F26" s="13">
        <v>0</v>
      </c>
      <c r="G26" s="13">
        <v>0</v>
      </c>
      <c r="H26" s="13">
        <v>0</v>
      </c>
      <c r="I26" s="13">
        <v>0</v>
      </c>
      <c r="J26" s="166"/>
      <c r="K26" s="13"/>
      <c r="L26" s="13"/>
      <c r="M26" s="13"/>
      <c r="N26" s="13"/>
      <c r="O26" s="13"/>
      <c r="P26" s="13"/>
      <c r="Q26" s="297"/>
      <c r="R26" s="297"/>
      <c r="S26" s="297"/>
      <c r="T26" s="297"/>
      <c r="U26" s="297"/>
      <c r="V26" s="297"/>
      <c r="W26" s="297"/>
      <c r="X26" s="631">
        <f t="shared" si="4"/>
        <v>86</v>
      </c>
      <c r="Y26" s="283">
        <f t="shared" si="5"/>
        <v>500</v>
      </c>
      <c r="Z26" s="283">
        <f t="shared" si="6"/>
        <v>500</v>
      </c>
      <c r="AA26" s="283">
        <f t="shared" si="7"/>
        <v>0</v>
      </c>
      <c r="AB26" s="283">
        <f t="shared" si="8"/>
        <v>0</v>
      </c>
      <c r="AC26" s="283">
        <f t="shared" si="8"/>
        <v>0</v>
      </c>
      <c r="AD26" s="283">
        <f t="shared" si="8"/>
        <v>0</v>
      </c>
      <c r="AE26" s="26"/>
    </row>
    <row r="27" spans="1:36" x14ac:dyDescent="0.2">
      <c r="A27" s="59" t="s">
        <v>453</v>
      </c>
      <c r="B27" s="8" t="s">
        <v>732</v>
      </c>
      <c r="C27" s="166">
        <v>561</v>
      </c>
      <c r="D27" s="13">
        <v>6500</v>
      </c>
      <c r="E27" s="13">
        <f>6500-70-200-1900</f>
        <v>4330</v>
      </c>
      <c r="F27" s="13">
        <v>0</v>
      </c>
      <c r="G27" s="13">
        <v>0</v>
      </c>
      <c r="H27" s="13">
        <v>0</v>
      </c>
      <c r="I27" s="13">
        <v>0</v>
      </c>
      <c r="J27" s="166"/>
      <c r="K27" s="13"/>
      <c r="L27" s="13"/>
      <c r="M27" s="300"/>
      <c r="N27" s="300"/>
      <c r="O27" s="300"/>
      <c r="P27" s="300"/>
      <c r="Q27" s="297"/>
      <c r="R27" s="297"/>
      <c r="S27" s="297"/>
      <c r="T27" s="297"/>
      <c r="U27" s="297"/>
      <c r="V27" s="297"/>
      <c r="W27" s="297"/>
      <c r="X27" s="631">
        <f t="shared" si="4"/>
        <v>561</v>
      </c>
      <c r="Y27" s="283">
        <f t="shared" si="5"/>
        <v>6500</v>
      </c>
      <c r="Z27" s="283">
        <f t="shared" ref="Z27" si="12">E27+L27+S27</f>
        <v>4330</v>
      </c>
      <c r="AA27" s="283">
        <f t="shared" ref="AA27" si="13">F27+M27+T27</f>
        <v>0</v>
      </c>
      <c r="AB27" s="283">
        <f t="shared" ref="AB27:AD27" si="14">G27+N27+U27</f>
        <v>0</v>
      </c>
      <c r="AC27" s="283">
        <f t="shared" si="14"/>
        <v>0</v>
      </c>
      <c r="AD27" s="283">
        <f t="shared" si="14"/>
        <v>0</v>
      </c>
      <c r="AE27" s="26"/>
      <c r="AF27">
        <v>-70</v>
      </c>
      <c r="AG27">
        <v>-200</v>
      </c>
      <c r="AH27">
        <v>-1900</v>
      </c>
      <c r="AI27" s="742">
        <v>-1870</v>
      </c>
      <c r="AJ27" t="s">
        <v>1265</v>
      </c>
    </row>
    <row r="28" spans="1:36" x14ac:dyDescent="0.2">
      <c r="A28" s="59" t="s">
        <v>453</v>
      </c>
      <c r="B28" s="8" t="s">
        <v>1149</v>
      </c>
      <c r="C28" s="166">
        <v>99</v>
      </c>
      <c r="D28" s="13">
        <v>700</v>
      </c>
      <c r="E28" s="13">
        <f>700+70+200</f>
        <v>970</v>
      </c>
      <c r="F28" s="13">
        <v>0</v>
      </c>
      <c r="G28" s="13">
        <v>0</v>
      </c>
      <c r="H28" s="13">
        <v>0</v>
      </c>
      <c r="I28" s="13">
        <v>0</v>
      </c>
      <c r="J28" s="166"/>
      <c r="K28" s="13"/>
      <c r="L28" s="13"/>
      <c r="M28" s="300"/>
      <c r="N28" s="300"/>
      <c r="O28" s="300"/>
      <c r="P28" s="300"/>
      <c r="Q28" s="297"/>
      <c r="R28" s="297"/>
      <c r="S28" s="297"/>
      <c r="T28" s="297"/>
      <c r="U28" s="297"/>
      <c r="V28" s="297"/>
      <c r="W28" s="297"/>
      <c r="X28" s="631">
        <f t="shared" si="4"/>
        <v>99</v>
      </c>
      <c r="Y28" s="283">
        <f t="shared" si="5"/>
        <v>700</v>
      </c>
      <c r="Z28" s="283">
        <f>E28+L28+S28</f>
        <v>970</v>
      </c>
      <c r="AA28" s="283">
        <f>F28+M28+T28</f>
        <v>0</v>
      </c>
      <c r="AB28" s="283">
        <f>G28+N28+U28</f>
        <v>0</v>
      </c>
      <c r="AC28" s="283">
        <f>H28+O28+V28</f>
        <v>0</v>
      </c>
      <c r="AD28" s="283">
        <f>I28+P28+W28</f>
        <v>0</v>
      </c>
      <c r="AE28" s="27"/>
      <c r="AF28">
        <v>70</v>
      </c>
      <c r="AG28">
        <v>200</v>
      </c>
    </row>
    <row r="29" spans="1:36" x14ac:dyDescent="0.2">
      <c r="A29" s="77" t="s">
        <v>205</v>
      </c>
      <c r="B29" s="109" t="s">
        <v>263</v>
      </c>
      <c r="C29" s="625">
        <f t="shared" ref="C29:Q29" si="15">SUM(C11:C28)</f>
        <v>204840</v>
      </c>
      <c r="D29" s="221">
        <f t="shared" si="15"/>
        <v>270816</v>
      </c>
      <c r="E29" s="221">
        <f t="shared" si="15"/>
        <v>270744</v>
      </c>
      <c r="F29" s="221">
        <f t="shared" si="15"/>
        <v>0</v>
      </c>
      <c r="G29" s="221">
        <f t="shared" si="15"/>
        <v>0</v>
      </c>
      <c r="H29" s="221">
        <f t="shared" si="15"/>
        <v>0</v>
      </c>
      <c r="I29" s="221">
        <f t="shared" si="15"/>
        <v>0</v>
      </c>
      <c r="J29" s="625">
        <f t="shared" si="15"/>
        <v>26293</v>
      </c>
      <c r="K29" s="221">
        <f t="shared" si="15"/>
        <v>28515</v>
      </c>
      <c r="L29" s="221">
        <f t="shared" si="15"/>
        <v>27015</v>
      </c>
      <c r="M29" s="221">
        <f t="shared" si="15"/>
        <v>0</v>
      </c>
      <c r="N29" s="221">
        <f t="shared" si="15"/>
        <v>0</v>
      </c>
      <c r="O29" s="221">
        <f t="shared" si="15"/>
        <v>0</v>
      </c>
      <c r="P29" s="221">
        <f t="shared" si="15"/>
        <v>0</v>
      </c>
      <c r="Q29" s="221">
        <f t="shared" si="15"/>
        <v>0</v>
      </c>
      <c r="R29" s="221"/>
      <c r="S29" s="221">
        <f>SUM(S11:S28)</f>
        <v>0</v>
      </c>
      <c r="T29" s="221">
        <f>SUM(T11:T28)</f>
        <v>0</v>
      </c>
      <c r="U29" s="221">
        <f>SUM(U11:U28)</f>
        <v>0</v>
      </c>
      <c r="V29" s="221"/>
      <c r="W29" s="221">
        <f t="shared" ref="W29:AD29" si="16">SUM(W11:W28)</f>
        <v>0</v>
      </c>
      <c r="X29" s="625">
        <f t="shared" si="16"/>
        <v>231133</v>
      </c>
      <c r="Y29" s="221">
        <f t="shared" si="16"/>
        <v>299331</v>
      </c>
      <c r="Z29" s="221">
        <f t="shared" si="16"/>
        <v>297759</v>
      </c>
      <c r="AA29" s="221">
        <f t="shared" si="16"/>
        <v>0</v>
      </c>
      <c r="AB29" s="221">
        <f t="shared" si="16"/>
        <v>0</v>
      </c>
      <c r="AC29" s="221">
        <f t="shared" si="16"/>
        <v>0</v>
      </c>
      <c r="AD29" s="221">
        <f t="shared" si="16"/>
        <v>0</v>
      </c>
      <c r="AE29" s="27"/>
      <c r="AF29" s="73"/>
    </row>
    <row r="30" spans="1:36" x14ac:dyDescent="0.2">
      <c r="A30" s="59"/>
      <c r="B30" s="8" t="s">
        <v>26</v>
      </c>
      <c r="C30" s="166">
        <v>25417</v>
      </c>
      <c r="D30" s="13">
        <f>31350+(1560-124)+1500+1470</f>
        <v>35756</v>
      </c>
      <c r="E30" s="13">
        <f>31350+(1560-124)+1500+(1470-788)</f>
        <v>34968</v>
      </c>
      <c r="F30" s="13">
        <v>0</v>
      </c>
      <c r="G30" s="13">
        <v>0</v>
      </c>
      <c r="H30" s="13">
        <v>0</v>
      </c>
      <c r="I30" s="13">
        <v>0</v>
      </c>
      <c r="J30" s="166">
        <v>3368</v>
      </c>
      <c r="K30" s="13">
        <f>3650+338+32</f>
        <v>4020</v>
      </c>
      <c r="L30" s="13">
        <f>3650+338+32</f>
        <v>4020</v>
      </c>
      <c r="M30" s="13">
        <v>0</v>
      </c>
      <c r="N30" s="13">
        <v>0</v>
      </c>
      <c r="O30" s="13">
        <v>0</v>
      </c>
      <c r="P30" s="13">
        <v>0</v>
      </c>
      <c r="Q30" s="297"/>
      <c r="R30" s="297"/>
      <c r="S30" s="297"/>
      <c r="T30" s="297"/>
      <c r="U30" s="297"/>
      <c r="V30" s="297"/>
      <c r="W30" s="297"/>
      <c r="X30" s="631">
        <f t="shared" ref="X30:AD31" si="17">C30+J30+Q30</f>
        <v>28785</v>
      </c>
      <c r="Y30" s="283">
        <f t="shared" si="17"/>
        <v>39776</v>
      </c>
      <c r="Z30" s="283">
        <f t="shared" si="17"/>
        <v>38988</v>
      </c>
      <c r="AA30" s="283">
        <f t="shared" si="17"/>
        <v>0</v>
      </c>
      <c r="AB30" s="283">
        <f t="shared" si="17"/>
        <v>0</v>
      </c>
      <c r="AC30" s="283">
        <f t="shared" si="17"/>
        <v>0</v>
      </c>
      <c r="AD30" s="283">
        <f t="shared" si="17"/>
        <v>0</v>
      </c>
      <c r="AE30" s="27"/>
      <c r="AF30" s="73"/>
    </row>
    <row r="31" spans="1:36" x14ac:dyDescent="0.2">
      <c r="A31" s="59"/>
      <c r="B31" s="8" t="s">
        <v>106</v>
      </c>
      <c r="C31" s="166">
        <v>784</v>
      </c>
      <c r="D31" s="13">
        <f>800+124</f>
        <v>924</v>
      </c>
      <c r="E31" s="13">
        <f>800+124+788</f>
        <v>1712</v>
      </c>
      <c r="F31" s="13">
        <v>0</v>
      </c>
      <c r="G31" s="13">
        <v>0</v>
      </c>
      <c r="H31" s="13">
        <v>0</v>
      </c>
      <c r="I31" s="13">
        <v>0</v>
      </c>
      <c r="J31" s="166">
        <v>97</v>
      </c>
      <c r="K31" s="13">
        <v>100</v>
      </c>
      <c r="L31" s="13">
        <v>100</v>
      </c>
      <c r="M31" s="13">
        <v>0</v>
      </c>
      <c r="N31" s="13">
        <v>0</v>
      </c>
      <c r="O31" s="13">
        <v>0</v>
      </c>
      <c r="P31" s="13">
        <v>0</v>
      </c>
      <c r="Q31" s="297"/>
      <c r="R31" s="297"/>
      <c r="S31" s="297"/>
      <c r="T31" s="297"/>
      <c r="U31" s="297"/>
      <c r="V31" s="297"/>
      <c r="W31" s="297"/>
      <c r="X31" s="631">
        <f t="shared" si="17"/>
        <v>881</v>
      </c>
      <c r="Y31" s="283">
        <f t="shared" si="17"/>
        <v>1024</v>
      </c>
      <c r="Z31" s="283">
        <f t="shared" si="17"/>
        <v>1812</v>
      </c>
      <c r="AA31" s="283">
        <f t="shared" si="17"/>
        <v>0</v>
      </c>
      <c r="AB31" s="283">
        <f t="shared" si="17"/>
        <v>0</v>
      </c>
      <c r="AC31" s="283">
        <f t="shared" si="17"/>
        <v>0</v>
      </c>
      <c r="AD31" s="283">
        <f t="shared" si="17"/>
        <v>0</v>
      </c>
      <c r="AE31" s="27"/>
      <c r="AF31" s="73"/>
    </row>
    <row r="32" spans="1:36" x14ac:dyDescent="0.2">
      <c r="A32" s="77" t="s">
        <v>206</v>
      </c>
      <c r="B32" s="109" t="s">
        <v>93</v>
      </c>
      <c r="C32" s="625">
        <f t="shared" ref="C32:D32" si="18">SUM(C30:C31)</f>
        <v>26201</v>
      </c>
      <c r="D32" s="221">
        <f t="shared" si="18"/>
        <v>36680</v>
      </c>
      <c r="E32" s="221">
        <f t="shared" ref="E32" si="19">SUM(E30:E31)</f>
        <v>36680</v>
      </c>
      <c r="F32" s="221">
        <f t="shared" ref="F32:G32" si="20">SUM(F30:F31)</f>
        <v>0</v>
      </c>
      <c r="G32" s="221">
        <f t="shared" si="20"/>
        <v>0</v>
      </c>
      <c r="H32" s="221">
        <f t="shared" ref="H32:I32" si="21">SUM(H30:H31)</f>
        <v>0</v>
      </c>
      <c r="I32" s="221">
        <f t="shared" si="21"/>
        <v>0</v>
      </c>
      <c r="J32" s="625">
        <f t="shared" ref="J32:K32" si="22">SUM(J30:J31)</f>
        <v>3465</v>
      </c>
      <c r="K32" s="221">
        <f t="shared" si="22"/>
        <v>4120</v>
      </c>
      <c r="L32" s="221">
        <f t="shared" ref="L32" si="23">SUM(L30:L31)</f>
        <v>4120</v>
      </c>
      <c r="M32" s="221">
        <f t="shared" ref="M32:N32" si="24">SUM(M30:M31)</f>
        <v>0</v>
      </c>
      <c r="N32" s="221">
        <f t="shared" si="24"/>
        <v>0</v>
      </c>
      <c r="O32" s="221">
        <f t="shared" ref="O32:P32" si="25">SUM(O30:O31)</f>
        <v>0</v>
      </c>
      <c r="P32" s="221">
        <f t="shared" si="25"/>
        <v>0</v>
      </c>
      <c r="Q32" s="221">
        <f t="shared" ref="Q32" si="26">SUM(Q30:Q31)</f>
        <v>0</v>
      </c>
      <c r="R32" s="221"/>
      <c r="S32" s="221">
        <f t="shared" ref="S32:W32" si="27">SUM(S30:S31)</f>
        <v>0</v>
      </c>
      <c r="T32" s="221">
        <f t="shared" si="27"/>
        <v>0</v>
      </c>
      <c r="U32" s="221">
        <f t="shared" si="27"/>
        <v>0</v>
      </c>
      <c r="V32" s="221"/>
      <c r="W32" s="221">
        <f t="shared" si="27"/>
        <v>0</v>
      </c>
      <c r="X32" s="632">
        <f t="shared" ref="X32:AB32" si="28">SUM(X30:X31)</f>
        <v>29666</v>
      </c>
      <c r="Y32" s="152">
        <f t="shared" si="28"/>
        <v>40800</v>
      </c>
      <c r="Z32" s="152">
        <f t="shared" si="28"/>
        <v>40800</v>
      </c>
      <c r="AA32" s="152">
        <f t="shared" si="28"/>
        <v>0</v>
      </c>
      <c r="AB32" s="152">
        <f t="shared" si="28"/>
        <v>0</v>
      </c>
      <c r="AC32" s="152">
        <f t="shared" ref="AC32:AD32" si="29">SUM(AC30:AC31)</f>
        <v>0</v>
      </c>
      <c r="AD32" s="152">
        <f t="shared" si="29"/>
        <v>0</v>
      </c>
      <c r="AE32" s="27"/>
      <c r="AF32" s="73"/>
      <c r="AH32" s="73"/>
    </row>
    <row r="33" spans="1:36" x14ac:dyDescent="0.2">
      <c r="A33" s="77" t="s">
        <v>246</v>
      </c>
      <c r="B33" s="14" t="s">
        <v>252</v>
      </c>
      <c r="C33" s="541">
        <f t="shared" ref="C33:D33" si="30">SUM(C34:C41)</f>
        <v>3839</v>
      </c>
      <c r="D33" s="5">
        <f t="shared" si="30"/>
        <v>5160</v>
      </c>
      <c r="E33" s="5">
        <f t="shared" ref="E33" si="31">SUM(E34:E41)</f>
        <v>5160</v>
      </c>
      <c r="F33" s="5">
        <f t="shared" ref="F33:G33" si="32">SUM(F34:F41)</f>
        <v>0</v>
      </c>
      <c r="G33" s="5">
        <f t="shared" si="32"/>
        <v>0</v>
      </c>
      <c r="H33" s="5">
        <f t="shared" ref="H33:I33" si="33">SUM(H34:H41)</f>
        <v>0</v>
      </c>
      <c r="I33" s="5">
        <f t="shared" si="33"/>
        <v>0</v>
      </c>
      <c r="J33" s="541">
        <f t="shared" ref="J33:K33" si="34">SUM(J34:J41)</f>
        <v>0</v>
      </c>
      <c r="K33" s="5">
        <f t="shared" si="34"/>
        <v>50</v>
      </c>
      <c r="L33" s="5">
        <f t="shared" ref="L33" si="35">SUM(L34:L41)</f>
        <v>50</v>
      </c>
      <c r="M33" s="5">
        <f t="shared" ref="M33:N33" si="36">SUM(M34:M41)</f>
        <v>0</v>
      </c>
      <c r="N33" s="5">
        <f t="shared" si="36"/>
        <v>0</v>
      </c>
      <c r="O33" s="5">
        <f t="shared" ref="O33:P33" si="37">SUM(O34:O41)</f>
        <v>0</v>
      </c>
      <c r="P33" s="5">
        <f t="shared" si="37"/>
        <v>0</v>
      </c>
      <c r="Q33" s="5">
        <f t="shared" ref="Q33" si="38">SUM(Q34:Q41)</f>
        <v>0</v>
      </c>
      <c r="R33" s="5"/>
      <c r="S33" s="5">
        <f t="shared" ref="S33:W33" si="39">SUM(S34:S41)</f>
        <v>0</v>
      </c>
      <c r="T33" s="5">
        <f t="shared" si="39"/>
        <v>0</v>
      </c>
      <c r="U33" s="5">
        <f t="shared" si="39"/>
        <v>0</v>
      </c>
      <c r="V33" s="5"/>
      <c r="W33" s="5">
        <f t="shared" si="39"/>
        <v>0</v>
      </c>
      <c r="X33" s="630">
        <f t="shared" ref="X33:AD33" si="40">(J33+C33+Q33)</f>
        <v>3839</v>
      </c>
      <c r="Y33" s="282">
        <f t="shared" si="40"/>
        <v>5210</v>
      </c>
      <c r="Z33" s="282">
        <f t="shared" si="40"/>
        <v>5210</v>
      </c>
      <c r="AA33" s="282">
        <f t="shared" si="40"/>
        <v>0</v>
      </c>
      <c r="AB33" s="282">
        <f t="shared" si="40"/>
        <v>0</v>
      </c>
      <c r="AC33" s="282">
        <f t="shared" si="40"/>
        <v>0</v>
      </c>
      <c r="AD33" s="282">
        <f t="shared" si="40"/>
        <v>0</v>
      </c>
      <c r="AE33" s="27"/>
    </row>
    <row r="34" spans="1:36" x14ac:dyDescent="0.2">
      <c r="A34" s="59" t="s">
        <v>586</v>
      </c>
      <c r="B34" s="8" t="s">
        <v>289</v>
      </c>
      <c r="C34" s="166">
        <v>180</v>
      </c>
      <c r="D34" s="13">
        <v>210</v>
      </c>
      <c r="E34" s="13">
        <v>210</v>
      </c>
      <c r="F34" s="13">
        <v>0</v>
      </c>
      <c r="G34" s="13">
        <v>0</v>
      </c>
      <c r="H34" s="13">
        <v>0</v>
      </c>
      <c r="I34" s="13">
        <v>0</v>
      </c>
      <c r="J34" s="166">
        <v>0</v>
      </c>
      <c r="K34" s="13">
        <v>50</v>
      </c>
      <c r="L34" s="13">
        <v>50</v>
      </c>
      <c r="M34" s="13">
        <v>0</v>
      </c>
      <c r="N34" s="13">
        <v>0</v>
      </c>
      <c r="O34" s="13">
        <v>0</v>
      </c>
      <c r="P34" s="13">
        <v>0</v>
      </c>
      <c r="Q34" s="13"/>
      <c r="R34" s="13"/>
      <c r="S34" s="13"/>
      <c r="T34" s="13"/>
      <c r="U34" s="13"/>
      <c r="V34" s="13"/>
      <c r="W34" s="13"/>
      <c r="X34" s="631">
        <f t="shared" ref="X34:AD34" si="41">C34+J34+Q34</f>
        <v>180</v>
      </c>
      <c r="Y34" s="283">
        <f t="shared" si="41"/>
        <v>260</v>
      </c>
      <c r="Z34" s="283">
        <f t="shared" si="41"/>
        <v>260</v>
      </c>
      <c r="AA34" s="283">
        <f t="shared" si="41"/>
        <v>0</v>
      </c>
      <c r="AB34" s="283">
        <f t="shared" si="41"/>
        <v>0</v>
      </c>
      <c r="AC34" s="283">
        <f t="shared" si="41"/>
        <v>0</v>
      </c>
      <c r="AD34" s="283">
        <f t="shared" si="41"/>
        <v>0</v>
      </c>
      <c r="AE34" s="27"/>
    </row>
    <row r="35" spans="1:36" x14ac:dyDescent="0.2">
      <c r="A35" s="59" t="s">
        <v>506</v>
      </c>
      <c r="B35" s="8" t="s">
        <v>253</v>
      </c>
      <c r="C35" s="166">
        <v>156</v>
      </c>
      <c r="D35" s="13">
        <v>350</v>
      </c>
      <c r="E35" s="13">
        <v>350</v>
      </c>
      <c r="F35" s="13">
        <v>0</v>
      </c>
      <c r="G35" s="13">
        <v>0</v>
      </c>
      <c r="H35" s="13">
        <v>0</v>
      </c>
      <c r="I35" s="13">
        <v>0</v>
      </c>
      <c r="J35" s="166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631">
        <f t="shared" ref="X35:AA39" si="42">C35+J35+Q35</f>
        <v>156</v>
      </c>
      <c r="Y35" s="283">
        <f t="shared" si="42"/>
        <v>350</v>
      </c>
      <c r="Z35" s="283">
        <f t="shared" si="42"/>
        <v>350</v>
      </c>
      <c r="AA35" s="283">
        <f t="shared" si="42"/>
        <v>0</v>
      </c>
      <c r="AB35" s="283">
        <f t="shared" ref="AB35:AD42" si="43">G35+N35+U35</f>
        <v>0</v>
      </c>
      <c r="AC35" s="283">
        <f t="shared" si="43"/>
        <v>0</v>
      </c>
      <c r="AD35" s="283">
        <f t="shared" si="43"/>
        <v>0</v>
      </c>
      <c r="AE35" s="26"/>
    </row>
    <row r="36" spans="1:36" x14ac:dyDescent="0.2">
      <c r="A36" s="59"/>
      <c r="B36" s="8" t="s">
        <v>294</v>
      </c>
      <c r="C36" s="166">
        <v>1565</v>
      </c>
      <c r="D36" s="13">
        <v>1500</v>
      </c>
      <c r="E36" s="13">
        <v>1500</v>
      </c>
      <c r="F36" s="13">
        <v>0</v>
      </c>
      <c r="G36" s="13">
        <v>0</v>
      </c>
      <c r="H36" s="13">
        <v>0</v>
      </c>
      <c r="I36" s="13">
        <v>0</v>
      </c>
      <c r="J36" s="166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631">
        <f t="shared" si="42"/>
        <v>1565</v>
      </c>
      <c r="Y36" s="283">
        <f t="shared" si="42"/>
        <v>1500</v>
      </c>
      <c r="Z36" s="283">
        <f t="shared" si="42"/>
        <v>1500</v>
      </c>
      <c r="AA36" s="283">
        <f t="shared" si="42"/>
        <v>0</v>
      </c>
      <c r="AB36" s="283">
        <f t="shared" si="43"/>
        <v>0</v>
      </c>
      <c r="AC36" s="283">
        <f t="shared" si="43"/>
        <v>0</v>
      </c>
      <c r="AD36" s="283">
        <f t="shared" si="43"/>
        <v>0</v>
      </c>
      <c r="AE36" s="26"/>
    </row>
    <row r="37" spans="1:36" x14ac:dyDescent="0.2">
      <c r="A37" s="59"/>
      <c r="B37" s="8" t="s">
        <v>396</v>
      </c>
      <c r="C37" s="166">
        <v>544</v>
      </c>
      <c r="D37" s="13">
        <v>500</v>
      </c>
      <c r="E37" s="13">
        <v>500</v>
      </c>
      <c r="F37" s="13">
        <v>0</v>
      </c>
      <c r="G37" s="13">
        <v>0</v>
      </c>
      <c r="H37" s="13">
        <v>0</v>
      </c>
      <c r="I37" s="13">
        <v>0</v>
      </c>
      <c r="J37" s="16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631">
        <f t="shared" si="42"/>
        <v>544</v>
      </c>
      <c r="Y37" s="283">
        <f t="shared" si="42"/>
        <v>500</v>
      </c>
      <c r="Z37" s="283">
        <f t="shared" si="42"/>
        <v>500</v>
      </c>
      <c r="AA37" s="283">
        <f t="shared" si="42"/>
        <v>0</v>
      </c>
      <c r="AB37" s="283">
        <f t="shared" si="43"/>
        <v>0</v>
      </c>
      <c r="AC37" s="283">
        <f t="shared" si="43"/>
        <v>0</v>
      </c>
      <c r="AD37" s="283">
        <f t="shared" si="43"/>
        <v>0</v>
      </c>
      <c r="AE37" s="26"/>
    </row>
    <row r="38" spans="1:36" x14ac:dyDescent="0.2">
      <c r="A38" s="59"/>
      <c r="B38" s="8" t="s">
        <v>274</v>
      </c>
      <c r="C38" s="166">
        <v>1394</v>
      </c>
      <c r="D38" s="13">
        <v>1600</v>
      </c>
      <c r="E38" s="13">
        <v>1600</v>
      </c>
      <c r="F38" s="13">
        <v>0</v>
      </c>
      <c r="G38" s="13">
        <v>0</v>
      </c>
      <c r="H38" s="13">
        <v>0</v>
      </c>
      <c r="I38" s="13">
        <v>0</v>
      </c>
      <c r="J38" s="166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631">
        <f t="shared" si="42"/>
        <v>1394</v>
      </c>
      <c r="Y38" s="283">
        <f t="shared" si="42"/>
        <v>1600</v>
      </c>
      <c r="Z38" s="283">
        <f t="shared" si="42"/>
        <v>1600</v>
      </c>
      <c r="AA38" s="283">
        <f t="shared" si="42"/>
        <v>0</v>
      </c>
      <c r="AB38" s="283">
        <f t="shared" si="43"/>
        <v>0</v>
      </c>
      <c r="AC38" s="283">
        <f t="shared" si="43"/>
        <v>0</v>
      </c>
      <c r="AD38" s="283">
        <f t="shared" si="43"/>
        <v>0</v>
      </c>
      <c r="AE38" s="26"/>
    </row>
    <row r="39" spans="1:36" x14ac:dyDescent="0.2">
      <c r="A39" s="59"/>
      <c r="B39" s="8" t="s">
        <v>733</v>
      </c>
      <c r="C39" s="166">
        <v>0</v>
      </c>
      <c r="D39" s="13">
        <v>800</v>
      </c>
      <c r="E39" s="13">
        <v>800</v>
      </c>
      <c r="F39" s="13"/>
      <c r="G39" s="13"/>
      <c r="H39" s="13"/>
      <c r="I39" s="13"/>
      <c r="J39" s="166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631">
        <f t="shared" si="42"/>
        <v>0</v>
      </c>
      <c r="Y39" s="283">
        <f t="shared" si="42"/>
        <v>800</v>
      </c>
      <c r="Z39" s="283">
        <f t="shared" si="42"/>
        <v>800</v>
      </c>
      <c r="AA39" s="283">
        <f t="shared" si="42"/>
        <v>0</v>
      </c>
      <c r="AB39" s="283">
        <f t="shared" si="43"/>
        <v>0</v>
      </c>
      <c r="AC39" s="283">
        <f t="shared" si="43"/>
        <v>0</v>
      </c>
      <c r="AD39" s="283">
        <f t="shared" si="43"/>
        <v>0</v>
      </c>
      <c r="AE39" s="26"/>
      <c r="AI39" s="742">
        <v>-365</v>
      </c>
      <c r="AJ39" t="s">
        <v>1157</v>
      </c>
    </row>
    <row r="40" spans="1:36" x14ac:dyDescent="0.2">
      <c r="A40" s="59"/>
      <c r="B40" s="8" t="s">
        <v>797</v>
      </c>
      <c r="C40" s="166">
        <v>0</v>
      </c>
      <c r="D40" s="13">
        <v>200</v>
      </c>
      <c r="E40" s="13">
        <v>200</v>
      </c>
      <c r="F40" s="13"/>
      <c r="G40" s="13"/>
      <c r="H40" s="13"/>
      <c r="I40" s="13"/>
      <c r="J40" s="166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631">
        <f t="shared" ref="X40:X80" si="44">C40+J40+Q40</f>
        <v>0</v>
      </c>
      <c r="Y40" s="283">
        <f t="shared" ref="Y40:Y80" si="45">D40+K40+R40</f>
        <v>200</v>
      </c>
      <c r="Z40" s="283">
        <f t="shared" ref="Z40:Z41" si="46">E40+L40+S40</f>
        <v>200</v>
      </c>
      <c r="AA40" s="283">
        <f t="shared" ref="AA40:AA41" si="47">F40+M40+T40</f>
        <v>0</v>
      </c>
      <c r="AB40" s="283">
        <f t="shared" ref="AB40:AD41" si="48">G40+N40+U40</f>
        <v>0</v>
      </c>
      <c r="AC40" s="283">
        <f t="shared" si="48"/>
        <v>0</v>
      </c>
      <c r="AD40" s="283">
        <f t="shared" si="48"/>
        <v>0</v>
      </c>
      <c r="AE40" s="26"/>
    </row>
    <row r="41" spans="1:36" ht="12.75" hidden="1" customHeight="1" x14ac:dyDescent="0.2">
      <c r="A41" s="59"/>
      <c r="B41" s="8"/>
      <c r="C41" s="166"/>
      <c r="D41" s="13"/>
      <c r="E41" s="13"/>
      <c r="F41" s="13"/>
      <c r="G41" s="13"/>
      <c r="H41" s="13"/>
      <c r="I41" s="13"/>
      <c r="J41" s="166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631">
        <f t="shared" si="44"/>
        <v>0</v>
      </c>
      <c r="Y41" s="283">
        <f t="shared" si="45"/>
        <v>0</v>
      </c>
      <c r="Z41" s="283">
        <f t="shared" si="46"/>
        <v>0</v>
      </c>
      <c r="AA41" s="283">
        <f t="shared" si="47"/>
        <v>0</v>
      </c>
      <c r="AB41" s="283">
        <f t="shared" si="48"/>
        <v>0</v>
      </c>
      <c r="AC41" s="283">
        <f t="shared" si="48"/>
        <v>0</v>
      </c>
      <c r="AD41" s="283">
        <f t="shared" si="48"/>
        <v>0</v>
      </c>
      <c r="AE41" s="26"/>
    </row>
    <row r="42" spans="1:36" x14ac:dyDescent="0.2">
      <c r="A42" s="77" t="s">
        <v>247</v>
      </c>
      <c r="B42" s="14" t="s">
        <v>254</v>
      </c>
      <c r="C42" s="541">
        <f t="shared" ref="C42:G42" si="49">SUM(C43:C50)</f>
        <v>1418</v>
      </c>
      <c r="D42" s="5">
        <f t="shared" ref="D42" si="50">SUM(D43:D50)</f>
        <v>1687</v>
      </c>
      <c r="E42" s="5">
        <f t="shared" ref="E42" si="51">SUM(E43:E50)</f>
        <v>1687</v>
      </c>
      <c r="F42" s="5">
        <f t="shared" si="49"/>
        <v>0</v>
      </c>
      <c r="G42" s="5">
        <f t="shared" si="49"/>
        <v>0</v>
      </c>
      <c r="H42" s="5">
        <f t="shared" ref="H42:I42" si="52">SUM(H43:H50)</f>
        <v>0</v>
      </c>
      <c r="I42" s="5">
        <f t="shared" si="52"/>
        <v>0</v>
      </c>
      <c r="J42" s="541">
        <f t="shared" ref="J42:W42" si="53">SUM(J43:J48)</f>
        <v>42</v>
      </c>
      <c r="K42" s="5">
        <f t="shared" ref="K42" si="54">SUM(K43:K48)</f>
        <v>55</v>
      </c>
      <c r="L42" s="5">
        <f t="shared" ref="L42" si="55">SUM(L43:L48)</f>
        <v>55</v>
      </c>
      <c r="M42" s="5">
        <f t="shared" ref="M42:N42" si="56">SUM(M43:M48)</f>
        <v>0</v>
      </c>
      <c r="N42" s="5">
        <f t="shared" si="56"/>
        <v>0</v>
      </c>
      <c r="O42" s="5">
        <f t="shared" ref="O42:P42" si="57">SUM(O43:O48)</f>
        <v>0</v>
      </c>
      <c r="P42" s="5">
        <f t="shared" si="57"/>
        <v>0</v>
      </c>
      <c r="Q42" s="5">
        <f t="shared" si="53"/>
        <v>0</v>
      </c>
      <c r="R42" s="5"/>
      <c r="S42" s="5">
        <f t="shared" si="53"/>
        <v>0</v>
      </c>
      <c r="T42" s="5">
        <f t="shared" si="53"/>
        <v>0</v>
      </c>
      <c r="U42" s="5">
        <f t="shared" si="53"/>
        <v>0</v>
      </c>
      <c r="V42" s="5"/>
      <c r="W42" s="5">
        <f t="shared" si="53"/>
        <v>0</v>
      </c>
      <c r="X42" s="630">
        <f t="shared" si="44"/>
        <v>1460</v>
      </c>
      <c r="Y42" s="282">
        <f t="shared" si="45"/>
        <v>1742</v>
      </c>
      <c r="Z42" s="282">
        <f>E42+L42+S42</f>
        <v>1742</v>
      </c>
      <c r="AA42" s="282">
        <f>F42+M42+T42</f>
        <v>0</v>
      </c>
      <c r="AB42" s="282">
        <f t="shared" si="43"/>
        <v>0</v>
      </c>
      <c r="AC42" s="282">
        <f t="shared" si="43"/>
        <v>0</v>
      </c>
      <c r="AD42" s="282">
        <f t="shared" si="43"/>
        <v>0</v>
      </c>
      <c r="AE42" s="27"/>
    </row>
    <row r="43" spans="1:36" x14ac:dyDescent="0.2">
      <c r="A43" s="59" t="s">
        <v>664</v>
      </c>
      <c r="B43" s="8" t="s">
        <v>255</v>
      </c>
      <c r="C43" s="166"/>
      <c r="D43" s="13"/>
      <c r="E43" s="13"/>
      <c r="F43" s="13"/>
      <c r="G43" s="13"/>
      <c r="H43" s="13"/>
      <c r="I43" s="13"/>
      <c r="J43" s="166"/>
      <c r="K43" s="13"/>
      <c r="L43" s="13"/>
      <c r="M43" s="13"/>
      <c r="N43" s="13"/>
      <c r="O43" s="13"/>
      <c r="P43" s="13"/>
      <c r="Q43" s="297"/>
      <c r="R43" s="297"/>
      <c r="S43" s="297"/>
      <c r="T43" s="297"/>
      <c r="U43" s="297"/>
      <c r="V43" s="297"/>
      <c r="W43" s="297"/>
      <c r="X43" s="631">
        <f t="shared" si="44"/>
        <v>0</v>
      </c>
      <c r="Y43" s="283">
        <f t="shared" si="45"/>
        <v>0</v>
      </c>
      <c r="Z43" s="283">
        <f>E43+L43+S43</f>
        <v>0</v>
      </c>
      <c r="AA43" s="283">
        <f>F43+M43+T43</f>
        <v>0</v>
      </c>
      <c r="AB43" s="283">
        <f>G43+N43+U43</f>
        <v>0</v>
      </c>
      <c r="AC43" s="283">
        <f>H43+O43+V43</f>
        <v>0</v>
      </c>
      <c r="AD43" s="283">
        <f>I43+P43+W43</f>
        <v>0</v>
      </c>
      <c r="AE43" s="26"/>
    </row>
    <row r="44" spans="1:36" x14ac:dyDescent="0.2">
      <c r="A44" s="59"/>
      <c r="B44" s="8" t="s">
        <v>734</v>
      </c>
      <c r="C44" s="166">
        <v>180</v>
      </c>
      <c r="D44" s="13">
        <v>200</v>
      </c>
      <c r="E44" s="13">
        <v>200</v>
      </c>
      <c r="F44" s="13">
        <v>0</v>
      </c>
      <c r="G44" s="13">
        <v>0</v>
      </c>
      <c r="H44" s="13">
        <v>0</v>
      </c>
      <c r="I44" s="13">
        <v>0</v>
      </c>
      <c r="J44" s="166"/>
      <c r="K44" s="13"/>
      <c r="L44" s="13"/>
      <c r="M44" s="13"/>
      <c r="N44" s="13"/>
      <c r="O44" s="13"/>
      <c r="P44" s="13"/>
      <c r="Q44" s="297"/>
      <c r="R44" s="297"/>
      <c r="S44" s="297"/>
      <c r="T44" s="297"/>
      <c r="U44" s="297"/>
      <c r="V44" s="297"/>
      <c r="W44" s="297"/>
      <c r="X44" s="631">
        <f t="shared" si="44"/>
        <v>180</v>
      </c>
      <c r="Y44" s="283">
        <f t="shared" si="45"/>
        <v>200</v>
      </c>
      <c r="Z44" s="283">
        <f t="shared" ref="Z44:Z48" si="58">E44+L44+S44</f>
        <v>200</v>
      </c>
      <c r="AA44" s="283">
        <f t="shared" ref="AA44:AA48" si="59">F44+M44+T44</f>
        <v>0</v>
      </c>
      <c r="AB44" s="283">
        <f t="shared" ref="AB44:AD48" si="60">G44+N44+U44</f>
        <v>0</v>
      </c>
      <c r="AC44" s="283">
        <f t="shared" si="60"/>
        <v>0</v>
      </c>
      <c r="AD44" s="283">
        <f t="shared" si="60"/>
        <v>0</v>
      </c>
      <c r="AE44" s="26"/>
    </row>
    <row r="45" spans="1:36" x14ac:dyDescent="0.2">
      <c r="A45" s="59"/>
      <c r="B45" s="8" t="s">
        <v>665</v>
      </c>
      <c r="C45" s="166">
        <v>288</v>
      </c>
      <c r="D45" s="13">
        <v>287</v>
      </c>
      <c r="E45" s="13">
        <v>287</v>
      </c>
      <c r="F45" s="13">
        <v>0</v>
      </c>
      <c r="G45" s="13">
        <v>0</v>
      </c>
      <c r="H45" s="13">
        <v>0</v>
      </c>
      <c r="I45" s="13">
        <v>0</v>
      </c>
      <c r="J45" s="166"/>
      <c r="K45" s="13"/>
      <c r="L45" s="13"/>
      <c r="M45" s="13"/>
      <c r="N45" s="13"/>
      <c r="O45" s="13"/>
      <c r="P45" s="13"/>
      <c r="Q45" s="297"/>
      <c r="R45" s="297"/>
      <c r="S45" s="297"/>
      <c r="T45" s="297"/>
      <c r="U45" s="297"/>
      <c r="V45" s="297"/>
      <c r="W45" s="297"/>
      <c r="X45" s="631">
        <f t="shared" si="44"/>
        <v>288</v>
      </c>
      <c r="Y45" s="283">
        <f t="shared" si="45"/>
        <v>287</v>
      </c>
      <c r="Z45" s="283">
        <f t="shared" si="58"/>
        <v>287</v>
      </c>
      <c r="AA45" s="283">
        <f t="shared" si="59"/>
        <v>0</v>
      </c>
      <c r="AB45" s="283">
        <f t="shared" si="60"/>
        <v>0</v>
      </c>
      <c r="AC45" s="283">
        <f t="shared" si="60"/>
        <v>0</v>
      </c>
      <c r="AD45" s="283">
        <f t="shared" si="60"/>
        <v>0</v>
      </c>
      <c r="AE45" s="26"/>
    </row>
    <row r="46" spans="1:36" x14ac:dyDescent="0.2">
      <c r="A46" s="59"/>
      <c r="B46" s="8" t="s">
        <v>843</v>
      </c>
      <c r="C46" s="166">
        <v>124</v>
      </c>
      <c r="D46" s="13">
        <v>140</v>
      </c>
      <c r="E46" s="13">
        <f>140+30</f>
        <v>170</v>
      </c>
      <c r="F46" s="13">
        <v>0</v>
      </c>
      <c r="G46" s="13">
        <v>0</v>
      </c>
      <c r="H46" s="13">
        <v>0</v>
      </c>
      <c r="I46" s="13">
        <v>0</v>
      </c>
      <c r="J46" s="166">
        <v>19</v>
      </c>
      <c r="K46" s="13">
        <v>25</v>
      </c>
      <c r="L46" s="13">
        <v>25</v>
      </c>
      <c r="M46" s="13">
        <v>0</v>
      </c>
      <c r="N46" s="13">
        <v>0</v>
      </c>
      <c r="O46" s="13">
        <v>0</v>
      </c>
      <c r="P46" s="13">
        <v>0</v>
      </c>
      <c r="Q46" s="297"/>
      <c r="R46" s="297"/>
      <c r="S46" s="297"/>
      <c r="T46" s="297"/>
      <c r="U46" s="297"/>
      <c r="V46" s="297"/>
      <c r="W46" s="297"/>
      <c r="X46" s="631">
        <f t="shared" si="44"/>
        <v>143</v>
      </c>
      <c r="Y46" s="283">
        <f t="shared" si="45"/>
        <v>165</v>
      </c>
      <c r="Z46" s="283">
        <f t="shared" si="58"/>
        <v>195</v>
      </c>
      <c r="AA46" s="283">
        <f t="shared" si="59"/>
        <v>0</v>
      </c>
      <c r="AB46" s="283">
        <f t="shared" ref="AB46" si="61">G46+N46+U46</f>
        <v>0</v>
      </c>
      <c r="AC46" s="283">
        <f t="shared" ref="AC46" si="62">H46+O46+V46</f>
        <v>0</v>
      </c>
      <c r="AD46" s="283">
        <f t="shared" si="60"/>
        <v>0</v>
      </c>
      <c r="AE46" s="26"/>
    </row>
    <row r="47" spans="1:36" x14ac:dyDescent="0.2">
      <c r="A47" s="59"/>
      <c r="B47" s="8" t="s">
        <v>749</v>
      </c>
      <c r="C47" s="166">
        <v>252</v>
      </c>
      <c r="D47" s="13">
        <v>400</v>
      </c>
      <c r="E47" s="13">
        <f>400-30</f>
        <v>370</v>
      </c>
      <c r="F47" s="13">
        <v>0</v>
      </c>
      <c r="G47" s="13">
        <v>0</v>
      </c>
      <c r="H47" s="13">
        <v>0</v>
      </c>
      <c r="I47" s="13">
        <v>0</v>
      </c>
      <c r="J47" s="166"/>
      <c r="K47" s="13"/>
      <c r="L47" s="13"/>
      <c r="M47" s="13"/>
      <c r="N47" s="13"/>
      <c r="O47" s="13"/>
      <c r="P47" s="13"/>
      <c r="Q47" s="297"/>
      <c r="R47" s="297"/>
      <c r="S47" s="297"/>
      <c r="T47" s="297"/>
      <c r="U47" s="297"/>
      <c r="V47" s="297"/>
      <c r="W47" s="297"/>
      <c r="X47" s="631">
        <f t="shared" si="44"/>
        <v>252</v>
      </c>
      <c r="Y47" s="283">
        <f t="shared" si="45"/>
        <v>400</v>
      </c>
      <c r="Z47" s="283">
        <f t="shared" si="58"/>
        <v>370</v>
      </c>
      <c r="AA47" s="283">
        <f t="shared" si="59"/>
        <v>0</v>
      </c>
      <c r="AB47" s="283">
        <f t="shared" si="60"/>
        <v>0</v>
      </c>
      <c r="AC47" s="283">
        <f t="shared" si="60"/>
        <v>0</v>
      </c>
      <c r="AD47" s="283">
        <f t="shared" si="60"/>
        <v>0</v>
      </c>
      <c r="AE47" s="26"/>
    </row>
    <row r="48" spans="1:36" x14ac:dyDescent="0.2">
      <c r="A48" s="59" t="s">
        <v>587</v>
      </c>
      <c r="B48" s="8" t="s">
        <v>482</v>
      </c>
      <c r="C48" s="166">
        <v>574</v>
      </c>
      <c r="D48" s="13">
        <v>660</v>
      </c>
      <c r="E48" s="13">
        <v>660</v>
      </c>
      <c r="F48" s="13">
        <v>0</v>
      </c>
      <c r="G48" s="13">
        <v>0</v>
      </c>
      <c r="H48" s="13">
        <v>0</v>
      </c>
      <c r="I48" s="13">
        <v>0</v>
      </c>
      <c r="J48" s="166">
        <v>23</v>
      </c>
      <c r="K48" s="13">
        <v>30</v>
      </c>
      <c r="L48" s="13">
        <v>30</v>
      </c>
      <c r="M48" s="13">
        <v>0</v>
      </c>
      <c r="N48" s="13">
        <v>0</v>
      </c>
      <c r="O48" s="13">
        <v>0</v>
      </c>
      <c r="P48" s="13">
        <v>0</v>
      </c>
      <c r="Q48" s="297"/>
      <c r="R48" s="297"/>
      <c r="S48" s="297"/>
      <c r="T48" s="297"/>
      <c r="U48" s="297"/>
      <c r="V48" s="297"/>
      <c r="W48" s="297"/>
      <c r="X48" s="631">
        <f t="shared" si="44"/>
        <v>597</v>
      </c>
      <c r="Y48" s="283">
        <f t="shared" si="45"/>
        <v>690</v>
      </c>
      <c r="Z48" s="283">
        <f t="shared" si="58"/>
        <v>690</v>
      </c>
      <c r="AA48" s="283">
        <f t="shared" si="59"/>
        <v>0</v>
      </c>
      <c r="AB48" s="283">
        <f t="shared" si="60"/>
        <v>0</v>
      </c>
      <c r="AC48" s="283">
        <f t="shared" si="60"/>
        <v>0</v>
      </c>
      <c r="AD48" s="283">
        <f t="shared" si="60"/>
        <v>0</v>
      </c>
      <c r="AE48" s="26"/>
    </row>
    <row r="49" spans="1:31" ht="12.75" hidden="1" customHeight="1" x14ac:dyDescent="0.2">
      <c r="A49" s="59"/>
      <c r="B49" s="8" t="s">
        <v>287</v>
      </c>
      <c r="C49" s="166"/>
      <c r="D49" s="13"/>
      <c r="E49" s="13"/>
      <c r="F49" s="13"/>
      <c r="G49" s="13"/>
      <c r="H49" s="13"/>
      <c r="I49" s="13"/>
      <c r="J49" s="166"/>
      <c r="K49" s="13"/>
      <c r="L49" s="13"/>
      <c r="M49" s="13"/>
      <c r="N49" s="13"/>
      <c r="O49" s="13"/>
      <c r="P49" s="13"/>
      <c r="Q49" s="297"/>
      <c r="R49" s="297"/>
      <c r="S49" s="297"/>
      <c r="T49" s="297"/>
      <c r="U49" s="297"/>
      <c r="V49" s="297"/>
      <c r="W49" s="297"/>
      <c r="X49" s="631">
        <f t="shared" si="44"/>
        <v>0</v>
      </c>
      <c r="Y49" s="283">
        <f t="shared" si="45"/>
        <v>0</v>
      </c>
      <c r="Z49" s="283">
        <f t="shared" ref="Z49:Z59" si="63">E49+L49+S49</f>
        <v>0</v>
      </c>
      <c r="AA49" s="283">
        <f t="shared" ref="AA49:AA59" si="64">F49+M49+T49</f>
        <v>0</v>
      </c>
      <c r="AB49" s="283">
        <f t="shared" ref="AB49:AD57" si="65">G49+N49+U49</f>
        <v>0</v>
      </c>
      <c r="AC49" s="283">
        <f t="shared" si="65"/>
        <v>0</v>
      </c>
      <c r="AD49" s="283">
        <f t="shared" si="65"/>
        <v>0</v>
      </c>
      <c r="AE49" s="26"/>
    </row>
    <row r="50" spans="1:31" ht="12.75" hidden="1" customHeight="1" x14ac:dyDescent="0.2">
      <c r="A50" s="59"/>
      <c r="B50" s="8" t="s">
        <v>288</v>
      </c>
      <c r="C50" s="166"/>
      <c r="D50" s="13"/>
      <c r="E50" s="13"/>
      <c r="F50" s="13"/>
      <c r="G50" s="13"/>
      <c r="H50" s="13"/>
      <c r="I50" s="13"/>
      <c r="J50" s="166"/>
      <c r="K50" s="13"/>
      <c r="L50" s="13"/>
      <c r="M50" s="13"/>
      <c r="N50" s="13"/>
      <c r="O50" s="13"/>
      <c r="P50" s="13"/>
      <c r="Q50" s="297"/>
      <c r="R50" s="297"/>
      <c r="S50" s="297"/>
      <c r="T50" s="297"/>
      <c r="U50" s="297"/>
      <c r="V50" s="297"/>
      <c r="W50" s="297"/>
      <c r="X50" s="631">
        <f t="shared" si="44"/>
        <v>0</v>
      </c>
      <c r="Y50" s="283">
        <f t="shared" si="45"/>
        <v>0</v>
      </c>
      <c r="Z50" s="283">
        <f t="shared" si="63"/>
        <v>0</v>
      </c>
      <c r="AA50" s="283">
        <f t="shared" si="64"/>
        <v>0</v>
      </c>
      <c r="AB50" s="283">
        <f t="shared" si="65"/>
        <v>0</v>
      </c>
      <c r="AC50" s="283">
        <f t="shared" si="65"/>
        <v>0</v>
      </c>
      <c r="AD50" s="283">
        <f t="shared" si="65"/>
        <v>0</v>
      </c>
      <c r="AE50" s="26"/>
    </row>
    <row r="51" spans="1:31" x14ac:dyDescent="0.2">
      <c r="A51" s="77" t="s">
        <v>248</v>
      </c>
      <c r="B51" s="14" t="s">
        <v>256</v>
      </c>
      <c r="C51" s="541">
        <f t="shared" ref="C51" si="66">SUM(C52:C68)</f>
        <v>9164</v>
      </c>
      <c r="D51" s="5">
        <f t="shared" ref="D51" si="67">SUM(D52:D68)</f>
        <v>12300</v>
      </c>
      <c r="E51" s="5">
        <f t="shared" ref="E51" si="68">SUM(E52:E68)</f>
        <v>12325</v>
      </c>
      <c r="F51" s="5">
        <f t="shared" ref="F51:G51" si="69">SUM(F52:F68)</f>
        <v>0</v>
      </c>
      <c r="G51" s="5">
        <f t="shared" si="69"/>
        <v>0</v>
      </c>
      <c r="H51" s="5">
        <f t="shared" ref="H51:I51" si="70">SUM(H52:H68)</f>
        <v>0</v>
      </c>
      <c r="I51" s="5">
        <f t="shared" si="70"/>
        <v>0</v>
      </c>
      <c r="J51" s="541">
        <f t="shared" ref="J51:W51" si="71">SUM(J52:J68)</f>
        <v>7095</v>
      </c>
      <c r="K51" s="5">
        <f t="shared" ref="K51" si="72">SUM(K52:K68)</f>
        <v>7500</v>
      </c>
      <c r="L51" s="5">
        <f t="shared" ref="L51" si="73">SUM(L52:L68)</f>
        <v>7500</v>
      </c>
      <c r="M51" s="5">
        <f t="shared" ref="M51:N51" si="74">SUM(M52:M68)</f>
        <v>0</v>
      </c>
      <c r="N51" s="5">
        <f t="shared" si="74"/>
        <v>0</v>
      </c>
      <c r="O51" s="5">
        <f t="shared" ref="O51:P51" si="75">SUM(O52:O68)</f>
        <v>0</v>
      </c>
      <c r="P51" s="5">
        <f t="shared" si="75"/>
        <v>0</v>
      </c>
      <c r="Q51" s="5">
        <f t="shared" si="71"/>
        <v>0</v>
      </c>
      <c r="R51" s="5"/>
      <c r="S51" s="5">
        <f t="shared" si="71"/>
        <v>0</v>
      </c>
      <c r="T51" s="5">
        <f t="shared" si="71"/>
        <v>0</v>
      </c>
      <c r="U51" s="5">
        <f t="shared" si="71"/>
        <v>0</v>
      </c>
      <c r="V51" s="5"/>
      <c r="W51" s="5">
        <f t="shared" si="71"/>
        <v>0</v>
      </c>
      <c r="X51" s="630">
        <f t="shared" si="44"/>
        <v>16259</v>
      </c>
      <c r="Y51" s="282">
        <f t="shared" si="45"/>
        <v>19800</v>
      </c>
      <c r="Z51" s="282">
        <f t="shared" si="63"/>
        <v>19825</v>
      </c>
      <c r="AA51" s="282">
        <f t="shared" si="64"/>
        <v>0</v>
      </c>
      <c r="AB51" s="282">
        <f t="shared" si="65"/>
        <v>0</v>
      </c>
      <c r="AC51" s="282">
        <f t="shared" si="65"/>
        <v>0</v>
      </c>
      <c r="AD51" s="282">
        <f t="shared" si="65"/>
        <v>0</v>
      </c>
      <c r="AE51" s="27"/>
    </row>
    <row r="52" spans="1:31" ht="12.75" hidden="1" customHeight="1" x14ac:dyDescent="0.2">
      <c r="A52" s="59" t="s">
        <v>249</v>
      </c>
      <c r="B52" s="8" t="s">
        <v>272</v>
      </c>
      <c r="C52" s="166"/>
      <c r="D52" s="13"/>
      <c r="E52" s="13"/>
      <c r="F52" s="13"/>
      <c r="G52" s="13"/>
      <c r="H52" s="13"/>
      <c r="I52" s="13"/>
      <c r="J52" s="166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631">
        <f t="shared" si="44"/>
        <v>0</v>
      </c>
      <c r="Y52" s="283">
        <f t="shared" si="45"/>
        <v>0</v>
      </c>
      <c r="Z52" s="283">
        <f t="shared" si="63"/>
        <v>0</v>
      </c>
      <c r="AA52" s="283">
        <f t="shared" si="64"/>
        <v>0</v>
      </c>
      <c r="AB52" s="283">
        <f t="shared" si="65"/>
        <v>0</v>
      </c>
      <c r="AC52" s="283">
        <f t="shared" si="65"/>
        <v>0</v>
      </c>
      <c r="AD52" s="283">
        <f t="shared" si="65"/>
        <v>0</v>
      </c>
      <c r="AE52" s="26"/>
    </row>
    <row r="53" spans="1:31" x14ac:dyDescent="0.2">
      <c r="A53" s="59" t="s">
        <v>659</v>
      </c>
      <c r="B53" s="8" t="s">
        <v>696</v>
      </c>
      <c r="C53" s="186">
        <v>113</v>
      </c>
      <c r="D53" s="11">
        <v>200</v>
      </c>
      <c r="E53" s="11">
        <v>200</v>
      </c>
      <c r="F53" s="11">
        <v>0</v>
      </c>
      <c r="G53" s="11">
        <v>0</v>
      </c>
      <c r="H53" s="11">
        <v>0</v>
      </c>
      <c r="I53" s="11">
        <v>0</v>
      </c>
      <c r="J53" s="166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631">
        <f t="shared" si="44"/>
        <v>113</v>
      </c>
      <c r="Y53" s="283">
        <f t="shared" si="45"/>
        <v>200</v>
      </c>
      <c r="Z53" s="283">
        <f t="shared" si="63"/>
        <v>200</v>
      </c>
      <c r="AA53" s="283">
        <f t="shared" si="64"/>
        <v>0</v>
      </c>
      <c r="AB53" s="283">
        <f t="shared" si="65"/>
        <v>0</v>
      </c>
      <c r="AC53" s="283">
        <f t="shared" si="65"/>
        <v>0</v>
      </c>
      <c r="AD53" s="283">
        <f t="shared" si="65"/>
        <v>0</v>
      </c>
      <c r="AE53" s="26"/>
    </row>
    <row r="54" spans="1:31" x14ac:dyDescent="0.2">
      <c r="A54" s="59" t="s">
        <v>588</v>
      </c>
      <c r="B54" s="8" t="s">
        <v>271</v>
      </c>
      <c r="C54" s="186"/>
      <c r="D54" s="516"/>
      <c r="E54" s="516"/>
      <c r="F54" s="516"/>
      <c r="G54" s="516"/>
      <c r="H54" s="516"/>
      <c r="I54" s="516"/>
      <c r="J54" s="166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631">
        <f t="shared" si="44"/>
        <v>0</v>
      </c>
      <c r="Y54" s="283">
        <f t="shared" si="45"/>
        <v>0</v>
      </c>
      <c r="Z54" s="283">
        <f t="shared" si="63"/>
        <v>0</v>
      </c>
      <c r="AA54" s="283">
        <f t="shared" si="64"/>
        <v>0</v>
      </c>
      <c r="AB54" s="283">
        <f t="shared" si="65"/>
        <v>0</v>
      </c>
      <c r="AC54" s="283">
        <f t="shared" si="65"/>
        <v>0</v>
      </c>
      <c r="AD54" s="283">
        <f t="shared" si="65"/>
        <v>0</v>
      </c>
      <c r="AE54" s="26"/>
    </row>
    <row r="55" spans="1:31" x14ac:dyDescent="0.2">
      <c r="A55" s="59"/>
      <c r="B55" s="8" t="s">
        <v>695</v>
      </c>
      <c r="C55" s="186">
        <v>360</v>
      </c>
      <c r="D55" s="11">
        <v>450</v>
      </c>
      <c r="E55" s="11">
        <v>450</v>
      </c>
      <c r="F55" s="11">
        <v>0</v>
      </c>
      <c r="G55" s="11">
        <v>0</v>
      </c>
      <c r="H55" s="11">
        <v>0</v>
      </c>
      <c r="I55" s="11">
        <v>0</v>
      </c>
      <c r="J55" s="166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631">
        <f t="shared" si="44"/>
        <v>360</v>
      </c>
      <c r="Y55" s="283">
        <f t="shared" si="45"/>
        <v>450</v>
      </c>
      <c r="Z55" s="283">
        <f t="shared" si="63"/>
        <v>450</v>
      </c>
      <c r="AA55" s="283">
        <f t="shared" si="64"/>
        <v>0</v>
      </c>
      <c r="AB55" s="283">
        <f t="shared" si="65"/>
        <v>0</v>
      </c>
      <c r="AC55" s="283">
        <f t="shared" si="65"/>
        <v>0</v>
      </c>
      <c r="AD55" s="283">
        <f t="shared" si="65"/>
        <v>0</v>
      </c>
      <c r="AE55" s="26"/>
    </row>
    <row r="56" spans="1:31" x14ac:dyDescent="0.2">
      <c r="A56" s="59"/>
      <c r="B56" s="8" t="s">
        <v>735</v>
      </c>
      <c r="C56" s="186">
        <v>1139</v>
      </c>
      <c r="D56" s="11">
        <v>1300</v>
      </c>
      <c r="E56" s="11">
        <f>1300+165+25+60</f>
        <v>1550</v>
      </c>
      <c r="F56" s="11">
        <v>0</v>
      </c>
      <c r="G56" s="11">
        <v>0</v>
      </c>
      <c r="H56" s="11">
        <v>0</v>
      </c>
      <c r="I56" s="11">
        <v>0</v>
      </c>
      <c r="J56" s="166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631">
        <f t="shared" si="44"/>
        <v>1139</v>
      </c>
      <c r="Y56" s="283">
        <f t="shared" si="45"/>
        <v>1300</v>
      </c>
      <c r="Z56" s="283">
        <f t="shared" si="63"/>
        <v>1550</v>
      </c>
      <c r="AA56" s="283">
        <f t="shared" si="64"/>
        <v>0</v>
      </c>
      <c r="AB56" s="283">
        <f t="shared" si="65"/>
        <v>0</v>
      </c>
      <c r="AC56" s="283">
        <f t="shared" si="65"/>
        <v>0</v>
      </c>
      <c r="AD56" s="283">
        <f t="shared" si="65"/>
        <v>0</v>
      </c>
      <c r="AE56" s="26"/>
    </row>
    <row r="57" spans="1:31" x14ac:dyDescent="0.2">
      <c r="A57" s="59"/>
      <c r="B57" s="8" t="s">
        <v>403</v>
      </c>
      <c r="C57" s="186">
        <v>56</v>
      </c>
      <c r="D57" s="11">
        <v>300</v>
      </c>
      <c r="E57" s="11">
        <f>300-60</f>
        <v>240</v>
      </c>
      <c r="F57" s="11">
        <v>0</v>
      </c>
      <c r="G57" s="11">
        <v>0</v>
      </c>
      <c r="H57" s="11">
        <v>0</v>
      </c>
      <c r="I57" s="11">
        <v>0</v>
      </c>
      <c r="J57" s="166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631">
        <f t="shared" si="44"/>
        <v>56</v>
      </c>
      <c r="Y57" s="283">
        <f t="shared" si="45"/>
        <v>300</v>
      </c>
      <c r="Z57" s="283">
        <f t="shared" si="63"/>
        <v>240</v>
      </c>
      <c r="AA57" s="283">
        <f t="shared" si="64"/>
        <v>0</v>
      </c>
      <c r="AB57" s="283">
        <f t="shared" si="65"/>
        <v>0</v>
      </c>
      <c r="AC57" s="283">
        <f t="shared" si="65"/>
        <v>0</v>
      </c>
      <c r="AD57" s="283">
        <f t="shared" si="65"/>
        <v>0</v>
      </c>
      <c r="AE57" s="26"/>
    </row>
    <row r="58" spans="1:31" ht="12.75" hidden="1" customHeight="1" x14ac:dyDescent="0.2">
      <c r="A58" s="59" t="s">
        <v>601</v>
      </c>
      <c r="B58" s="8" t="s">
        <v>270</v>
      </c>
      <c r="C58" s="186"/>
      <c r="D58" s="11"/>
      <c r="E58" s="11"/>
      <c r="F58" s="11"/>
      <c r="G58" s="11"/>
      <c r="H58" s="11"/>
      <c r="I58" s="11"/>
      <c r="J58" s="166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631">
        <f t="shared" si="44"/>
        <v>0</v>
      </c>
      <c r="Y58" s="283">
        <f t="shared" si="45"/>
        <v>0</v>
      </c>
      <c r="Z58" s="283">
        <f t="shared" si="63"/>
        <v>0</v>
      </c>
      <c r="AA58" s="283">
        <f t="shared" si="64"/>
        <v>0</v>
      </c>
      <c r="AB58" s="283">
        <f t="shared" ref="AB58:AD69" si="76">G58+N58+U58</f>
        <v>0</v>
      </c>
      <c r="AC58" s="283">
        <f t="shared" si="76"/>
        <v>0</v>
      </c>
      <c r="AD58" s="283">
        <f t="shared" si="76"/>
        <v>0</v>
      </c>
      <c r="AE58" s="26"/>
    </row>
    <row r="59" spans="1:31" x14ac:dyDescent="0.2">
      <c r="A59" s="59" t="s">
        <v>444</v>
      </c>
      <c r="B59" s="8" t="s">
        <v>269</v>
      </c>
      <c r="C59" s="186"/>
      <c r="D59" s="11"/>
      <c r="E59" s="11"/>
      <c r="F59" s="11"/>
      <c r="G59" s="11"/>
      <c r="H59" s="11"/>
      <c r="I59" s="11"/>
      <c r="J59" s="166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631">
        <f t="shared" si="44"/>
        <v>0</v>
      </c>
      <c r="Y59" s="283">
        <f t="shared" si="45"/>
        <v>0</v>
      </c>
      <c r="Z59" s="283">
        <f t="shared" si="63"/>
        <v>0</v>
      </c>
      <c r="AA59" s="283">
        <f t="shared" si="64"/>
        <v>0</v>
      </c>
      <c r="AB59" s="283">
        <f t="shared" si="76"/>
        <v>0</v>
      </c>
      <c r="AC59" s="283">
        <f t="shared" si="76"/>
        <v>0</v>
      </c>
      <c r="AD59" s="283">
        <f t="shared" si="76"/>
        <v>0</v>
      </c>
      <c r="AE59" s="26"/>
    </row>
    <row r="60" spans="1:31" ht="12.75" hidden="1" customHeight="1" x14ac:dyDescent="0.2">
      <c r="A60" s="59"/>
      <c r="B60" s="8"/>
      <c r="C60" s="186"/>
      <c r="D60" s="11"/>
      <c r="E60" s="11"/>
      <c r="F60" s="11"/>
      <c r="G60" s="11"/>
      <c r="H60" s="11"/>
      <c r="I60" s="11"/>
      <c r="J60" s="166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631">
        <f t="shared" si="44"/>
        <v>0</v>
      </c>
      <c r="Y60" s="283">
        <f t="shared" si="45"/>
        <v>0</v>
      </c>
      <c r="Z60" s="283">
        <f t="shared" ref="Z60:Z63" si="77">E60+L60+S60</f>
        <v>0</v>
      </c>
      <c r="AA60" s="283">
        <f t="shared" ref="AA60:AA63" si="78">F60+M60+T60</f>
        <v>0</v>
      </c>
      <c r="AB60" s="283">
        <f t="shared" si="76"/>
        <v>0</v>
      </c>
      <c r="AC60" s="283">
        <f t="shared" si="76"/>
        <v>0</v>
      </c>
      <c r="AD60" s="283">
        <f t="shared" si="76"/>
        <v>0</v>
      </c>
      <c r="AE60" s="26"/>
    </row>
    <row r="61" spans="1:31" x14ac:dyDescent="0.2">
      <c r="A61" s="59"/>
      <c r="B61" s="8" t="s">
        <v>405</v>
      </c>
      <c r="C61" s="186">
        <v>426</v>
      </c>
      <c r="D61" s="11">
        <v>550</v>
      </c>
      <c r="E61" s="11">
        <f>550-165</f>
        <v>385</v>
      </c>
      <c r="F61" s="11">
        <v>0</v>
      </c>
      <c r="G61" s="11">
        <v>0</v>
      </c>
      <c r="H61" s="11">
        <v>0</v>
      </c>
      <c r="I61" s="11">
        <v>0</v>
      </c>
      <c r="J61" s="166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631">
        <f t="shared" si="44"/>
        <v>426</v>
      </c>
      <c r="Y61" s="283">
        <f t="shared" si="45"/>
        <v>550</v>
      </c>
      <c r="Z61" s="283">
        <f t="shared" si="77"/>
        <v>385</v>
      </c>
      <c r="AA61" s="283">
        <f t="shared" si="78"/>
        <v>0</v>
      </c>
      <c r="AB61" s="283">
        <f t="shared" si="76"/>
        <v>0</v>
      </c>
      <c r="AC61" s="283">
        <f t="shared" si="76"/>
        <v>0</v>
      </c>
      <c r="AD61" s="283">
        <f t="shared" si="76"/>
        <v>0</v>
      </c>
      <c r="AE61" s="26"/>
    </row>
    <row r="62" spans="1:31" x14ac:dyDescent="0.2">
      <c r="A62" s="59"/>
      <c r="B62" s="8" t="s">
        <v>747</v>
      </c>
      <c r="C62" s="186">
        <v>888</v>
      </c>
      <c r="D62" s="11">
        <v>750</v>
      </c>
      <c r="E62" s="11">
        <v>750</v>
      </c>
      <c r="F62" s="11">
        <v>0</v>
      </c>
      <c r="G62" s="11">
        <v>0</v>
      </c>
      <c r="H62" s="11">
        <v>0</v>
      </c>
      <c r="I62" s="11">
        <v>0</v>
      </c>
      <c r="J62" s="166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631">
        <f t="shared" si="44"/>
        <v>888</v>
      </c>
      <c r="Y62" s="283">
        <f t="shared" si="45"/>
        <v>750</v>
      </c>
      <c r="Z62" s="283">
        <f t="shared" si="77"/>
        <v>750</v>
      </c>
      <c r="AA62" s="283">
        <f t="shared" si="78"/>
        <v>0</v>
      </c>
      <c r="AB62" s="283">
        <f t="shared" si="76"/>
        <v>0</v>
      </c>
      <c r="AC62" s="283">
        <f t="shared" si="76"/>
        <v>0</v>
      </c>
      <c r="AD62" s="283">
        <f t="shared" si="76"/>
        <v>0</v>
      </c>
      <c r="AE62" s="26"/>
    </row>
    <row r="63" spans="1:31" x14ac:dyDescent="0.2">
      <c r="A63" s="59"/>
      <c r="B63" s="8" t="s">
        <v>694</v>
      </c>
      <c r="C63" s="186">
        <v>221</v>
      </c>
      <c r="D63" s="11">
        <v>350</v>
      </c>
      <c r="E63" s="11">
        <v>350</v>
      </c>
      <c r="F63" s="11">
        <v>0</v>
      </c>
      <c r="G63" s="11">
        <v>0</v>
      </c>
      <c r="H63" s="11">
        <v>0</v>
      </c>
      <c r="I63" s="11">
        <v>0</v>
      </c>
      <c r="J63" s="166">
        <v>30</v>
      </c>
      <c r="K63" s="13">
        <v>50</v>
      </c>
      <c r="L63" s="13">
        <v>50</v>
      </c>
      <c r="M63" s="13">
        <v>0</v>
      </c>
      <c r="N63" s="13">
        <v>0</v>
      </c>
      <c r="O63" s="13">
        <v>0</v>
      </c>
      <c r="P63" s="13">
        <v>0</v>
      </c>
      <c r="Q63" s="13"/>
      <c r="R63" s="13"/>
      <c r="S63" s="13"/>
      <c r="T63" s="13"/>
      <c r="U63" s="13"/>
      <c r="V63" s="13"/>
      <c r="W63" s="13"/>
      <c r="X63" s="631">
        <f t="shared" si="44"/>
        <v>251</v>
      </c>
      <c r="Y63" s="283">
        <f t="shared" si="45"/>
        <v>400</v>
      </c>
      <c r="Z63" s="283">
        <f t="shared" si="77"/>
        <v>400</v>
      </c>
      <c r="AA63" s="283">
        <f t="shared" si="78"/>
        <v>0</v>
      </c>
      <c r="AB63" s="283">
        <f t="shared" si="76"/>
        <v>0</v>
      </c>
      <c r="AC63" s="283">
        <f t="shared" si="76"/>
        <v>0</v>
      </c>
      <c r="AD63" s="283">
        <f t="shared" si="76"/>
        <v>0</v>
      </c>
      <c r="AE63" s="26"/>
    </row>
    <row r="64" spans="1:31" ht="12.75" hidden="1" customHeight="1" x14ac:dyDescent="0.2">
      <c r="A64" s="59"/>
      <c r="B64" s="8"/>
      <c r="C64" s="186"/>
      <c r="D64" s="11"/>
      <c r="E64" s="11"/>
      <c r="F64" s="11"/>
      <c r="G64" s="11"/>
      <c r="H64" s="11"/>
      <c r="I64" s="11"/>
      <c r="J64" s="166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631">
        <f t="shared" si="44"/>
        <v>0</v>
      </c>
      <c r="Y64" s="283">
        <f t="shared" si="45"/>
        <v>0</v>
      </c>
      <c r="Z64" s="283">
        <f t="shared" ref="Z64" si="79">E64+L64+S64</f>
        <v>0</v>
      </c>
      <c r="AA64" s="283">
        <f t="shared" ref="AA64" si="80">F64+M64+T64</f>
        <v>0</v>
      </c>
      <c r="AB64" s="283">
        <f t="shared" si="76"/>
        <v>0</v>
      </c>
      <c r="AC64" s="283">
        <f t="shared" si="76"/>
        <v>0</v>
      </c>
      <c r="AD64" s="283">
        <f t="shared" si="76"/>
        <v>0</v>
      </c>
      <c r="AE64" s="26"/>
    </row>
    <row r="65" spans="1:36" x14ac:dyDescent="0.2">
      <c r="A65" s="59" t="s">
        <v>445</v>
      </c>
      <c r="B65" s="8" t="s">
        <v>268</v>
      </c>
      <c r="C65" s="186">
        <v>368</v>
      </c>
      <c r="D65" s="11">
        <v>450</v>
      </c>
      <c r="E65" s="11">
        <v>450</v>
      </c>
      <c r="F65" s="11">
        <v>0</v>
      </c>
      <c r="G65" s="11">
        <v>0</v>
      </c>
      <c r="H65" s="11">
        <v>0</v>
      </c>
      <c r="I65" s="11">
        <v>0</v>
      </c>
      <c r="J65" s="166">
        <v>29</v>
      </c>
      <c r="K65" s="13">
        <v>200</v>
      </c>
      <c r="L65" s="13">
        <v>200</v>
      </c>
      <c r="M65" s="13">
        <v>0</v>
      </c>
      <c r="N65" s="13">
        <v>0</v>
      </c>
      <c r="O65" s="13">
        <v>0</v>
      </c>
      <c r="P65" s="13">
        <v>0</v>
      </c>
      <c r="Q65" s="13"/>
      <c r="R65" s="13"/>
      <c r="S65" s="13"/>
      <c r="T65" s="13"/>
      <c r="U65" s="13"/>
      <c r="V65" s="13"/>
      <c r="W65" s="13"/>
      <c r="X65" s="631">
        <f t="shared" si="44"/>
        <v>397</v>
      </c>
      <c r="Y65" s="283">
        <f t="shared" si="45"/>
        <v>650</v>
      </c>
      <c r="Z65" s="283">
        <f t="shared" ref="Z65:Z80" si="81">E65+L65+S65</f>
        <v>650</v>
      </c>
      <c r="AA65" s="283">
        <f t="shared" ref="AA65:AA80" si="82">F65+M65+T65</f>
        <v>0</v>
      </c>
      <c r="AB65" s="283">
        <f t="shared" si="76"/>
        <v>0</v>
      </c>
      <c r="AC65" s="283">
        <f t="shared" si="76"/>
        <v>0</v>
      </c>
      <c r="AD65" s="283">
        <f t="shared" si="76"/>
        <v>0</v>
      </c>
      <c r="AE65" s="26"/>
    </row>
    <row r="66" spans="1:36" x14ac:dyDescent="0.2">
      <c r="A66" s="59"/>
      <c r="B66" s="8" t="s">
        <v>1031</v>
      </c>
      <c r="C66" s="186">
        <v>0</v>
      </c>
      <c r="D66" s="11">
        <v>0</v>
      </c>
      <c r="E66" s="11">
        <v>0</v>
      </c>
      <c r="F66" s="11"/>
      <c r="G66" s="11"/>
      <c r="H66" s="11"/>
      <c r="I66" s="11"/>
      <c r="J66" s="166">
        <v>871</v>
      </c>
      <c r="K66" s="13">
        <v>2000</v>
      </c>
      <c r="L66" s="13">
        <v>2000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631">
        <f t="shared" ref="X66" si="83">C66+J66+Q66</f>
        <v>871</v>
      </c>
      <c r="Y66" s="283">
        <f t="shared" ref="Y66" si="84">D66+K66+R66</f>
        <v>2000</v>
      </c>
      <c r="Z66" s="283">
        <f t="shared" si="81"/>
        <v>2000</v>
      </c>
      <c r="AA66" s="283"/>
      <c r="AB66" s="283"/>
      <c r="AC66" s="283"/>
      <c r="AD66" s="283"/>
      <c r="AE66" s="26"/>
    </row>
    <row r="67" spans="1:36" x14ac:dyDescent="0.2">
      <c r="A67" s="59"/>
      <c r="B67" s="8" t="s">
        <v>300</v>
      </c>
      <c r="C67" s="186">
        <v>4665</v>
      </c>
      <c r="D67" s="11">
        <v>6750</v>
      </c>
      <c r="E67" s="11">
        <v>6750</v>
      </c>
      <c r="F67" s="11">
        <v>0</v>
      </c>
      <c r="G67" s="11">
        <v>0</v>
      </c>
      <c r="H67" s="11">
        <v>0</v>
      </c>
      <c r="I67" s="11">
        <v>0</v>
      </c>
      <c r="J67" s="166">
        <v>6165</v>
      </c>
      <c r="K67" s="13">
        <v>5250</v>
      </c>
      <c r="L67" s="13">
        <v>5250</v>
      </c>
      <c r="M67" s="13">
        <v>0</v>
      </c>
      <c r="N67" s="13">
        <v>0</v>
      </c>
      <c r="O67" s="13">
        <v>0</v>
      </c>
      <c r="P67" s="13">
        <v>0</v>
      </c>
      <c r="Q67" s="13"/>
      <c r="R67" s="13"/>
      <c r="S67" s="13"/>
      <c r="T67" s="13"/>
      <c r="U67" s="13"/>
      <c r="V67" s="13"/>
      <c r="W67" s="13"/>
      <c r="X67" s="631">
        <f t="shared" si="44"/>
        <v>10830</v>
      </c>
      <c r="Y67" s="283">
        <f t="shared" si="45"/>
        <v>12000</v>
      </c>
      <c r="Z67" s="283">
        <f t="shared" si="81"/>
        <v>12000</v>
      </c>
      <c r="AA67" s="283">
        <f t="shared" si="82"/>
        <v>0</v>
      </c>
      <c r="AB67" s="283">
        <f t="shared" si="76"/>
        <v>0</v>
      </c>
      <c r="AC67" s="283">
        <f t="shared" si="76"/>
        <v>0</v>
      </c>
      <c r="AD67" s="283">
        <f t="shared" si="76"/>
        <v>0</v>
      </c>
      <c r="AE67" s="26"/>
    </row>
    <row r="68" spans="1:36" x14ac:dyDescent="0.2">
      <c r="A68" s="59"/>
      <c r="B68" s="8" t="s">
        <v>394</v>
      </c>
      <c r="C68" s="186">
        <v>928</v>
      </c>
      <c r="D68" s="11">
        <v>1200</v>
      </c>
      <c r="E68" s="11">
        <v>1200</v>
      </c>
      <c r="F68" s="11">
        <v>0</v>
      </c>
      <c r="G68" s="11">
        <v>0</v>
      </c>
      <c r="H68" s="11">
        <v>0</v>
      </c>
      <c r="I68" s="11">
        <v>0</v>
      </c>
      <c r="J68" s="166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631">
        <f t="shared" si="44"/>
        <v>928</v>
      </c>
      <c r="Y68" s="283">
        <f t="shared" si="45"/>
        <v>1200</v>
      </c>
      <c r="Z68" s="283">
        <f t="shared" si="81"/>
        <v>1200</v>
      </c>
      <c r="AA68" s="283">
        <f t="shared" si="82"/>
        <v>0</v>
      </c>
      <c r="AB68" s="283">
        <f t="shared" si="76"/>
        <v>0</v>
      </c>
      <c r="AC68" s="283">
        <f t="shared" si="76"/>
        <v>0</v>
      </c>
      <c r="AD68" s="283">
        <f t="shared" si="76"/>
        <v>0</v>
      </c>
      <c r="AE68" s="26"/>
    </row>
    <row r="69" spans="1:36" x14ac:dyDescent="0.2">
      <c r="A69" s="77" t="s">
        <v>250</v>
      </c>
      <c r="B69" s="14" t="s">
        <v>244</v>
      </c>
      <c r="C69" s="542">
        <f t="shared" ref="C69" si="85">SUM(C70:C71)</f>
        <v>113</v>
      </c>
      <c r="D69" s="6">
        <f t="shared" ref="D69" si="86">SUM(D70:D71)</f>
        <v>140</v>
      </c>
      <c r="E69" s="6">
        <f t="shared" ref="E69" si="87">SUM(E70:E71)</f>
        <v>140</v>
      </c>
      <c r="F69" s="6">
        <f t="shared" ref="F69:G69" si="88">SUM(F70:F71)</f>
        <v>0</v>
      </c>
      <c r="G69" s="6">
        <f t="shared" si="88"/>
        <v>0</v>
      </c>
      <c r="H69" s="6">
        <f t="shared" ref="H69:I69" si="89">SUM(H70:H71)</f>
        <v>0</v>
      </c>
      <c r="I69" s="6">
        <f t="shared" si="89"/>
        <v>0</v>
      </c>
      <c r="J69" s="541">
        <f t="shared" ref="J69" si="90">SUM(J70:J71)</f>
        <v>0</v>
      </c>
      <c r="K69" s="5">
        <f t="shared" ref="K69" si="91">SUM(K70:K71)</f>
        <v>0</v>
      </c>
      <c r="L69" s="5">
        <f t="shared" ref="L69" si="92">SUM(L70:L71)</f>
        <v>0</v>
      </c>
      <c r="M69" s="5">
        <f t="shared" ref="M69:N69" si="93">SUM(M70:M71)</f>
        <v>0</v>
      </c>
      <c r="N69" s="5">
        <f t="shared" si="93"/>
        <v>0</v>
      </c>
      <c r="O69" s="5">
        <f t="shared" ref="O69:P69" si="94">SUM(O70:O71)</f>
        <v>0</v>
      </c>
      <c r="P69" s="5">
        <f t="shared" si="94"/>
        <v>0</v>
      </c>
      <c r="Q69" s="5">
        <f t="shared" ref="Q69" si="95">SUM(Q70:Q71)</f>
        <v>0</v>
      </c>
      <c r="R69" s="5"/>
      <c r="S69" s="5">
        <f t="shared" ref="S69:W69" si="96">SUM(S70:S71)</f>
        <v>0</v>
      </c>
      <c r="T69" s="5">
        <f t="shared" ref="T69" si="97">SUM(T70:T71)</f>
        <v>0</v>
      </c>
      <c r="U69" s="5">
        <f t="shared" si="96"/>
        <v>0</v>
      </c>
      <c r="V69" s="5"/>
      <c r="W69" s="5">
        <f t="shared" si="96"/>
        <v>0</v>
      </c>
      <c r="X69" s="630">
        <f t="shared" si="44"/>
        <v>113</v>
      </c>
      <c r="Y69" s="282">
        <f t="shared" si="45"/>
        <v>140</v>
      </c>
      <c r="Z69" s="282">
        <f t="shared" si="81"/>
        <v>140</v>
      </c>
      <c r="AA69" s="282">
        <f t="shared" si="82"/>
        <v>0</v>
      </c>
      <c r="AB69" s="282">
        <f t="shared" si="76"/>
        <v>0</v>
      </c>
      <c r="AC69" s="282">
        <f t="shared" si="76"/>
        <v>0</v>
      </c>
      <c r="AD69" s="282">
        <f t="shared" si="76"/>
        <v>0</v>
      </c>
      <c r="AE69" s="27"/>
    </row>
    <row r="70" spans="1:36" x14ac:dyDescent="0.2">
      <c r="A70" s="59" t="s">
        <v>511</v>
      </c>
      <c r="B70" s="8" t="s">
        <v>267</v>
      </c>
      <c r="C70" s="166">
        <v>113</v>
      </c>
      <c r="D70" s="13">
        <v>140</v>
      </c>
      <c r="E70" s="13">
        <v>140</v>
      </c>
      <c r="F70" s="13">
        <v>0</v>
      </c>
      <c r="G70" s="13">
        <v>0</v>
      </c>
      <c r="H70" s="13">
        <v>0</v>
      </c>
      <c r="I70" s="13">
        <v>0</v>
      </c>
      <c r="J70" s="166"/>
      <c r="K70" s="13"/>
      <c r="L70" s="13"/>
      <c r="M70" s="13"/>
      <c r="N70" s="13"/>
      <c r="O70" s="13"/>
      <c r="P70" s="13"/>
      <c r="Q70" s="297"/>
      <c r="R70" s="297"/>
      <c r="S70" s="297"/>
      <c r="T70" s="297"/>
      <c r="U70" s="297"/>
      <c r="V70" s="297"/>
      <c r="W70" s="297"/>
      <c r="X70" s="631">
        <f t="shared" si="44"/>
        <v>113</v>
      </c>
      <c r="Y70" s="283">
        <f t="shared" si="45"/>
        <v>140</v>
      </c>
      <c r="Z70" s="283">
        <f t="shared" si="81"/>
        <v>140</v>
      </c>
      <c r="AA70" s="283">
        <f t="shared" si="82"/>
        <v>0</v>
      </c>
      <c r="AB70" s="283">
        <f>G70+N70+U70</f>
        <v>0</v>
      </c>
      <c r="AC70" s="283">
        <f>H70+O70+V70</f>
        <v>0</v>
      </c>
      <c r="AD70" s="283">
        <f>I70+P70+W70</f>
        <v>0</v>
      </c>
      <c r="AE70" s="26"/>
    </row>
    <row r="71" spans="1:36" x14ac:dyDescent="0.2">
      <c r="A71" s="59" t="s">
        <v>651</v>
      </c>
      <c r="B71" s="8" t="s">
        <v>276</v>
      </c>
      <c r="C71" s="166"/>
      <c r="D71" s="13"/>
      <c r="E71" s="13"/>
      <c r="F71" s="13"/>
      <c r="G71" s="13"/>
      <c r="H71" s="13"/>
      <c r="I71" s="13"/>
      <c r="J71" s="166"/>
      <c r="K71" s="13"/>
      <c r="L71" s="13"/>
      <c r="M71" s="13"/>
      <c r="N71" s="13"/>
      <c r="O71" s="13"/>
      <c r="P71" s="13"/>
      <c r="Q71" s="297"/>
      <c r="R71" s="297"/>
      <c r="S71" s="297"/>
      <c r="T71" s="297"/>
      <c r="U71" s="297"/>
      <c r="V71" s="297"/>
      <c r="W71" s="297"/>
      <c r="X71" s="631">
        <f t="shared" si="44"/>
        <v>0</v>
      </c>
      <c r="Y71" s="283">
        <f t="shared" si="45"/>
        <v>0</v>
      </c>
      <c r="Z71" s="283">
        <f t="shared" si="81"/>
        <v>0</v>
      </c>
      <c r="AA71" s="283">
        <f t="shared" si="82"/>
        <v>0</v>
      </c>
      <c r="AB71" s="283">
        <f t="shared" ref="AB71:AD80" si="98">G71+N71+U71</f>
        <v>0</v>
      </c>
      <c r="AC71" s="283">
        <f t="shared" si="98"/>
        <v>0</v>
      </c>
      <c r="AD71" s="283">
        <f t="shared" si="98"/>
        <v>0</v>
      </c>
      <c r="AE71" s="26"/>
    </row>
    <row r="72" spans="1:36" x14ac:dyDescent="0.2">
      <c r="A72" s="77" t="s">
        <v>251</v>
      </c>
      <c r="B72" s="14" t="s">
        <v>245</v>
      </c>
      <c r="C72" s="541">
        <f t="shared" ref="C72" si="99">SUM(C73:C80)</f>
        <v>3767</v>
      </c>
      <c r="D72" s="5">
        <f t="shared" ref="D72" si="100">SUM(D73:D80)</f>
        <v>3350</v>
      </c>
      <c r="E72" s="5">
        <f t="shared" ref="E72" si="101">SUM(E73:E80)</f>
        <v>3350</v>
      </c>
      <c r="F72" s="5">
        <f t="shared" ref="F72:G72" si="102">SUM(F73:F80)</f>
        <v>0</v>
      </c>
      <c r="G72" s="5">
        <f t="shared" si="102"/>
        <v>0</v>
      </c>
      <c r="H72" s="5">
        <f t="shared" ref="H72:I72" si="103">SUM(H73:H80)</f>
        <v>0</v>
      </c>
      <c r="I72" s="5">
        <f t="shared" si="103"/>
        <v>0</v>
      </c>
      <c r="J72" s="541">
        <f t="shared" ref="J72:W72" si="104">SUM(J73:J80)</f>
        <v>242</v>
      </c>
      <c r="K72" s="5">
        <f t="shared" ref="K72" si="105">SUM(K73:K80)</f>
        <v>650</v>
      </c>
      <c r="L72" s="5">
        <f t="shared" ref="L72" si="106">SUM(L73:L80)</f>
        <v>650</v>
      </c>
      <c r="M72" s="5">
        <f t="shared" ref="M72:N72" si="107">SUM(M73:M80)</f>
        <v>0</v>
      </c>
      <c r="N72" s="5">
        <f t="shared" si="107"/>
        <v>0</v>
      </c>
      <c r="O72" s="5">
        <f t="shared" ref="O72:P72" si="108">SUM(O73:O80)</f>
        <v>0</v>
      </c>
      <c r="P72" s="5">
        <f t="shared" si="108"/>
        <v>0</v>
      </c>
      <c r="Q72" s="5">
        <f t="shared" si="104"/>
        <v>0</v>
      </c>
      <c r="R72" s="5"/>
      <c r="S72" s="5">
        <f t="shared" si="104"/>
        <v>0</v>
      </c>
      <c r="T72" s="5">
        <f t="shared" si="104"/>
        <v>0</v>
      </c>
      <c r="U72" s="5">
        <f t="shared" si="104"/>
        <v>0</v>
      </c>
      <c r="V72" s="5"/>
      <c r="W72" s="5">
        <f t="shared" si="104"/>
        <v>0</v>
      </c>
      <c r="X72" s="630">
        <f t="shared" si="44"/>
        <v>4009</v>
      </c>
      <c r="Y72" s="282">
        <f t="shared" si="45"/>
        <v>4000</v>
      </c>
      <c r="Z72" s="282">
        <f t="shared" si="81"/>
        <v>4000</v>
      </c>
      <c r="AA72" s="282">
        <f t="shared" si="82"/>
        <v>0</v>
      </c>
      <c r="AB72" s="282">
        <f t="shared" si="98"/>
        <v>0</v>
      </c>
      <c r="AC72" s="282">
        <f t="shared" si="98"/>
        <v>0</v>
      </c>
      <c r="AD72" s="282">
        <f t="shared" si="98"/>
        <v>0</v>
      </c>
      <c r="AE72" s="27"/>
    </row>
    <row r="73" spans="1:36" x14ac:dyDescent="0.2">
      <c r="A73" s="59" t="s">
        <v>446</v>
      </c>
      <c r="B73" s="8" t="s">
        <v>257</v>
      </c>
      <c r="C73" s="166">
        <v>2187</v>
      </c>
      <c r="D73" s="13">
        <v>3050</v>
      </c>
      <c r="E73" s="13">
        <v>3050</v>
      </c>
      <c r="F73" s="13">
        <v>0</v>
      </c>
      <c r="G73" s="13">
        <v>0</v>
      </c>
      <c r="H73" s="13">
        <v>0</v>
      </c>
      <c r="I73" s="13">
        <v>0</v>
      </c>
      <c r="J73" s="166">
        <v>242</v>
      </c>
      <c r="K73" s="13">
        <v>650</v>
      </c>
      <c r="L73" s="13">
        <v>650</v>
      </c>
      <c r="M73" s="13">
        <v>0</v>
      </c>
      <c r="N73" s="13">
        <v>0</v>
      </c>
      <c r="O73" s="13">
        <v>0</v>
      </c>
      <c r="P73" s="13">
        <v>0</v>
      </c>
      <c r="Q73" s="13"/>
      <c r="R73" s="13"/>
      <c r="S73" s="13"/>
      <c r="T73" s="13"/>
      <c r="U73" s="13"/>
      <c r="V73" s="13"/>
      <c r="W73" s="13"/>
      <c r="X73" s="631">
        <f t="shared" si="44"/>
        <v>2429</v>
      </c>
      <c r="Y73" s="283">
        <f t="shared" si="45"/>
        <v>3700</v>
      </c>
      <c r="Z73" s="283">
        <f t="shared" si="81"/>
        <v>3700</v>
      </c>
      <c r="AA73" s="283">
        <f t="shared" si="82"/>
        <v>0</v>
      </c>
      <c r="AB73" s="283">
        <f t="shared" si="98"/>
        <v>0</v>
      </c>
      <c r="AC73" s="283">
        <f t="shared" si="98"/>
        <v>0</v>
      </c>
      <c r="AD73" s="283">
        <f t="shared" si="98"/>
        <v>0</v>
      </c>
      <c r="AE73" s="26"/>
      <c r="AI73" s="742">
        <v>-100</v>
      </c>
      <c r="AJ73" t="s">
        <v>1157</v>
      </c>
    </row>
    <row r="74" spans="1:36" ht="12.75" hidden="1" customHeight="1" x14ac:dyDescent="0.2">
      <c r="A74" s="59" t="s">
        <v>459</v>
      </c>
      <c r="B74" s="8" t="s">
        <v>258</v>
      </c>
      <c r="C74" s="166"/>
      <c r="D74" s="13"/>
      <c r="E74" s="13"/>
      <c r="F74" s="13"/>
      <c r="G74" s="13"/>
      <c r="H74" s="13"/>
      <c r="I74" s="13"/>
      <c r="J74" s="166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631">
        <f t="shared" si="44"/>
        <v>0</v>
      </c>
      <c r="Y74" s="283">
        <f t="shared" si="45"/>
        <v>0</v>
      </c>
      <c r="Z74" s="283">
        <f t="shared" si="81"/>
        <v>0</v>
      </c>
      <c r="AA74" s="283">
        <f t="shared" si="82"/>
        <v>0</v>
      </c>
      <c r="AB74" s="283">
        <f t="shared" si="98"/>
        <v>0</v>
      </c>
      <c r="AC74" s="283">
        <f t="shared" si="98"/>
        <v>0</v>
      </c>
      <c r="AD74" s="283">
        <f t="shared" si="98"/>
        <v>0</v>
      </c>
      <c r="AE74" s="26"/>
    </row>
    <row r="75" spans="1:36" ht="12.75" hidden="1" customHeight="1" x14ac:dyDescent="0.2">
      <c r="A75" s="59" t="s">
        <v>658</v>
      </c>
      <c r="B75" s="8" t="s">
        <v>259</v>
      </c>
      <c r="C75" s="166"/>
      <c r="D75" s="13"/>
      <c r="E75" s="13"/>
      <c r="F75" s="13"/>
      <c r="G75" s="13"/>
      <c r="H75" s="13"/>
      <c r="I75" s="13"/>
      <c r="J75" s="166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631">
        <f t="shared" si="44"/>
        <v>0</v>
      </c>
      <c r="Y75" s="283">
        <f t="shared" si="45"/>
        <v>0</v>
      </c>
      <c r="Z75" s="283">
        <f t="shared" si="81"/>
        <v>0</v>
      </c>
      <c r="AA75" s="283">
        <f t="shared" si="82"/>
        <v>0</v>
      </c>
      <c r="AB75" s="283">
        <f t="shared" si="98"/>
        <v>0</v>
      </c>
      <c r="AC75" s="283">
        <f t="shared" si="98"/>
        <v>0</v>
      </c>
      <c r="AD75" s="283">
        <f t="shared" si="98"/>
        <v>0</v>
      </c>
      <c r="AE75" s="26"/>
    </row>
    <row r="76" spans="1:36" ht="12.75" hidden="1" customHeight="1" x14ac:dyDescent="0.2">
      <c r="A76" s="59" t="s">
        <v>736</v>
      </c>
      <c r="B76" s="8" t="s">
        <v>260</v>
      </c>
      <c r="C76" s="166"/>
      <c r="D76" s="13"/>
      <c r="E76" s="13"/>
      <c r="F76" s="13"/>
      <c r="G76" s="13"/>
      <c r="H76" s="13"/>
      <c r="I76" s="13"/>
      <c r="J76" s="166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631">
        <f t="shared" si="44"/>
        <v>0</v>
      </c>
      <c r="Y76" s="283">
        <f t="shared" si="45"/>
        <v>0</v>
      </c>
      <c r="Z76" s="283">
        <f t="shared" si="81"/>
        <v>0</v>
      </c>
      <c r="AA76" s="283">
        <f t="shared" si="82"/>
        <v>0</v>
      </c>
      <c r="AB76" s="283">
        <f t="shared" si="98"/>
        <v>0</v>
      </c>
      <c r="AC76" s="283">
        <f t="shared" si="98"/>
        <v>0</v>
      </c>
      <c r="AD76" s="283">
        <f t="shared" si="98"/>
        <v>0</v>
      </c>
      <c r="AE76" s="26"/>
    </row>
    <row r="77" spans="1:36" x14ac:dyDescent="0.2">
      <c r="A77" s="59" t="s">
        <v>447</v>
      </c>
      <c r="B77" s="8" t="s">
        <v>54</v>
      </c>
      <c r="C77" s="166">
        <v>1580</v>
      </c>
      <c r="D77" s="13">
        <f>1800-1500</f>
        <v>300</v>
      </c>
      <c r="E77" s="13">
        <f>1800-1500</f>
        <v>300</v>
      </c>
      <c r="F77" s="13">
        <v>0</v>
      </c>
      <c r="G77" s="13">
        <v>0</v>
      </c>
      <c r="H77" s="13">
        <v>0</v>
      </c>
      <c r="I77" s="13">
        <v>0</v>
      </c>
      <c r="J77" s="166"/>
      <c r="K77" s="13"/>
      <c r="L77" s="13"/>
      <c r="M77" s="13">
        <v>0</v>
      </c>
      <c r="N77" s="13">
        <v>0</v>
      </c>
      <c r="O77" s="13">
        <v>0</v>
      </c>
      <c r="P77" s="13">
        <v>0</v>
      </c>
      <c r="Q77" s="13"/>
      <c r="R77" s="13"/>
      <c r="S77" s="13"/>
      <c r="T77" s="13"/>
      <c r="U77" s="13"/>
      <c r="V77" s="13"/>
      <c r="W77" s="13"/>
      <c r="X77" s="631">
        <f t="shared" si="44"/>
        <v>1580</v>
      </c>
      <c r="Y77" s="283">
        <f t="shared" si="45"/>
        <v>300</v>
      </c>
      <c r="Z77" s="283">
        <f t="shared" si="81"/>
        <v>300</v>
      </c>
      <c r="AA77" s="283">
        <f t="shared" si="82"/>
        <v>0</v>
      </c>
      <c r="AB77" s="283">
        <f t="shared" si="98"/>
        <v>0</v>
      </c>
      <c r="AC77" s="283">
        <f t="shared" si="98"/>
        <v>0</v>
      </c>
      <c r="AD77" s="283">
        <f t="shared" si="98"/>
        <v>0</v>
      </c>
      <c r="AE77" s="26"/>
    </row>
    <row r="78" spans="1:36" ht="12.75" hidden="1" customHeight="1" x14ac:dyDescent="0.2">
      <c r="A78" s="59"/>
      <c r="B78" s="8"/>
      <c r="C78" s="166"/>
      <c r="D78" s="13"/>
      <c r="E78" s="13"/>
      <c r="F78" s="13"/>
      <c r="G78" s="13"/>
      <c r="H78" s="13"/>
      <c r="I78" s="13"/>
      <c r="J78" s="166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631">
        <f t="shared" si="44"/>
        <v>0</v>
      </c>
      <c r="Y78" s="283">
        <f t="shared" si="45"/>
        <v>0</v>
      </c>
      <c r="Z78" s="283">
        <f t="shared" si="81"/>
        <v>0</v>
      </c>
      <c r="AA78" s="283">
        <f t="shared" si="82"/>
        <v>0</v>
      </c>
      <c r="AB78" s="283">
        <f t="shared" si="98"/>
        <v>0</v>
      </c>
      <c r="AC78" s="283">
        <f t="shared" si="98"/>
        <v>0</v>
      </c>
      <c r="AD78" s="283">
        <f t="shared" si="98"/>
        <v>0</v>
      </c>
      <c r="AE78" s="26"/>
    </row>
    <row r="79" spans="1:36" ht="12.75" hidden="1" customHeight="1" x14ac:dyDescent="0.2">
      <c r="A79" s="59"/>
      <c r="B79" s="8"/>
      <c r="C79" s="166"/>
      <c r="D79" s="13"/>
      <c r="E79" s="13"/>
      <c r="F79" s="13"/>
      <c r="G79" s="13"/>
      <c r="H79" s="13"/>
      <c r="I79" s="13"/>
      <c r="J79" s="166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631">
        <f t="shared" si="44"/>
        <v>0</v>
      </c>
      <c r="Y79" s="283">
        <f t="shared" si="45"/>
        <v>0</v>
      </c>
      <c r="Z79" s="283">
        <f t="shared" si="81"/>
        <v>0</v>
      </c>
      <c r="AA79" s="283">
        <f t="shared" si="82"/>
        <v>0</v>
      </c>
      <c r="AB79" s="283">
        <f t="shared" si="98"/>
        <v>0</v>
      </c>
      <c r="AC79" s="283">
        <f t="shared" si="98"/>
        <v>0</v>
      </c>
      <c r="AD79" s="283">
        <f t="shared" si="98"/>
        <v>0</v>
      </c>
      <c r="AE79" s="26"/>
    </row>
    <row r="80" spans="1:36" ht="12.75" hidden="1" customHeight="1" x14ac:dyDescent="0.2">
      <c r="A80" s="59"/>
      <c r="B80" s="8"/>
      <c r="C80" s="166"/>
      <c r="D80" s="13"/>
      <c r="E80" s="13"/>
      <c r="F80" s="13"/>
      <c r="G80" s="13"/>
      <c r="H80" s="13"/>
      <c r="I80" s="13"/>
      <c r="J80" s="166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631">
        <f t="shared" si="44"/>
        <v>0</v>
      </c>
      <c r="Y80" s="283">
        <f t="shared" si="45"/>
        <v>0</v>
      </c>
      <c r="Z80" s="283">
        <f t="shared" si="81"/>
        <v>0</v>
      </c>
      <c r="AA80" s="283">
        <f t="shared" si="82"/>
        <v>0</v>
      </c>
      <c r="AB80" s="283">
        <f t="shared" si="98"/>
        <v>0</v>
      </c>
      <c r="AC80" s="283">
        <f t="shared" si="98"/>
        <v>0</v>
      </c>
      <c r="AD80" s="283">
        <f t="shared" si="98"/>
        <v>0</v>
      </c>
      <c r="AE80" s="26"/>
    </row>
    <row r="81" spans="1:32" x14ac:dyDescent="0.2">
      <c r="A81" s="77" t="s">
        <v>262</v>
      </c>
      <c r="B81" s="109" t="s">
        <v>27</v>
      </c>
      <c r="C81" s="625">
        <f>SUM(C33+C42+C51+C69+C72)</f>
        <v>18301</v>
      </c>
      <c r="D81" s="221">
        <f t="shared" ref="D81:W81" si="109">SUM(D33+D42+D51+D69+D72)</f>
        <v>22637</v>
      </c>
      <c r="E81" s="221">
        <f t="shared" ref="E81" si="110">SUM(E33+E42+E51+E69+E72)</f>
        <v>22662</v>
      </c>
      <c r="F81" s="221">
        <f t="shared" ref="F81:G81" si="111">SUM(F33+F42+F51+F69+F72)</f>
        <v>0</v>
      </c>
      <c r="G81" s="221">
        <f t="shared" si="111"/>
        <v>0</v>
      </c>
      <c r="H81" s="221">
        <f t="shared" ref="H81:I81" si="112">SUM(H33+H42+H51+H69+H72)</f>
        <v>0</v>
      </c>
      <c r="I81" s="221">
        <f t="shared" si="112"/>
        <v>0</v>
      </c>
      <c r="J81" s="625">
        <f t="shared" si="109"/>
        <v>7379</v>
      </c>
      <c r="K81" s="221">
        <f t="shared" si="109"/>
        <v>8255</v>
      </c>
      <c r="L81" s="221">
        <f t="shared" ref="L81" si="113">SUM(L33+L42+L51+L69+L72)</f>
        <v>8255</v>
      </c>
      <c r="M81" s="221">
        <f t="shared" ref="M81:N81" si="114">SUM(M33+M42+M51+M69+M72)</f>
        <v>0</v>
      </c>
      <c r="N81" s="221">
        <f t="shared" si="114"/>
        <v>0</v>
      </c>
      <c r="O81" s="221">
        <f t="shared" ref="O81:P81" si="115">SUM(O33+O42+O51+O69+O72)</f>
        <v>0</v>
      </c>
      <c r="P81" s="221">
        <f t="shared" si="115"/>
        <v>0</v>
      </c>
      <c r="Q81" s="221">
        <f t="shared" si="109"/>
        <v>0</v>
      </c>
      <c r="R81" s="221"/>
      <c r="S81" s="221">
        <f t="shared" si="109"/>
        <v>0</v>
      </c>
      <c r="T81" s="221">
        <f t="shared" si="109"/>
        <v>0</v>
      </c>
      <c r="U81" s="221">
        <f t="shared" si="109"/>
        <v>0</v>
      </c>
      <c r="V81" s="221"/>
      <c r="W81" s="221">
        <f t="shared" si="109"/>
        <v>0</v>
      </c>
      <c r="X81" s="632">
        <f>(J81+C81+Q81)</f>
        <v>25680</v>
      </c>
      <c r="Y81" s="152">
        <f t="shared" ref="Y81:AD81" si="116">(K81+D81+R81)</f>
        <v>30892</v>
      </c>
      <c r="Z81" s="152">
        <f t="shared" si="116"/>
        <v>30917</v>
      </c>
      <c r="AA81" s="152">
        <f t="shared" si="116"/>
        <v>0</v>
      </c>
      <c r="AB81" s="152">
        <f t="shared" si="116"/>
        <v>0</v>
      </c>
      <c r="AC81" s="152">
        <f t="shared" si="116"/>
        <v>0</v>
      </c>
      <c r="AD81" s="152">
        <f t="shared" si="116"/>
        <v>0</v>
      </c>
      <c r="AE81" s="26"/>
    </row>
    <row r="82" spans="1:32" x14ac:dyDescent="0.2">
      <c r="A82" s="145" t="s">
        <v>261</v>
      </c>
      <c r="B82" s="109" t="s">
        <v>392</v>
      </c>
      <c r="C82" s="625"/>
      <c r="D82" s="221"/>
      <c r="E82" s="221"/>
      <c r="F82" s="221"/>
      <c r="G82" s="221"/>
      <c r="H82" s="221"/>
      <c r="I82" s="221"/>
      <c r="J82" s="625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629">
        <f t="shared" ref="X82:AD83" si="117">C82+J82+Q82</f>
        <v>0</v>
      </c>
      <c r="Y82" s="222">
        <f t="shared" si="117"/>
        <v>0</v>
      </c>
      <c r="Z82" s="222">
        <f t="shared" si="117"/>
        <v>0</v>
      </c>
      <c r="AA82" s="222">
        <f t="shared" si="117"/>
        <v>0</v>
      </c>
      <c r="AB82" s="222">
        <f t="shared" si="117"/>
        <v>0</v>
      </c>
      <c r="AC82" s="222">
        <f t="shared" si="117"/>
        <v>0</v>
      </c>
      <c r="AD82" s="222">
        <f t="shared" si="117"/>
        <v>0</v>
      </c>
      <c r="AE82" s="26"/>
    </row>
    <row r="83" spans="1:32" ht="13.5" thickBot="1" x14ac:dyDescent="0.25">
      <c r="A83" s="145" t="s">
        <v>282</v>
      </c>
      <c r="B83" s="144" t="s">
        <v>36</v>
      </c>
      <c r="C83" s="625"/>
      <c r="D83" s="221"/>
      <c r="E83" s="221"/>
      <c r="F83" s="221"/>
      <c r="G83" s="221"/>
      <c r="H83" s="221"/>
      <c r="I83" s="221"/>
      <c r="J83" s="629"/>
      <c r="K83" s="222"/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629">
        <f t="shared" si="117"/>
        <v>0</v>
      </c>
      <c r="Y83" s="222">
        <f t="shared" si="117"/>
        <v>0</v>
      </c>
      <c r="Z83" s="222">
        <f t="shared" si="117"/>
        <v>0</v>
      </c>
      <c r="AA83" s="222">
        <f t="shared" si="117"/>
        <v>0</v>
      </c>
      <c r="AB83" s="222">
        <f t="shared" si="117"/>
        <v>0</v>
      </c>
      <c r="AC83" s="222">
        <f t="shared" si="117"/>
        <v>0</v>
      </c>
      <c r="AD83" s="222">
        <f t="shared" si="117"/>
        <v>0</v>
      </c>
      <c r="AE83" s="26"/>
    </row>
    <row r="84" spans="1:32" ht="16.5" thickBot="1" x14ac:dyDescent="0.3">
      <c r="A84" s="145"/>
      <c r="B84" s="197" t="s">
        <v>9</v>
      </c>
      <c r="C84" s="626">
        <f t="shared" ref="C84:AB84" si="118">SUM(C29+C32+C81+C82+C83)</f>
        <v>249342</v>
      </c>
      <c r="D84" s="223">
        <f t="shared" si="118"/>
        <v>330133</v>
      </c>
      <c r="E84" s="223">
        <f t="shared" ref="E84" si="119">SUM(E29+E32+E81+E82+E83)</f>
        <v>330086</v>
      </c>
      <c r="F84" s="223">
        <f t="shared" ref="F84:G84" si="120">SUM(F29+F32+F81+F82+F83)</f>
        <v>0</v>
      </c>
      <c r="G84" s="223">
        <f t="shared" si="120"/>
        <v>0</v>
      </c>
      <c r="H84" s="223">
        <f t="shared" ref="H84:I84" si="121">SUM(H29+H32+H81+H82+H83)</f>
        <v>0</v>
      </c>
      <c r="I84" s="223">
        <f t="shared" si="121"/>
        <v>0</v>
      </c>
      <c r="J84" s="626">
        <f t="shared" si="118"/>
        <v>37137</v>
      </c>
      <c r="K84" s="223">
        <f t="shared" si="118"/>
        <v>40890</v>
      </c>
      <c r="L84" s="223">
        <f t="shared" ref="L84" si="122">SUM(L29+L32+L81+L82+L83)</f>
        <v>39390</v>
      </c>
      <c r="M84" s="223">
        <f t="shared" ref="M84:N84" si="123">SUM(M29+M32+M81+M82+M83)</f>
        <v>0</v>
      </c>
      <c r="N84" s="223">
        <f t="shared" si="123"/>
        <v>0</v>
      </c>
      <c r="O84" s="223">
        <f t="shared" ref="O84:P84" si="124">SUM(O29+O32+O81+O82+O83)</f>
        <v>0</v>
      </c>
      <c r="P84" s="223">
        <f t="shared" si="124"/>
        <v>0</v>
      </c>
      <c r="Q84" s="223">
        <f t="shared" si="118"/>
        <v>0</v>
      </c>
      <c r="R84" s="223"/>
      <c r="S84" s="223">
        <f t="shared" si="118"/>
        <v>0</v>
      </c>
      <c r="T84" s="223">
        <f t="shared" si="118"/>
        <v>0</v>
      </c>
      <c r="U84" s="223">
        <f t="shared" si="118"/>
        <v>0</v>
      </c>
      <c r="V84" s="223"/>
      <c r="W84" s="223">
        <f t="shared" si="118"/>
        <v>0</v>
      </c>
      <c r="X84" s="626">
        <f>SUM(X29+X32+X81+X82+X83)</f>
        <v>286479</v>
      </c>
      <c r="Y84" s="223">
        <f t="shared" ref="Y84" si="125">SUM(Y29+Y32+Y81+Y82+Y83)</f>
        <v>371023</v>
      </c>
      <c r="Z84" s="223">
        <f t="shared" si="118"/>
        <v>369476</v>
      </c>
      <c r="AA84" s="223">
        <f t="shared" si="118"/>
        <v>0</v>
      </c>
      <c r="AB84" s="223">
        <f t="shared" si="118"/>
        <v>0</v>
      </c>
      <c r="AC84" s="223">
        <f t="shared" ref="AC84:AD84" si="126">SUM(AC29+AC32+AC81+AC82+AC83)</f>
        <v>0</v>
      </c>
      <c r="AD84" s="223">
        <f t="shared" si="126"/>
        <v>0</v>
      </c>
      <c r="AE84" s="26"/>
    </row>
    <row r="85" spans="1:32" x14ac:dyDescent="0.2">
      <c r="A85" s="145" t="s">
        <v>283</v>
      </c>
      <c r="B85" s="196" t="s">
        <v>430</v>
      </c>
      <c r="C85" s="627">
        <f t="shared" ref="C85" si="127">SUM(C86:C87)</f>
        <v>349</v>
      </c>
      <c r="D85" s="224">
        <f t="shared" ref="D85:E85" si="128">SUM(D86:D87)</f>
        <v>700</v>
      </c>
      <c r="E85" s="224">
        <f t="shared" si="128"/>
        <v>700</v>
      </c>
      <c r="F85" s="224">
        <f t="shared" ref="F85:G85" si="129">SUM(F86:F87)</f>
        <v>0</v>
      </c>
      <c r="G85" s="224">
        <f t="shared" si="129"/>
        <v>0</v>
      </c>
      <c r="H85" s="224">
        <f t="shared" ref="H85:I85" si="130">SUM(H86:H87)</f>
        <v>0</v>
      </c>
      <c r="I85" s="224">
        <f t="shared" si="130"/>
        <v>0</v>
      </c>
      <c r="J85" s="627">
        <f t="shared" ref="J85:K85" si="131">SUM(J86:J87)</f>
        <v>0</v>
      </c>
      <c r="K85" s="224">
        <f t="shared" si="131"/>
        <v>0</v>
      </c>
      <c r="L85" s="224">
        <f t="shared" ref="L85" si="132">SUM(L86:L87)</f>
        <v>0</v>
      </c>
      <c r="M85" s="224">
        <f t="shared" ref="M85:N85" si="133">SUM(M86:M87)</f>
        <v>0</v>
      </c>
      <c r="N85" s="224">
        <f t="shared" si="133"/>
        <v>0</v>
      </c>
      <c r="O85" s="224">
        <f t="shared" ref="O85:P85" si="134">SUM(O86:O87)</f>
        <v>0</v>
      </c>
      <c r="P85" s="224">
        <f t="shared" si="134"/>
        <v>0</v>
      </c>
      <c r="Q85" s="224">
        <f t="shared" ref="Q85:W85" si="135">SUM(Q86:Q87)</f>
        <v>0</v>
      </c>
      <c r="R85" s="224"/>
      <c r="S85" s="224">
        <f t="shared" si="135"/>
        <v>0</v>
      </c>
      <c r="T85" s="224">
        <f t="shared" si="135"/>
        <v>0</v>
      </c>
      <c r="U85" s="224">
        <f t="shared" si="135"/>
        <v>0</v>
      </c>
      <c r="V85" s="224"/>
      <c r="W85" s="224">
        <f t="shared" si="135"/>
        <v>0</v>
      </c>
      <c r="X85" s="632">
        <f t="shared" ref="X85:AD85" si="136">(J85+C85+Q85)</f>
        <v>349</v>
      </c>
      <c r="Y85" s="152">
        <f t="shared" si="136"/>
        <v>700</v>
      </c>
      <c r="Z85" s="152">
        <f t="shared" si="136"/>
        <v>700</v>
      </c>
      <c r="AA85" s="152">
        <f t="shared" si="136"/>
        <v>0</v>
      </c>
      <c r="AB85" s="152">
        <f t="shared" si="136"/>
        <v>0</v>
      </c>
      <c r="AC85" s="152">
        <f t="shared" si="136"/>
        <v>0</v>
      </c>
      <c r="AD85" s="152">
        <f t="shared" si="136"/>
        <v>0</v>
      </c>
      <c r="AE85" s="26"/>
    </row>
    <row r="86" spans="1:32" ht="12.75" hidden="1" customHeight="1" x14ac:dyDescent="0.2">
      <c r="A86" s="145"/>
      <c r="B86" s="8"/>
      <c r="C86" s="166"/>
      <c r="D86" s="13"/>
      <c r="E86" s="13"/>
      <c r="F86" s="13"/>
      <c r="G86" s="13"/>
      <c r="H86" s="13"/>
      <c r="I86" s="13"/>
      <c r="J86" s="166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631"/>
      <c r="Y86" s="283"/>
      <c r="Z86" s="283"/>
      <c r="AA86" s="283"/>
      <c r="AB86" s="283"/>
      <c r="AC86" s="283"/>
      <c r="AD86" s="283"/>
      <c r="AE86" s="26"/>
    </row>
    <row r="87" spans="1:32" ht="13.5" thickBot="1" x14ac:dyDescent="0.25">
      <c r="A87" s="145"/>
      <c r="B87" s="12" t="s">
        <v>473</v>
      </c>
      <c r="C87" s="559">
        <v>349</v>
      </c>
      <c r="D87" s="30">
        <v>700</v>
      </c>
      <c r="E87" s="30">
        <v>700</v>
      </c>
      <c r="F87" s="30">
        <v>0</v>
      </c>
      <c r="G87" s="30">
        <v>0</v>
      </c>
      <c r="H87" s="30">
        <v>0</v>
      </c>
      <c r="I87" s="30">
        <v>0</v>
      </c>
      <c r="J87" s="559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633">
        <f t="shared" ref="X87:AD87" si="137">(J87+C87+Q87)</f>
        <v>349</v>
      </c>
      <c r="Y87" s="355">
        <f t="shared" si="137"/>
        <v>700</v>
      </c>
      <c r="Z87" s="355">
        <f t="shared" si="137"/>
        <v>700</v>
      </c>
      <c r="AA87" s="355">
        <f t="shared" si="137"/>
        <v>0</v>
      </c>
      <c r="AB87" s="355">
        <f t="shared" si="137"/>
        <v>0</v>
      </c>
      <c r="AC87" s="355">
        <f t="shared" si="137"/>
        <v>0</v>
      </c>
      <c r="AD87" s="355">
        <f t="shared" si="137"/>
        <v>0</v>
      </c>
      <c r="AE87" s="26"/>
    </row>
    <row r="88" spans="1:32" ht="20.25" thickBot="1" x14ac:dyDescent="0.4">
      <c r="A88" s="518"/>
      <c r="B88" s="653" t="s">
        <v>7</v>
      </c>
      <c r="C88" s="626">
        <f t="shared" ref="C88:W88" si="138">SUM(C29+C32+C81+C82+C83+C85)</f>
        <v>249691</v>
      </c>
      <c r="D88" s="223">
        <f t="shared" si="138"/>
        <v>330833</v>
      </c>
      <c r="E88" s="223">
        <f t="shared" ref="E88" si="139">SUM(E29+E32+E81+E82+E83+E85)</f>
        <v>330786</v>
      </c>
      <c r="F88" s="223">
        <f t="shared" ref="F88:G88" si="140">SUM(F29+F32+F81+F82+F83+F85)</f>
        <v>0</v>
      </c>
      <c r="G88" s="223">
        <f t="shared" si="140"/>
        <v>0</v>
      </c>
      <c r="H88" s="223">
        <f t="shared" ref="H88:I88" si="141">SUM(H29+H32+H81+H82+H83+H85)</f>
        <v>0</v>
      </c>
      <c r="I88" s="223">
        <f t="shared" si="141"/>
        <v>0</v>
      </c>
      <c r="J88" s="626">
        <f t="shared" si="138"/>
        <v>37137</v>
      </c>
      <c r="K88" s="223">
        <f t="shared" si="138"/>
        <v>40890</v>
      </c>
      <c r="L88" s="223">
        <f t="shared" ref="L88:N88" si="142">SUM(L29+L32+L81+L82+L83+L85)</f>
        <v>39390</v>
      </c>
      <c r="M88" s="223">
        <f t="shared" si="142"/>
        <v>0</v>
      </c>
      <c r="N88" s="223">
        <f t="shared" si="142"/>
        <v>0</v>
      </c>
      <c r="O88" s="223">
        <f t="shared" ref="O88:P88" si="143">SUM(O29+O32+O81+O82+O83+O85)</f>
        <v>0</v>
      </c>
      <c r="P88" s="223">
        <f t="shared" si="143"/>
        <v>0</v>
      </c>
      <c r="Q88" s="223">
        <f t="shared" si="138"/>
        <v>0</v>
      </c>
      <c r="R88" s="223"/>
      <c r="S88" s="223">
        <f t="shared" si="138"/>
        <v>0</v>
      </c>
      <c r="T88" s="223">
        <f t="shared" si="138"/>
        <v>0</v>
      </c>
      <c r="U88" s="223">
        <f t="shared" si="138"/>
        <v>0</v>
      </c>
      <c r="V88" s="223"/>
      <c r="W88" s="223">
        <f t="shared" si="138"/>
        <v>0</v>
      </c>
      <c r="X88" s="634">
        <f t="shared" ref="X88:AB88" si="144">SUM(X84+X85)</f>
        <v>286828</v>
      </c>
      <c r="Y88" s="147">
        <f t="shared" si="144"/>
        <v>371723</v>
      </c>
      <c r="Z88" s="147">
        <f t="shared" si="144"/>
        <v>370176</v>
      </c>
      <c r="AA88" s="147">
        <f t="shared" si="144"/>
        <v>0</v>
      </c>
      <c r="AB88" s="147">
        <f t="shared" si="144"/>
        <v>0</v>
      </c>
      <c r="AC88" s="147">
        <f t="shared" ref="AC88:AD88" si="145">SUM(AC84+AC85)</f>
        <v>0</v>
      </c>
      <c r="AD88" s="147">
        <f t="shared" si="145"/>
        <v>0</v>
      </c>
      <c r="AE88" s="27"/>
    </row>
    <row r="89" spans="1:32" ht="12.75" hidden="1" customHeight="1" thickBot="1" x14ac:dyDescent="0.25">
      <c r="A89" s="838"/>
      <c r="B89" s="839" t="s">
        <v>55</v>
      </c>
      <c r="C89" s="845">
        <v>32</v>
      </c>
      <c r="D89" s="146">
        <v>28</v>
      </c>
      <c r="E89" s="146">
        <v>27</v>
      </c>
      <c r="F89" s="146">
        <v>27</v>
      </c>
      <c r="G89" s="146">
        <v>28</v>
      </c>
      <c r="H89" s="146"/>
      <c r="I89" s="146">
        <v>28</v>
      </c>
      <c r="J89" s="845">
        <v>4</v>
      </c>
      <c r="K89" s="78">
        <v>3</v>
      </c>
      <c r="L89" s="78">
        <v>3</v>
      </c>
      <c r="M89" s="78">
        <v>3</v>
      </c>
      <c r="N89" s="78">
        <v>3</v>
      </c>
      <c r="O89" s="78"/>
      <c r="P89" s="78">
        <v>3</v>
      </c>
      <c r="Q89" s="78"/>
      <c r="R89" s="78"/>
      <c r="S89" s="78"/>
      <c r="T89" s="78"/>
      <c r="U89" s="78"/>
      <c r="V89" s="78"/>
      <c r="W89" s="78"/>
      <c r="X89" s="840">
        <f>C89+J89</f>
        <v>36</v>
      </c>
      <c r="Y89" s="843">
        <v>32</v>
      </c>
      <c r="Z89" s="843">
        <f>E89+L89+1</f>
        <v>31</v>
      </c>
      <c r="AA89" s="843">
        <f>F89+M89+1</f>
        <v>31</v>
      </c>
      <c r="AB89" s="843">
        <f>G89+N89+1</f>
        <v>32</v>
      </c>
      <c r="AC89" s="843">
        <f>H89+O89+1</f>
        <v>1</v>
      </c>
      <c r="AD89" s="843">
        <f>I89+P89+1</f>
        <v>32</v>
      </c>
      <c r="AE89" s="27"/>
    </row>
    <row r="90" spans="1:32" ht="12.75" hidden="1" customHeight="1" x14ac:dyDescent="0.2">
      <c r="A90" s="838"/>
      <c r="B90" s="839"/>
      <c r="C90" s="772"/>
      <c r="D90" s="146" t="s">
        <v>830</v>
      </c>
      <c r="E90" s="146" t="s">
        <v>830</v>
      </c>
      <c r="F90" s="146" t="s">
        <v>830</v>
      </c>
      <c r="G90" s="146" t="s">
        <v>830</v>
      </c>
      <c r="H90" s="146"/>
      <c r="I90" s="146" t="s">
        <v>830</v>
      </c>
      <c r="J90" s="772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841"/>
      <c r="Y90" s="844"/>
      <c r="Z90" s="844"/>
      <c r="AA90" s="844"/>
      <c r="AB90" s="844"/>
      <c r="AC90" s="844"/>
      <c r="AD90" s="844"/>
    </row>
    <row r="91" spans="1:32" x14ac:dyDescent="0.2">
      <c r="A91" s="296"/>
      <c r="B91" s="649"/>
      <c r="C91" s="650"/>
      <c r="D91" s="243"/>
      <c r="E91" s="243"/>
      <c r="F91" s="243"/>
      <c r="G91" s="243"/>
      <c r="H91" s="243"/>
      <c r="I91" s="243"/>
      <c r="J91" s="650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651"/>
      <c r="Y91" s="652"/>
      <c r="Z91" s="652"/>
      <c r="AA91" s="652"/>
      <c r="AB91" s="652"/>
      <c r="AC91" s="652"/>
      <c r="AD91" s="652"/>
    </row>
    <row r="92" spans="1:32" x14ac:dyDescent="0.2">
      <c r="B92" s="9" t="s">
        <v>385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35"/>
      <c r="X92" s="203">
        <v>2047</v>
      </c>
      <c r="Y92" s="35">
        <v>8100</v>
      </c>
      <c r="Z92" s="35">
        <v>8100</v>
      </c>
      <c r="AA92" s="35">
        <v>2047</v>
      </c>
      <c r="AB92" s="35">
        <v>2047</v>
      </c>
      <c r="AC92" s="35">
        <v>2047</v>
      </c>
      <c r="AD92" s="35">
        <v>2047</v>
      </c>
      <c r="AF92" s="35"/>
    </row>
    <row r="93" spans="1:32" x14ac:dyDescent="0.2">
      <c r="B93" s="9" t="s">
        <v>539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35"/>
      <c r="X93" s="203">
        <v>166555</v>
      </c>
      <c r="Y93" s="35">
        <f>'2.működés'!D13</f>
        <v>217134</v>
      </c>
      <c r="Z93" s="35">
        <f>'2.működés'!F13</f>
        <v>217134</v>
      </c>
      <c r="AA93" s="35">
        <f>134735+1860+18177+11783</f>
        <v>166555</v>
      </c>
      <c r="AB93" s="35">
        <f>134735+1860+18177+11783</f>
        <v>166555</v>
      </c>
      <c r="AC93" s="35">
        <f>134735+1860+18177+11783</f>
        <v>166555</v>
      </c>
      <c r="AD93" s="35">
        <f>134735+1860+18177+11783</f>
        <v>166555</v>
      </c>
      <c r="AF93" s="35"/>
    </row>
    <row r="94" spans="1:32" x14ac:dyDescent="0.2">
      <c r="B94" s="9" t="s">
        <v>1111</v>
      </c>
      <c r="P94" s="9"/>
      <c r="X94" s="203">
        <v>0</v>
      </c>
      <c r="Y94" s="35">
        <v>6721</v>
      </c>
      <c r="Z94" s="35">
        <v>6721</v>
      </c>
      <c r="AA94" s="35"/>
      <c r="AB94" s="35"/>
      <c r="AC94" s="35"/>
      <c r="AD94" s="35"/>
      <c r="AF94" s="35"/>
    </row>
    <row r="95" spans="1:32" x14ac:dyDescent="0.2">
      <c r="B95" s="9" t="s">
        <v>367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35"/>
      <c r="X95" s="203">
        <v>1294</v>
      </c>
      <c r="Y95" s="35">
        <f>1300+10</f>
        <v>1310</v>
      </c>
      <c r="Z95" s="35">
        <f>1300+9+25+1</f>
        <v>1335</v>
      </c>
      <c r="AA95" s="35">
        <f>1120+250+(1)+(149)</f>
        <v>1520</v>
      </c>
      <c r="AB95" s="35">
        <f>1120+250+(1)+(149)</f>
        <v>1520</v>
      </c>
      <c r="AC95" s="35">
        <f>1120+250+(1)+(149)</f>
        <v>1520</v>
      </c>
      <c r="AD95" s="35">
        <f>1280+4</f>
        <v>1284</v>
      </c>
      <c r="AF95" s="35"/>
    </row>
    <row r="96" spans="1:32" x14ac:dyDescent="0.2">
      <c r="B96" s="9" t="s">
        <v>480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35"/>
      <c r="X96" s="203">
        <v>44500</v>
      </c>
      <c r="Y96" s="35">
        <f>SUM('2.működés'!D67)</f>
        <v>44500</v>
      </c>
      <c r="Z96" s="35">
        <f>SUM('2.működés'!F67)</f>
        <v>44500</v>
      </c>
      <c r="AA96" s="35">
        <f>SUM('2.működés'!H67)</f>
        <v>0</v>
      </c>
      <c r="AB96" s="35">
        <f>SUM('2.működés'!J67)</f>
        <v>0</v>
      </c>
      <c r="AC96" s="35">
        <f>SUM('2.működés'!L67)</f>
        <v>0</v>
      </c>
      <c r="AD96" s="35">
        <v>44500</v>
      </c>
      <c r="AF96" s="35"/>
    </row>
    <row r="97" spans="2:32" x14ac:dyDescent="0.2">
      <c r="B97" s="9" t="s">
        <v>479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35"/>
      <c r="X97" s="203">
        <v>5000</v>
      </c>
      <c r="Y97" s="35">
        <f>'2.működés'!D68</f>
        <v>5000</v>
      </c>
      <c r="Z97" s="35">
        <f>'2.működés'!F68</f>
        <v>5000</v>
      </c>
      <c r="AA97" s="35">
        <f>'2.működés'!H68</f>
        <v>0</v>
      </c>
      <c r="AB97" s="35">
        <f>'2.működés'!J68</f>
        <v>0</v>
      </c>
      <c r="AC97" s="35">
        <f>'2.működés'!L68</f>
        <v>0</v>
      </c>
      <c r="AD97" s="35">
        <v>5000</v>
      </c>
      <c r="AF97" s="35"/>
    </row>
    <row r="98" spans="2:32" x14ac:dyDescent="0.2">
      <c r="B98" s="9" t="s">
        <v>613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35"/>
      <c r="X98" s="203">
        <v>2030</v>
      </c>
      <c r="Y98" s="35">
        <v>9000</v>
      </c>
      <c r="Z98" s="35">
        <f>9000-1572</f>
        <v>7428</v>
      </c>
      <c r="AA98" s="35">
        <v>2030</v>
      </c>
      <c r="AB98" s="35">
        <v>2030</v>
      </c>
      <c r="AC98" s="35">
        <v>2030</v>
      </c>
      <c r="AD98" s="35">
        <v>2030</v>
      </c>
      <c r="AF98" s="35"/>
    </row>
    <row r="99" spans="2:32" ht="12.75" hidden="1" customHeigh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35"/>
      <c r="X99" s="203"/>
      <c r="Y99" s="35"/>
      <c r="Z99" s="35"/>
      <c r="AA99" s="35"/>
      <c r="AB99" s="299"/>
      <c r="AC99" s="299"/>
      <c r="AD99" s="299"/>
      <c r="AF99" s="35"/>
    </row>
    <row r="100" spans="2:32" x14ac:dyDescent="0.2">
      <c r="B100" s="298" t="s">
        <v>692</v>
      </c>
      <c r="C100" s="49"/>
      <c r="D100" s="49"/>
      <c r="E100" s="49"/>
      <c r="F100" s="49"/>
      <c r="G100" s="49"/>
      <c r="H100" s="49"/>
      <c r="I100" s="49"/>
      <c r="J100" s="49"/>
      <c r="K100" s="49"/>
      <c r="L100" s="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299"/>
      <c r="X100" s="740">
        <v>221416</v>
      </c>
      <c r="Y100" s="299">
        <f t="shared" ref="Y100:AD100" si="146">SUM(Y92:Y99)</f>
        <v>291765</v>
      </c>
      <c r="Z100" s="299">
        <f t="shared" si="146"/>
        <v>290218</v>
      </c>
      <c r="AA100" s="299">
        <f t="shared" si="146"/>
        <v>172152</v>
      </c>
      <c r="AB100" s="299">
        <f t="shared" si="146"/>
        <v>172152</v>
      </c>
      <c r="AC100" s="299">
        <f t="shared" si="146"/>
        <v>172152</v>
      </c>
      <c r="AD100" s="299">
        <f t="shared" si="146"/>
        <v>221416</v>
      </c>
      <c r="AF100" s="35"/>
    </row>
    <row r="101" spans="2:32" x14ac:dyDescent="0.2">
      <c r="B101" s="9" t="s">
        <v>296</v>
      </c>
      <c r="L101" s="9"/>
      <c r="W101" s="35"/>
      <c r="X101" s="741">
        <v>73512</v>
      </c>
      <c r="Y101" s="375">
        <f>SUM(Y88-Y100)</f>
        <v>79958</v>
      </c>
      <c r="Z101" s="375">
        <f>SUM(Z88-Z100)</f>
        <v>79958</v>
      </c>
      <c r="AA101" s="375">
        <f>SUM(AA88-AA100)</f>
        <v>-172152</v>
      </c>
      <c r="AB101" s="375">
        <f>SUM(AB88-AB100)</f>
        <v>-172152</v>
      </c>
      <c r="AC101" s="375">
        <f>SUM(AC88-AC100)</f>
        <v>-172152</v>
      </c>
      <c r="AD101" s="375">
        <v>73512</v>
      </c>
      <c r="AE101"/>
      <c r="AF101" s="35"/>
    </row>
    <row r="102" spans="2:32" x14ac:dyDescent="0.2">
      <c r="B102" s="9" t="s">
        <v>663</v>
      </c>
      <c r="L102" s="9"/>
      <c r="X102" s="203">
        <v>240067</v>
      </c>
      <c r="Y102" s="73">
        <f>Y93+Y101+Y94</f>
        <v>303813</v>
      </c>
      <c r="Z102" s="73">
        <f>Z93+Z101+Z94</f>
        <v>303813</v>
      </c>
      <c r="AA102" s="73">
        <f t="shared" ref="AA102:AD102" si="147">AA93+AA101</f>
        <v>-5597</v>
      </c>
      <c r="AB102" s="73">
        <f t="shared" si="147"/>
        <v>-5597</v>
      </c>
      <c r="AC102" s="73">
        <f t="shared" si="147"/>
        <v>-5597</v>
      </c>
      <c r="AD102" s="73">
        <f t="shared" si="147"/>
        <v>240067</v>
      </c>
      <c r="AE102"/>
      <c r="AF102" s="35"/>
    </row>
    <row r="103" spans="2:32" x14ac:dyDescent="0.2">
      <c r="K103" s="73"/>
      <c r="AA103" s="73"/>
      <c r="AB103" s="73"/>
      <c r="AC103" s="73"/>
      <c r="AD103" s="73"/>
    </row>
    <row r="104" spans="2:32" x14ac:dyDescent="0.2">
      <c r="B104" s="485"/>
      <c r="C104" s="73"/>
      <c r="D104" s="73"/>
      <c r="K104" s="73"/>
      <c r="AD104" s="73">
        <f>AD92+AD93+AD95+AD96+AD97+AD98+AD101-AD88</f>
        <v>294928</v>
      </c>
    </row>
    <row r="105" spans="2:32" hidden="1" x14ac:dyDescent="0.2">
      <c r="C105" s="73"/>
      <c r="D105" s="73">
        <f>(D26+D28+D34+D35+D36+D37+D38+D39+D40+D44+D45+D46+D47+D48+D53+D55+D56+D57+D62+D63+D65+D71+(D77-1600))*0.27</f>
        <v>2847.69</v>
      </c>
      <c r="E105" s="73">
        <f>(E26+E28+E34+E35+E36+E37+E38+E39+E44+E45+E46+E47+E48+E53+E55+E56+E57+E62+E63+E65+(E67-6700+3897-2465)+E71+(E77-1700))*0.27</f>
        <v>3291.03</v>
      </c>
      <c r="F105" s="73">
        <f>(F26+F28+F34+F35+F36+F37+F38+F39+F44+F45+F46+F47+F48+F53+F55+F56+F57+F62+F63+F65+F67+F71+(F77-1600))*0.27</f>
        <v>-432</v>
      </c>
      <c r="G105" s="73">
        <f>(G26+G28+G34+G35+G36+G37+G38+G39+G44+G45+G46+G47+G48+G53+G55+G56+G57+G62+G63+G65+G67+G71+(G77-1600))*0.27</f>
        <v>-432</v>
      </c>
      <c r="H105" s="73"/>
      <c r="I105" s="73">
        <f>(I26+I28+I34+I35+I36+I37+I38+I39+I44+I45+I46+I47+I48+I53+I55+I56+I57+I62+I63+I65+I67+I71+(I77-1600))*0.27</f>
        <v>-432</v>
      </c>
      <c r="J105" s="73"/>
      <c r="K105" s="73">
        <f>(K26+K28+K34+K35+K36+K37+K38+K39+K44+K45+K46+K47+K48+K53+K55+K56+K57+K62+K63+K65+K66+K71+(K77))*0.27</f>
        <v>635.85</v>
      </c>
      <c r="L105" s="73">
        <f>(L26+L28+L34+L35+L36+L37+L38+L39+L44+L45+L47+L48+L53+L55+L56+L57+L62+L63+L65+L71+(L77))*0.27</f>
        <v>89.100000000000009</v>
      </c>
      <c r="M105" s="73">
        <f>(M26+M28+M34+M35+M36+M37+M38+M39+M44+M45+M47+M48+M53+M55+M56+M57+M62+M63+M65+M71+(M77))*0.27</f>
        <v>0</v>
      </c>
      <c r="N105" s="73">
        <f>(N26+N28+N34+N35+N36+N37+N38+N39+N44+N45+N47+N48+N53+N55+N56+N57+N62+N63+N65+N71+(N77))*0.27</f>
        <v>0</v>
      </c>
      <c r="O105" s="73"/>
      <c r="P105" s="73">
        <f>(P26+P28+P34+P35+P36+P37+P38+P39+P44+P45+P47+P48+P53+P55+P56+P57+P62+P63+P65+P71+(P77))*0.27</f>
        <v>0</v>
      </c>
    </row>
    <row r="106" spans="2:32" x14ac:dyDescent="0.2">
      <c r="Y106" s="73"/>
    </row>
    <row r="108" spans="2:32" x14ac:dyDescent="0.2">
      <c r="C108" s="488"/>
      <c r="D108" s="488"/>
    </row>
    <row r="109" spans="2:32" x14ac:dyDescent="0.2">
      <c r="C109" s="488"/>
      <c r="D109" s="488"/>
    </row>
    <row r="149" spans="31:31" x14ac:dyDescent="0.2">
      <c r="AE149" s="9">
        <f>(AE32+AE40+AE41+AE42+AE43+AE44+AE45+AE47+AE48+AE50+AE51+AE53+AE54+AE55+AE56+AE57+AE58+AE59+AE60+AE73+AE84+AE85+AE86+AE90+(AE99-1000))*0.27+J147</f>
        <v>-270</v>
      </c>
    </row>
  </sheetData>
  <mergeCells count="20">
    <mergeCell ref="A4:AD4"/>
    <mergeCell ref="A5:AD5"/>
    <mergeCell ref="A8:A9"/>
    <mergeCell ref="B8:B9"/>
    <mergeCell ref="C8:I8"/>
    <mergeCell ref="J8:P8"/>
    <mergeCell ref="Q8:W8"/>
    <mergeCell ref="X8:AD8"/>
    <mergeCell ref="A89:A90"/>
    <mergeCell ref="B89:B90"/>
    <mergeCell ref="X89:X90"/>
    <mergeCell ref="A6:AD6"/>
    <mergeCell ref="Z89:Z90"/>
    <mergeCell ref="AA89:AA90"/>
    <mergeCell ref="AB89:AB90"/>
    <mergeCell ref="AD89:AD90"/>
    <mergeCell ref="C89:C90"/>
    <mergeCell ref="J89:J90"/>
    <mergeCell ref="AC89:AC90"/>
    <mergeCell ref="Y89:Y90"/>
  </mergeCells>
  <phoneticPr fontId="14" type="noConversion"/>
  <pageMargins left="0.35433070866141736" right="0" top="0.19685039370078741" bottom="0.15748031496062992" header="0.19685039370078741" footer="0.15748031496062992"/>
  <pageSetup paperSize="9" scale="5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F86"/>
  <sheetViews>
    <sheetView zoomScaleNormal="100" workbookViewId="0">
      <selection activeCell="D31" sqref="D31:E31"/>
    </sheetView>
  </sheetViews>
  <sheetFormatPr defaultRowHeight="12.75" x14ac:dyDescent="0.2"/>
  <cols>
    <col min="1" max="1" width="44.85546875" customWidth="1"/>
    <col min="2" max="2" width="12.7109375" customWidth="1"/>
    <col min="3" max="3" width="12.7109375" style="91" customWidth="1"/>
    <col min="4" max="8" width="10.140625" customWidth="1"/>
    <col min="9" max="13" width="10.28515625" customWidth="1"/>
    <col min="14" max="14" width="12.7109375" customWidth="1"/>
    <col min="15" max="15" width="6.7109375" customWidth="1"/>
    <col min="16" max="17" width="12.7109375" customWidth="1"/>
    <col min="18" max="18" width="10.28515625" customWidth="1"/>
  </cols>
  <sheetData>
    <row r="1" spans="1:32" x14ac:dyDescent="0.2">
      <c r="A1" s="3"/>
      <c r="B1" s="3"/>
      <c r="C1" s="3"/>
      <c r="D1" s="3"/>
      <c r="E1" s="3"/>
      <c r="F1" s="3"/>
      <c r="G1" s="3"/>
      <c r="H1" s="3"/>
      <c r="J1" s="81"/>
      <c r="K1" s="81"/>
      <c r="L1" s="81"/>
      <c r="M1" s="81"/>
      <c r="N1" s="81" t="s">
        <v>504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x14ac:dyDescent="0.2">
      <c r="A2" s="82"/>
      <c r="B2" s="3"/>
      <c r="C2" s="83"/>
      <c r="D2" s="3"/>
      <c r="E2" s="3"/>
      <c r="F2" s="3"/>
      <c r="G2" s="3"/>
      <c r="H2" s="3"/>
      <c r="I2" s="363"/>
      <c r="J2" s="84"/>
      <c r="K2" s="84"/>
      <c r="L2" s="84"/>
      <c r="M2" s="84"/>
      <c r="N2" s="171" t="str">
        <f>'1.Bev-kiad.'!F2</f>
        <v>a 12/2026.(X.2.) önkormányzati rendelethez</v>
      </c>
      <c r="O2" s="3"/>
      <c r="P2" s="3"/>
      <c r="Q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2">
      <c r="A3" s="82"/>
      <c r="B3" s="3"/>
      <c r="C3" s="83"/>
      <c r="D3" s="3"/>
      <c r="E3" s="3"/>
      <c r="F3" s="3"/>
      <c r="G3" s="3"/>
      <c r="H3" s="3"/>
      <c r="I3" s="363"/>
      <c r="J3" s="84"/>
      <c r="K3" s="84"/>
      <c r="L3" s="84"/>
      <c r="M3" s="84"/>
      <c r="N3" s="171" t="s">
        <v>1144</v>
      </c>
      <c r="O3" s="3"/>
      <c r="P3" s="3"/>
      <c r="Q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ht="15" x14ac:dyDescent="0.2">
      <c r="A4" s="873" t="s">
        <v>23</v>
      </c>
      <c r="B4" s="874"/>
      <c r="C4" s="874"/>
      <c r="D4" s="874"/>
      <c r="E4" s="874"/>
      <c r="F4" s="874"/>
      <c r="G4" s="52"/>
      <c r="H4" s="52"/>
      <c r="I4" s="84"/>
      <c r="J4" s="84"/>
      <c r="K4" s="331"/>
      <c r="L4" s="86"/>
      <c r="M4" s="86"/>
      <c r="N4" s="52"/>
      <c r="O4" s="52"/>
      <c r="P4" s="52"/>
      <c r="Q4" s="52"/>
      <c r="R4" s="3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</row>
    <row r="5" spans="1:32" ht="15" x14ac:dyDescent="0.2">
      <c r="A5" s="873" t="s">
        <v>667</v>
      </c>
      <c r="B5" s="874"/>
      <c r="C5" s="874"/>
      <c r="D5" s="874"/>
      <c r="E5" s="874"/>
      <c r="F5" s="874"/>
      <c r="G5" s="52"/>
      <c r="H5" s="52"/>
      <c r="I5" s="84"/>
      <c r="J5" s="84"/>
      <c r="K5" s="331"/>
      <c r="L5" s="86"/>
      <c r="M5" s="86"/>
      <c r="N5" s="52"/>
      <c r="O5" s="52"/>
      <c r="P5" s="52"/>
      <c r="Q5" s="3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</row>
    <row r="6" spans="1:32" x14ac:dyDescent="0.2">
      <c r="A6" s="3"/>
      <c r="B6" s="3"/>
      <c r="C6" s="83"/>
      <c r="D6" s="52"/>
      <c r="E6" s="52"/>
      <c r="F6" s="81" t="s">
        <v>24</v>
      </c>
      <c r="G6" s="52"/>
      <c r="H6" s="52"/>
      <c r="J6" s="81"/>
      <c r="L6" s="87"/>
      <c r="M6" s="87"/>
      <c r="N6" s="52"/>
      <c r="O6" s="52"/>
      <c r="P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</row>
    <row r="7" spans="1:32" ht="42.75" x14ac:dyDescent="0.2">
      <c r="A7" s="342" t="s">
        <v>332</v>
      </c>
      <c r="B7" s="341" t="s">
        <v>1079</v>
      </c>
      <c r="C7" s="347">
        <v>2026</v>
      </c>
      <c r="D7" s="347">
        <v>2027</v>
      </c>
      <c r="E7" s="347">
        <v>2028</v>
      </c>
      <c r="F7" s="347">
        <v>2029</v>
      </c>
      <c r="G7" s="346"/>
      <c r="H7" s="270"/>
      <c r="I7" s="270"/>
      <c r="J7" s="270"/>
      <c r="K7" s="270"/>
      <c r="L7" s="270"/>
      <c r="M7" s="270"/>
      <c r="N7" s="270"/>
    </row>
    <row r="8" spans="1:32" ht="15" customHeight="1" x14ac:dyDescent="0.2">
      <c r="A8" s="381" t="s">
        <v>60</v>
      </c>
      <c r="B8" s="348">
        <f>B9</f>
        <v>182961</v>
      </c>
      <c r="C8" s="348">
        <f>C9</f>
        <v>748528</v>
      </c>
      <c r="D8" s="349" t="s">
        <v>62</v>
      </c>
      <c r="E8" s="349" t="s">
        <v>62</v>
      </c>
      <c r="F8" s="38" t="s">
        <v>62</v>
      </c>
      <c r="G8" s="270"/>
      <c r="H8" s="270"/>
      <c r="I8" s="343"/>
      <c r="J8" s="343"/>
      <c r="K8" s="270"/>
      <c r="L8" s="270"/>
      <c r="M8" s="270"/>
      <c r="N8" s="270"/>
    </row>
    <row r="9" spans="1:32" x14ac:dyDescent="0.2">
      <c r="A9" s="382" t="s">
        <v>739</v>
      </c>
      <c r="B9" s="138">
        <v>182961</v>
      </c>
      <c r="C9" s="138">
        <v>748528</v>
      </c>
      <c r="D9" s="349" t="s">
        <v>62</v>
      </c>
      <c r="E9" s="349" t="s">
        <v>62</v>
      </c>
      <c r="F9" s="38" t="s">
        <v>62</v>
      </c>
      <c r="G9" s="270"/>
      <c r="H9" s="270"/>
      <c r="I9" s="343"/>
      <c r="J9" s="343"/>
      <c r="K9" s="270"/>
      <c r="L9" s="270"/>
      <c r="M9" s="270"/>
      <c r="N9" s="185"/>
    </row>
    <row r="10" spans="1:32" ht="17.25" customHeight="1" x14ac:dyDescent="0.2">
      <c r="A10" s="376" t="s">
        <v>61</v>
      </c>
      <c r="B10" s="174">
        <f>SUM(B11)+B12</f>
        <v>142561</v>
      </c>
      <c r="C10" s="174">
        <f>SUM(C11)+C12</f>
        <v>93913</v>
      </c>
      <c r="D10" s="350" t="s">
        <v>62</v>
      </c>
      <c r="E10" s="350" t="s">
        <v>62</v>
      </c>
      <c r="F10" s="332" t="s">
        <v>62</v>
      </c>
      <c r="G10" s="270"/>
      <c r="H10" s="270"/>
      <c r="I10" s="343"/>
      <c r="J10" s="343"/>
      <c r="K10" s="270"/>
      <c r="L10" s="270"/>
      <c r="M10" s="270"/>
      <c r="N10" s="343"/>
    </row>
    <row r="11" spans="1:32" ht="26.25" hidden="1" customHeight="1" x14ac:dyDescent="0.2">
      <c r="A11" s="382" t="s">
        <v>746</v>
      </c>
      <c r="B11" s="290">
        <v>0</v>
      </c>
      <c r="C11" s="138">
        <v>0</v>
      </c>
      <c r="D11" s="349" t="s">
        <v>62</v>
      </c>
      <c r="E11" s="349" t="s">
        <v>62</v>
      </c>
      <c r="F11" s="38" t="s">
        <v>62</v>
      </c>
      <c r="G11" s="270"/>
      <c r="H11" s="270"/>
      <c r="I11" s="343"/>
      <c r="J11" s="343"/>
      <c r="K11" s="270"/>
      <c r="L11" s="270"/>
      <c r="M11" s="270"/>
      <c r="N11" s="344"/>
    </row>
    <row r="12" spans="1:32" ht="27.75" customHeight="1" x14ac:dyDescent="0.2">
      <c r="A12" s="382" t="s">
        <v>669</v>
      </c>
      <c r="B12" s="290">
        <f>667+142057-163</f>
        <v>142561</v>
      </c>
      <c r="C12" s="138">
        <v>93913</v>
      </c>
      <c r="D12" s="38" t="s">
        <v>62</v>
      </c>
      <c r="E12" s="38" t="s">
        <v>62</v>
      </c>
      <c r="F12" s="38" t="s">
        <v>62</v>
      </c>
      <c r="G12" s="344"/>
      <c r="H12" s="270"/>
      <c r="I12" s="344"/>
      <c r="J12" s="344"/>
      <c r="K12" s="344"/>
      <c r="L12" s="344"/>
      <c r="M12" s="344"/>
      <c r="N12" s="344"/>
    </row>
    <row r="13" spans="1:32" ht="15.75" customHeight="1" x14ac:dyDescent="0.2">
      <c r="A13" s="376" t="s">
        <v>63</v>
      </c>
      <c r="B13" s="406">
        <v>0</v>
      </c>
      <c r="C13" s="406">
        <v>0</v>
      </c>
      <c r="D13" s="350" t="s">
        <v>62</v>
      </c>
      <c r="E13" s="350" t="s">
        <v>62</v>
      </c>
      <c r="F13" s="332" t="s">
        <v>62</v>
      </c>
      <c r="G13" s="343"/>
      <c r="H13" s="343"/>
      <c r="I13" s="343"/>
      <c r="J13" s="343"/>
      <c r="K13" s="343"/>
      <c r="L13" s="343"/>
      <c r="M13" s="343"/>
      <c r="N13" s="343"/>
    </row>
    <row r="14" spans="1:32" x14ac:dyDescent="0.2">
      <c r="A14" s="377" t="s">
        <v>62</v>
      </c>
      <c r="B14" s="138">
        <v>0</v>
      </c>
      <c r="C14" s="138">
        <v>0</v>
      </c>
      <c r="D14" s="349" t="s">
        <v>62</v>
      </c>
      <c r="E14" s="349" t="s">
        <v>62</v>
      </c>
      <c r="F14" s="38" t="s">
        <v>62</v>
      </c>
      <c r="G14" s="344"/>
      <c r="H14" s="344"/>
      <c r="I14" s="344"/>
      <c r="J14" s="344"/>
      <c r="K14" s="344"/>
      <c r="L14" s="344"/>
      <c r="M14" s="344"/>
      <c r="N14" s="344"/>
    </row>
    <row r="15" spans="1:32" x14ac:dyDescent="0.2">
      <c r="A15" s="376" t="s">
        <v>43</v>
      </c>
      <c r="B15" s="99">
        <f>SUM(B8+B10)</f>
        <v>325522</v>
      </c>
      <c r="C15" s="99">
        <f>SUM(C8+C10)</f>
        <v>842441</v>
      </c>
      <c r="D15" s="349" t="s">
        <v>62</v>
      </c>
      <c r="E15" s="349" t="s">
        <v>62</v>
      </c>
      <c r="F15" s="38" t="s">
        <v>62</v>
      </c>
      <c r="G15" s="345"/>
      <c r="H15" s="345"/>
      <c r="I15" s="345"/>
      <c r="J15" s="345"/>
      <c r="K15" s="345"/>
      <c r="L15" s="345"/>
      <c r="M15" s="345"/>
      <c r="N15" s="345"/>
    </row>
    <row r="16" spans="1:32" x14ac:dyDescent="0.2">
      <c r="A16" s="3"/>
      <c r="B16" s="3"/>
      <c r="C16" s="3"/>
      <c r="D16" s="175"/>
      <c r="E16" s="175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</row>
    <row r="17" spans="1:17" ht="12.95" customHeight="1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7" ht="16.5" customHeight="1" x14ac:dyDescent="0.2">
      <c r="A18" s="877" t="s">
        <v>505</v>
      </c>
      <c r="B18" s="877"/>
      <c r="C18" s="877"/>
      <c r="D18" s="877"/>
      <c r="E18" s="877"/>
      <c r="F18" s="877"/>
      <c r="G18" s="877"/>
      <c r="H18" s="877"/>
      <c r="I18" s="877"/>
      <c r="J18" s="877"/>
      <c r="K18" s="877"/>
      <c r="L18" s="877"/>
      <c r="M18" s="877"/>
      <c r="N18" s="877"/>
    </row>
    <row r="19" spans="1:17" ht="12.95" customHeight="1" x14ac:dyDescent="0.2">
      <c r="A19" s="873" t="s">
        <v>1076</v>
      </c>
      <c r="B19" s="874"/>
      <c r="C19" s="874"/>
      <c r="D19" s="874"/>
      <c r="E19" s="874"/>
      <c r="F19" s="874"/>
      <c r="G19" s="874"/>
      <c r="H19" s="874"/>
      <c r="I19" s="874"/>
      <c r="J19" s="874"/>
      <c r="K19" s="874"/>
      <c r="L19" s="874"/>
      <c r="M19" s="874"/>
      <c r="N19" s="874"/>
    </row>
    <row r="20" spans="1:17" ht="12.95" customHeight="1" x14ac:dyDescent="0.2">
      <c r="A20" s="3"/>
      <c r="B20" s="3"/>
      <c r="C20" s="83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1" t="s">
        <v>0</v>
      </c>
    </row>
    <row r="21" spans="1:17" ht="17.25" customHeight="1" x14ac:dyDescent="0.2">
      <c r="A21" s="878" t="s">
        <v>488</v>
      </c>
      <c r="B21" s="878" t="s">
        <v>64</v>
      </c>
      <c r="C21" s="878" t="s">
        <v>65</v>
      </c>
      <c r="D21" s="855" t="s">
        <v>475</v>
      </c>
      <c r="E21" s="855"/>
      <c r="F21" s="855"/>
      <c r="G21" s="855"/>
      <c r="H21" s="855"/>
      <c r="I21" s="855"/>
      <c r="J21" s="855"/>
      <c r="K21" s="855"/>
      <c r="L21" s="287"/>
      <c r="M21" s="287"/>
      <c r="N21" s="867" t="s">
        <v>43</v>
      </c>
    </row>
    <row r="22" spans="1:17" ht="33.75" customHeight="1" x14ac:dyDescent="0.2">
      <c r="A22" s="878"/>
      <c r="B22" s="878"/>
      <c r="C22" s="878"/>
      <c r="D22" s="853">
        <v>2026</v>
      </c>
      <c r="E22" s="854"/>
      <c r="F22" s="853">
        <v>2027</v>
      </c>
      <c r="G22" s="854"/>
      <c r="H22" s="853">
        <v>2028</v>
      </c>
      <c r="I22" s="854"/>
      <c r="J22" s="853">
        <v>2029</v>
      </c>
      <c r="K22" s="854"/>
      <c r="L22" s="855" t="s">
        <v>1077</v>
      </c>
      <c r="M22" s="856"/>
      <c r="N22" s="867"/>
    </row>
    <row r="23" spans="1:17" ht="15.75" customHeight="1" x14ac:dyDescent="0.2">
      <c r="A23" s="879"/>
      <c r="B23" s="879"/>
      <c r="C23" s="879"/>
      <c r="D23" s="114" t="s">
        <v>489</v>
      </c>
      <c r="E23" s="114" t="s">
        <v>490</v>
      </c>
      <c r="F23" s="114" t="s">
        <v>489</v>
      </c>
      <c r="G23" s="114" t="s">
        <v>490</v>
      </c>
      <c r="H23" s="114" t="s">
        <v>489</v>
      </c>
      <c r="I23" s="114" t="s">
        <v>490</v>
      </c>
      <c r="J23" s="114" t="s">
        <v>489</v>
      </c>
      <c r="K23" s="114" t="s">
        <v>490</v>
      </c>
      <c r="L23" s="114" t="s">
        <v>489</v>
      </c>
      <c r="M23" s="114" t="s">
        <v>490</v>
      </c>
      <c r="N23" s="868"/>
    </row>
    <row r="24" spans="1:17" ht="24.75" customHeight="1" x14ac:dyDescent="0.2">
      <c r="A24" s="289" t="s">
        <v>491</v>
      </c>
      <c r="B24" s="25">
        <v>2019</v>
      </c>
      <c r="C24" s="290">
        <v>100000</v>
      </c>
      <c r="D24" s="115">
        <f>2600*4</f>
        <v>10400</v>
      </c>
      <c r="E24" s="115">
        <v>1994</v>
      </c>
      <c r="F24" s="138">
        <v>10400</v>
      </c>
      <c r="G24" s="138">
        <v>1142</v>
      </c>
      <c r="H24" s="138">
        <v>6400</v>
      </c>
      <c r="I24" s="138">
        <v>252</v>
      </c>
      <c r="J24" s="138">
        <v>0</v>
      </c>
      <c r="K24" s="138">
        <v>0</v>
      </c>
      <c r="L24" s="138">
        <v>0</v>
      </c>
      <c r="M24" s="138">
        <v>0</v>
      </c>
      <c r="N24" s="38">
        <f>SUM(D24:M24)</f>
        <v>30588</v>
      </c>
      <c r="O24" s="857"/>
    </row>
    <row r="25" spans="1:17" x14ac:dyDescent="0.2">
      <c r="A25" s="57" t="s">
        <v>492</v>
      </c>
      <c r="B25" s="59">
        <v>2019</v>
      </c>
      <c r="C25" s="290">
        <v>100000</v>
      </c>
      <c r="D25" s="115">
        <v>8968</v>
      </c>
      <c r="E25" s="115">
        <v>2596</v>
      </c>
      <c r="F25" s="138">
        <v>8968</v>
      </c>
      <c r="G25" s="57">
        <v>1887</v>
      </c>
      <c r="H25" s="138">
        <v>8968</v>
      </c>
      <c r="I25" s="57">
        <v>1096</v>
      </c>
      <c r="J25" s="138">
        <v>6723</v>
      </c>
      <c r="K25" s="57">
        <v>296</v>
      </c>
      <c r="L25" s="57">
        <v>0</v>
      </c>
      <c r="M25" s="57">
        <v>0</v>
      </c>
      <c r="N25" s="38">
        <f t="shared" ref="N25:N28" si="0">SUM(D25:M25)</f>
        <v>39502</v>
      </c>
      <c r="O25" s="857"/>
    </row>
    <row r="26" spans="1:17" ht="12.95" customHeight="1" x14ac:dyDescent="0.2">
      <c r="A26" s="57" t="s">
        <v>605</v>
      </c>
      <c r="B26" s="59">
        <v>2022</v>
      </c>
      <c r="C26" s="290">
        <v>342000</v>
      </c>
      <c r="D26" s="115">
        <f>9500*4</f>
        <v>38000</v>
      </c>
      <c r="E26" s="115">
        <v>7569</v>
      </c>
      <c r="F26" s="138">
        <v>38000</v>
      </c>
      <c r="G26" s="57">
        <v>5932</v>
      </c>
      <c r="H26" s="138">
        <v>38000</v>
      </c>
      <c r="I26" s="57">
        <v>4308</v>
      </c>
      <c r="J26" s="138">
        <v>38000</v>
      </c>
      <c r="K26" s="57">
        <v>2657</v>
      </c>
      <c r="L26" s="57">
        <v>38000</v>
      </c>
      <c r="M26" s="57">
        <v>1019</v>
      </c>
      <c r="N26" s="38">
        <f t="shared" si="0"/>
        <v>211485</v>
      </c>
    </row>
    <row r="27" spans="1:17" ht="12.95" customHeight="1" x14ac:dyDescent="0.2">
      <c r="A27" s="57" t="s">
        <v>745</v>
      </c>
      <c r="B27" s="59">
        <v>2024</v>
      </c>
      <c r="C27" s="290">
        <v>299586</v>
      </c>
      <c r="D27" s="115">
        <v>36842</v>
      </c>
      <c r="E27" s="115">
        <v>19013</v>
      </c>
      <c r="F27" s="138">
        <v>36842</v>
      </c>
      <c r="G27" s="57">
        <v>16356</v>
      </c>
      <c r="H27" s="138">
        <v>36842</v>
      </c>
      <c r="I27" s="57">
        <v>13127</v>
      </c>
      <c r="J27" s="138">
        <v>36842</v>
      </c>
      <c r="K27" s="57">
        <v>9819</v>
      </c>
      <c r="L27" s="57">
        <v>87744</v>
      </c>
      <c r="M27" s="57">
        <v>9946</v>
      </c>
      <c r="N27" s="38">
        <f t="shared" si="0"/>
        <v>303373</v>
      </c>
    </row>
    <row r="28" spans="1:17" ht="12.95" customHeight="1" x14ac:dyDescent="0.2">
      <c r="A28" s="89" t="s">
        <v>43</v>
      </c>
      <c r="B28" s="60"/>
      <c r="C28" s="174">
        <f>SUM(C24:C27)</f>
        <v>841586</v>
      </c>
      <c r="D28" s="520">
        <f>SUM(D24:D27)</f>
        <v>94210</v>
      </c>
      <c r="E28" s="520">
        <f>SUM(E24:E27)</f>
        <v>31172</v>
      </c>
      <c r="F28" s="406">
        <f t="shared" ref="F28:K28" si="1">SUM(F24:F27)</f>
        <v>94210</v>
      </c>
      <c r="G28" s="406">
        <f t="shared" si="1"/>
        <v>25317</v>
      </c>
      <c r="H28" s="406">
        <f t="shared" si="1"/>
        <v>90210</v>
      </c>
      <c r="I28" s="521">
        <f t="shared" si="1"/>
        <v>18783</v>
      </c>
      <c r="J28" s="406">
        <f t="shared" si="1"/>
        <v>81565</v>
      </c>
      <c r="K28" s="406">
        <f t="shared" si="1"/>
        <v>12772</v>
      </c>
      <c r="L28" s="406">
        <f>SUM(L24:L27)</f>
        <v>125744</v>
      </c>
      <c r="M28" s="406">
        <f>SUM(M24:M27)</f>
        <v>10965</v>
      </c>
      <c r="N28" s="332">
        <f t="shared" si="0"/>
        <v>584948</v>
      </c>
      <c r="O28" s="203"/>
      <c r="P28" s="73"/>
      <c r="Q28" s="73"/>
    </row>
    <row r="29" spans="1:17" ht="22.5" customHeight="1" x14ac:dyDescent="0.2">
      <c r="A29" s="858" t="s">
        <v>320</v>
      </c>
      <c r="B29" s="859"/>
      <c r="C29" s="860"/>
      <c r="D29" s="855" t="s">
        <v>331</v>
      </c>
      <c r="E29" s="855"/>
      <c r="F29" s="855"/>
      <c r="G29" s="855"/>
      <c r="H29" s="855"/>
      <c r="I29" s="855"/>
      <c r="J29" s="855"/>
      <c r="K29" s="855"/>
      <c r="L29" s="287"/>
      <c r="M29" s="287"/>
      <c r="N29" s="867" t="s">
        <v>43</v>
      </c>
    </row>
    <row r="30" spans="1:17" ht="21.75" customHeight="1" x14ac:dyDescent="0.2">
      <c r="A30" s="861"/>
      <c r="B30" s="862"/>
      <c r="C30" s="863"/>
      <c r="D30" s="869">
        <f>D22</f>
        <v>2026</v>
      </c>
      <c r="E30" s="870"/>
      <c r="F30" s="871">
        <f>F22</f>
        <v>2027</v>
      </c>
      <c r="G30" s="872"/>
      <c r="H30" s="871">
        <f t="shared" ref="H30" si="2">H22</f>
        <v>2028</v>
      </c>
      <c r="I30" s="872"/>
      <c r="J30" s="871">
        <f t="shared" ref="J30" si="3">J22</f>
        <v>2029</v>
      </c>
      <c r="K30" s="872"/>
      <c r="L30" s="871" t="str">
        <f t="shared" ref="L30" si="4">L22</f>
        <v>2030 és további évek</v>
      </c>
      <c r="M30" s="872"/>
      <c r="N30" s="868"/>
    </row>
    <row r="31" spans="1:17" ht="12.95" customHeight="1" x14ac:dyDescent="0.2">
      <c r="A31" s="864"/>
      <c r="B31" s="865"/>
      <c r="C31" s="866"/>
      <c r="D31" s="851">
        <f>('2.működés'!D81+'2.működés'!D82+'2.működés'!D83+'2.működés'!D85+'2.működés'!D87+'2.működés'!D88+'2.működés'!D97+'3.felh'!D28)/2</f>
        <v>458836</v>
      </c>
      <c r="E31" s="852"/>
      <c r="F31" s="875">
        <v>444000</v>
      </c>
      <c r="G31" s="876"/>
      <c r="H31" s="875">
        <v>444000</v>
      </c>
      <c r="I31" s="876"/>
      <c r="J31" s="875">
        <v>444000</v>
      </c>
      <c r="K31" s="876"/>
      <c r="L31" s="875">
        <f>(444000*6)</f>
        <v>2664000</v>
      </c>
      <c r="M31" s="876"/>
      <c r="N31" s="38">
        <f>SUM(D31:M31)</f>
        <v>4454836</v>
      </c>
    </row>
    <row r="32" spans="1:17" ht="12.95" customHeight="1" x14ac:dyDescent="0.2">
      <c r="B32" s="73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  <row r="33" spans="2:11" ht="12.95" customHeight="1" x14ac:dyDescent="0.2">
      <c r="B33" s="73"/>
      <c r="C33" s="90"/>
      <c r="D33" s="90"/>
      <c r="E33" s="90"/>
      <c r="F33" s="90"/>
      <c r="G33" s="73"/>
      <c r="H33" s="73"/>
      <c r="I33" s="73"/>
      <c r="K33" s="73"/>
    </row>
    <row r="34" spans="2:11" ht="12.95" customHeight="1" x14ac:dyDescent="0.2">
      <c r="B34" s="73"/>
      <c r="C34" s="90"/>
      <c r="D34" s="851">
        <v>458836</v>
      </c>
      <c r="E34" s="852"/>
      <c r="F34" s="90"/>
    </row>
    <row r="35" spans="2:11" ht="12.95" customHeight="1" x14ac:dyDescent="0.2">
      <c r="B35" s="73"/>
      <c r="C35" s="90"/>
      <c r="F35" s="73"/>
    </row>
    <row r="36" spans="2:11" ht="12.95" customHeight="1" x14ac:dyDescent="0.2">
      <c r="B36" s="73"/>
      <c r="C36" s="90"/>
      <c r="F36" s="73"/>
    </row>
    <row r="37" spans="2:11" ht="12.95" customHeight="1" x14ac:dyDescent="0.2">
      <c r="B37" s="73"/>
      <c r="C37" s="90"/>
      <c r="F37" s="73"/>
    </row>
    <row r="38" spans="2:11" ht="12.95" customHeight="1" x14ac:dyDescent="0.2">
      <c r="B38" s="73"/>
      <c r="C38" s="90"/>
      <c r="F38" s="73"/>
    </row>
    <row r="39" spans="2:11" ht="12.95" customHeight="1" x14ac:dyDescent="0.2">
      <c r="B39" s="73"/>
      <c r="C39" s="90"/>
      <c r="F39" s="73"/>
    </row>
    <row r="40" spans="2:11" ht="12.95" customHeight="1" x14ac:dyDescent="0.2">
      <c r="B40" s="73"/>
      <c r="C40" s="90"/>
      <c r="F40" s="73"/>
    </row>
    <row r="41" spans="2:11" ht="12.95" customHeight="1" x14ac:dyDescent="0.2">
      <c r="B41" s="73"/>
      <c r="C41" s="90"/>
      <c r="F41" s="73"/>
    </row>
    <row r="42" spans="2:11" ht="12.95" customHeight="1" x14ac:dyDescent="0.2">
      <c r="B42" s="73"/>
      <c r="C42" s="90"/>
      <c r="F42" s="73"/>
    </row>
    <row r="43" spans="2:11" ht="12.95" customHeight="1" x14ac:dyDescent="0.2">
      <c r="B43" s="73"/>
      <c r="C43" s="90"/>
      <c r="F43" s="73"/>
    </row>
    <row r="44" spans="2:11" ht="12.95" customHeight="1" x14ac:dyDescent="0.2">
      <c r="B44" s="73"/>
      <c r="C44" s="90"/>
      <c r="F44" s="73"/>
    </row>
    <row r="45" spans="2:11" ht="12.95" customHeight="1" x14ac:dyDescent="0.2">
      <c r="B45" s="73"/>
      <c r="C45" s="90"/>
      <c r="F45" s="73"/>
    </row>
    <row r="46" spans="2:11" ht="12.95" customHeight="1" x14ac:dyDescent="0.2">
      <c r="B46" s="73"/>
      <c r="C46" s="90"/>
      <c r="F46" s="73"/>
    </row>
    <row r="47" spans="2:11" ht="12.95" customHeight="1" x14ac:dyDescent="0.2">
      <c r="B47" s="73"/>
      <c r="C47" s="90"/>
      <c r="F47" s="73"/>
    </row>
    <row r="48" spans="2:11" ht="12.95" customHeight="1" x14ac:dyDescent="0.2">
      <c r="B48" s="73"/>
      <c r="C48" s="90"/>
      <c r="F48" s="73"/>
    </row>
    <row r="49" spans="2:6" ht="12.95" customHeight="1" x14ac:dyDescent="0.2">
      <c r="B49" s="73"/>
      <c r="C49" s="90"/>
      <c r="F49" s="73"/>
    </row>
    <row r="50" spans="2:6" ht="12.95" customHeight="1" x14ac:dyDescent="0.2">
      <c r="B50" s="73"/>
      <c r="C50" s="90"/>
      <c r="F50" s="73"/>
    </row>
    <row r="51" spans="2:6" ht="12.95" customHeight="1" x14ac:dyDescent="0.2">
      <c r="B51" s="73"/>
      <c r="C51" s="90"/>
      <c r="F51" s="73"/>
    </row>
    <row r="52" spans="2:6" ht="12.95" customHeight="1" x14ac:dyDescent="0.2">
      <c r="B52" s="73"/>
      <c r="C52" s="90"/>
      <c r="F52" s="73"/>
    </row>
    <row r="53" spans="2:6" ht="12.95" customHeight="1" x14ac:dyDescent="0.2">
      <c r="B53" s="73"/>
      <c r="C53" s="90"/>
      <c r="F53" s="73"/>
    </row>
    <row r="54" spans="2:6" ht="12.95" customHeight="1" x14ac:dyDescent="0.2">
      <c r="B54" s="73"/>
      <c r="C54" s="90"/>
      <c r="F54" s="73"/>
    </row>
    <row r="55" spans="2:6" ht="12.95" customHeight="1" x14ac:dyDescent="0.2">
      <c r="B55" s="73"/>
      <c r="C55" s="90"/>
      <c r="F55" s="73"/>
    </row>
    <row r="56" spans="2:6" ht="12.95" customHeight="1" x14ac:dyDescent="0.2">
      <c r="B56" s="73"/>
      <c r="C56" s="90"/>
      <c r="F56" s="73"/>
    </row>
    <row r="57" spans="2:6" ht="12.95" customHeight="1" x14ac:dyDescent="0.2">
      <c r="B57" s="73"/>
      <c r="C57" s="90"/>
      <c r="F57" s="73"/>
    </row>
    <row r="58" spans="2:6" ht="12.95" customHeight="1" x14ac:dyDescent="0.2">
      <c r="B58" s="73"/>
      <c r="C58" s="90"/>
      <c r="F58" s="73"/>
    </row>
    <row r="59" spans="2:6" ht="12.95" customHeight="1" x14ac:dyDescent="0.2">
      <c r="B59" s="73"/>
      <c r="C59" s="90"/>
      <c r="F59" s="73"/>
    </row>
    <row r="60" spans="2:6" ht="12.95" customHeight="1" x14ac:dyDescent="0.2">
      <c r="B60" s="73"/>
      <c r="C60" s="90"/>
      <c r="F60" s="73"/>
    </row>
    <row r="61" spans="2:6" ht="12.95" customHeight="1" x14ac:dyDescent="0.2">
      <c r="B61" s="73"/>
      <c r="C61" s="90"/>
      <c r="F61" s="73"/>
    </row>
    <row r="62" spans="2:6" ht="12.95" customHeight="1" x14ac:dyDescent="0.2">
      <c r="B62" s="73"/>
      <c r="C62" s="90"/>
      <c r="F62" s="73"/>
    </row>
    <row r="63" spans="2:6" ht="12.95" customHeight="1" x14ac:dyDescent="0.2">
      <c r="B63" s="73"/>
      <c r="C63" s="90"/>
      <c r="F63" s="73"/>
    </row>
    <row r="64" spans="2:6" ht="12.95" customHeight="1" x14ac:dyDescent="0.2">
      <c r="B64" s="73"/>
      <c r="C64" s="90"/>
      <c r="F64" s="73"/>
    </row>
    <row r="65" spans="2:6" ht="12.95" customHeight="1" x14ac:dyDescent="0.2">
      <c r="B65" s="73"/>
      <c r="C65" s="90"/>
      <c r="F65" s="73"/>
    </row>
    <row r="66" spans="2:6" ht="12.95" customHeight="1" x14ac:dyDescent="0.2">
      <c r="B66" s="73"/>
      <c r="C66" s="90"/>
      <c r="F66" s="73"/>
    </row>
    <row r="67" spans="2:6" ht="12.95" customHeight="1" x14ac:dyDescent="0.2">
      <c r="B67" s="73"/>
      <c r="C67" s="90"/>
      <c r="F67" s="73"/>
    </row>
    <row r="68" spans="2:6" ht="12.95" customHeight="1" x14ac:dyDescent="0.2">
      <c r="B68" s="73"/>
      <c r="C68" s="90"/>
      <c r="F68" s="73"/>
    </row>
    <row r="69" spans="2:6" x14ac:dyDescent="0.2">
      <c r="B69" s="73"/>
      <c r="C69" s="90"/>
      <c r="F69" s="73"/>
    </row>
    <row r="70" spans="2:6" x14ac:dyDescent="0.2">
      <c r="B70" s="73"/>
      <c r="C70" s="90"/>
      <c r="F70" s="73"/>
    </row>
    <row r="71" spans="2:6" x14ac:dyDescent="0.2">
      <c r="B71" s="73"/>
      <c r="C71" s="90"/>
      <c r="F71" s="73"/>
    </row>
    <row r="72" spans="2:6" x14ac:dyDescent="0.2">
      <c r="B72" s="73"/>
      <c r="C72" s="90"/>
      <c r="F72" s="73"/>
    </row>
    <row r="73" spans="2:6" x14ac:dyDescent="0.2">
      <c r="B73" s="73"/>
      <c r="C73" s="90"/>
    </row>
    <row r="74" spans="2:6" x14ac:dyDescent="0.2">
      <c r="B74" s="73"/>
      <c r="C74" s="90"/>
    </row>
    <row r="75" spans="2:6" x14ac:dyDescent="0.2">
      <c r="B75" s="73"/>
      <c r="C75" s="90"/>
    </row>
    <row r="76" spans="2:6" x14ac:dyDescent="0.2">
      <c r="B76" s="73"/>
      <c r="C76" s="90"/>
    </row>
    <row r="77" spans="2:6" x14ac:dyDescent="0.2">
      <c r="B77" s="73"/>
      <c r="C77" s="90"/>
    </row>
    <row r="78" spans="2:6" x14ac:dyDescent="0.2">
      <c r="B78" s="73"/>
      <c r="C78" s="90"/>
    </row>
    <row r="79" spans="2:6" x14ac:dyDescent="0.2">
      <c r="B79" s="73"/>
      <c r="C79" s="90"/>
    </row>
    <row r="80" spans="2:6" x14ac:dyDescent="0.2">
      <c r="B80" s="73"/>
      <c r="C80" s="90"/>
    </row>
    <row r="81" spans="2:3" x14ac:dyDescent="0.2">
      <c r="B81" s="73"/>
      <c r="C81" s="90"/>
    </row>
    <row r="82" spans="2:3" x14ac:dyDescent="0.2">
      <c r="B82" s="73"/>
      <c r="C82" s="90"/>
    </row>
    <row r="83" spans="2:3" x14ac:dyDescent="0.2">
      <c r="B83" s="73"/>
      <c r="C83" s="90"/>
    </row>
    <row r="84" spans="2:3" x14ac:dyDescent="0.2">
      <c r="B84" s="73"/>
      <c r="C84" s="90"/>
    </row>
    <row r="85" spans="2:3" x14ac:dyDescent="0.2">
      <c r="B85" s="73"/>
      <c r="C85" s="90"/>
    </row>
    <row r="86" spans="2:3" x14ac:dyDescent="0.2">
      <c r="B86" s="73"/>
      <c r="C86" s="90"/>
    </row>
  </sheetData>
  <mergeCells count="29">
    <mergeCell ref="A4:F4"/>
    <mergeCell ref="A5:F5"/>
    <mergeCell ref="L31:M31"/>
    <mergeCell ref="A18:N18"/>
    <mergeCell ref="A21:A23"/>
    <mergeCell ref="B21:B23"/>
    <mergeCell ref="C21:C23"/>
    <mergeCell ref="A19:N19"/>
    <mergeCell ref="H31:I31"/>
    <mergeCell ref="J31:K31"/>
    <mergeCell ref="F31:G31"/>
    <mergeCell ref="D21:K21"/>
    <mergeCell ref="N21:N23"/>
    <mergeCell ref="D22:E22"/>
    <mergeCell ref="F22:G22"/>
    <mergeCell ref="H22:I22"/>
    <mergeCell ref="D34:E34"/>
    <mergeCell ref="J22:K22"/>
    <mergeCell ref="L22:M22"/>
    <mergeCell ref="O24:O25"/>
    <mergeCell ref="A29:C31"/>
    <mergeCell ref="D29:K29"/>
    <mergeCell ref="N29:N30"/>
    <mergeCell ref="D30:E30"/>
    <mergeCell ref="F30:G30"/>
    <mergeCell ref="H30:I30"/>
    <mergeCell ref="J30:K30"/>
    <mergeCell ref="L30:M30"/>
    <mergeCell ref="D31:E31"/>
  </mergeCells>
  <pageMargins left="0.43307086614173229" right="0.19685039370078741" top="0.31496062992125984" bottom="0.98425196850393704" header="0.19685039370078741" footer="0.51181102362204722"/>
  <pageSetup paperSize="9"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1"/>
  <sheetViews>
    <sheetView zoomScaleNormal="100" workbookViewId="0">
      <selection activeCell="A7" sqref="A7"/>
    </sheetView>
  </sheetViews>
  <sheetFormatPr defaultRowHeight="12.75" x14ac:dyDescent="0.2"/>
  <cols>
    <col min="1" max="1" width="35.28515625" customWidth="1"/>
    <col min="2" max="2" width="9.28515625" customWidth="1"/>
    <col min="3" max="4" width="8.85546875" customWidth="1"/>
    <col min="5" max="5" width="9.42578125" customWidth="1"/>
    <col min="6" max="8" width="9.140625" customWidth="1"/>
    <col min="9" max="9" width="9" customWidth="1"/>
    <col min="10" max="11" width="9.140625" customWidth="1"/>
    <col min="12" max="12" width="9.140625" bestFit="1" customWidth="1"/>
    <col min="13" max="13" width="9.7109375" bestFit="1" customWidth="1"/>
    <col min="14" max="15" width="10.85546875" customWidth="1"/>
    <col min="16" max="16" width="9.7109375" style="334" hidden="1" customWidth="1"/>
    <col min="17" max="17" width="9.140625" hidden="1" customWidth="1"/>
  </cols>
  <sheetData>
    <row r="1" spans="1:17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M1" s="3"/>
      <c r="N1" s="167" t="s">
        <v>504</v>
      </c>
      <c r="O1" s="87"/>
    </row>
    <row r="2" spans="1:17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M2" s="3"/>
      <c r="N2" s="171" t="str">
        <f>'1.Bev-kiad.'!F2</f>
        <v>a 12/2026.(X.2.) önkormányzati rendelethez</v>
      </c>
      <c r="O2" s="87"/>
    </row>
    <row r="3" spans="1:1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M3" s="3"/>
      <c r="N3" s="171" t="s">
        <v>1145</v>
      </c>
      <c r="O3" s="87"/>
    </row>
    <row r="4" spans="1:17" ht="15.75" x14ac:dyDescent="0.25">
      <c r="A4" s="880" t="s">
        <v>1127</v>
      </c>
      <c r="B4" s="881"/>
      <c r="C4" s="881"/>
      <c r="D4" s="881"/>
      <c r="E4" s="881"/>
      <c r="F4" s="881"/>
      <c r="G4" s="881"/>
      <c r="H4" s="881"/>
      <c r="I4" s="881"/>
      <c r="J4" s="881"/>
      <c r="K4" s="881"/>
      <c r="L4" s="881"/>
      <c r="M4" s="881"/>
      <c r="N4" s="881"/>
      <c r="O4" s="87"/>
    </row>
    <row r="5" spans="1:1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81"/>
      <c r="O5" s="87"/>
    </row>
    <row r="6" spans="1:17" ht="13.5" thickBo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81" t="s">
        <v>0</v>
      </c>
      <c r="O6" s="87"/>
    </row>
    <row r="7" spans="1:17" ht="21.75" customHeight="1" thickBot="1" x14ac:dyDescent="0.25">
      <c r="A7" s="92" t="s">
        <v>67</v>
      </c>
      <c r="B7" s="93" t="s">
        <v>68</v>
      </c>
      <c r="C7" s="93" t="s">
        <v>69</v>
      </c>
      <c r="D7" s="93" t="s">
        <v>70</v>
      </c>
      <c r="E7" s="93" t="s">
        <v>71</v>
      </c>
      <c r="F7" s="93" t="s">
        <v>72</v>
      </c>
      <c r="G7" s="93" t="s">
        <v>73</v>
      </c>
      <c r="H7" s="93" t="s">
        <v>74</v>
      </c>
      <c r="I7" s="93" t="s">
        <v>75</v>
      </c>
      <c r="J7" s="93" t="s">
        <v>76</v>
      </c>
      <c r="K7" s="93" t="s">
        <v>77</v>
      </c>
      <c r="L7" s="93" t="s">
        <v>78</v>
      </c>
      <c r="M7" s="93" t="s">
        <v>79</v>
      </c>
      <c r="N7" s="208" t="s">
        <v>43</v>
      </c>
      <c r="O7" s="336"/>
    </row>
    <row r="8" spans="1:17" ht="15.95" customHeight="1" x14ac:dyDescent="0.2">
      <c r="A8" s="94" t="s">
        <v>80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95"/>
      <c r="O8" s="337"/>
    </row>
    <row r="9" spans="1:17" ht="15.95" customHeight="1" x14ac:dyDescent="0.2">
      <c r="A9" s="256" t="s">
        <v>415</v>
      </c>
      <c r="B9" s="31">
        <v>90297</v>
      </c>
      <c r="C9" s="31">
        <v>87718</v>
      </c>
      <c r="D9" s="31">
        <v>78151</v>
      </c>
      <c r="E9" s="31">
        <v>71030</v>
      </c>
      <c r="F9" s="31">
        <v>70002</v>
      </c>
      <c r="G9" s="31">
        <v>71648</v>
      </c>
      <c r="H9" s="31">
        <v>73794</v>
      </c>
      <c r="I9" s="31">
        <v>71604</v>
      </c>
      <c r="J9" s="31">
        <v>72479</v>
      </c>
      <c r="K9" s="31">
        <v>72478</v>
      </c>
      <c r="L9" s="31">
        <v>72478</v>
      </c>
      <c r="M9" s="31">
        <v>72480</v>
      </c>
      <c r="N9" s="97">
        <f t="shared" ref="N9:N18" si="0">SUM(B9:M9)</f>
        <v>904159</v>
      </c>
      <c r="O9" s="209"/>
      <c r="P9" s="335">
        <f>'1.Bev-kiad.'!F10</f>
        <v>904159</v>
      </c>
      <c r="Q9" s="73">
        <f>P9-N9</f>
        <v>0</v>
      </c>
    </row>
    <row r="10" spans="1:17" ht="15.95" customHeight="1" x14ac:dyDescent="0.2">
      <c r="A10" s="256" t="s">
        <v>413</v>
      </c>
      <c r="B10" s="31">
        <v>25000</v>
      </c>
      <c r="C10" s="31">
        <v>0</v>
      </c>
      <c r="D10" s="31"/>
      <c r="E10" s="31"/>
      <c r="F10" s="31"/>
      <c r="G10" s="31">
        <v>0</v>
      </c>
      <c r="H10" s="31">
        <v>22225</v>
      </c>
      <c r="I10" s="31">
        <v>0</v>
      </c>
      <c r="J10" s="31">
        <v>0</v>
      </c>
      <c r="K10" s="31">
        <f>400000</f>
        <v>400000</v>
      </c>
      <c r="L10" s="31"/>
      <c r="M10" s="31">
        <v>101642</v>
      </c>
      <c r="N10" s="97">
        <f t="shared" si="0"/>
        <v>548867</v>
      </c>
      <c r="O10" s="35"/>
      <c r="P10" s="335">
        <f>'1.Bev-kiad.'!F17</f>
        <v>548867</v>
      </c>
      <c r="Q10" s="73">
        <f t="shared" ref="Q10:Q27" si="1">P10-N10</f>
        <v>0</v>
      </c>
    </row>
    <row r="11" spans="1:17" ht="15.75" customHeight="1" x14ac:dyDescent="0.2">
      <c r="A11" s="116" t="s">
        <v>322</v>
      </c>
      <c r="B11" s="31">
        <v>2533</v>
      </c>
      <c r="C11" s="31">
        <v>31531</v>
      </c>
      <c r="D11" s="31">
        <v>308240</v>
      </c>
      <c r="E11" s="31">
        <v>33604</v>
      </c>
      <c r="F11" s="31">
        <v>33528</v>
      </c>
      <c r="G11" s="31">
        <v>57204</v>
      </c>
      <c r="H11" s="31">
        <v>33385</v>
      </c>
      <c r="I11" s="31">
        <v>40000</v>
      </c>
      <c r="J11" s="31">
        <v>235000</v>
      </c>
      <c r="K11" s="31">
        <v>40000</v>
      </c>
      <c r="L11" s="31">
        <v>40000</v>
      </c>
      <c r="M11" s="31">
        <v>19975</v>
      </c>
      <c r="N11" s="97">
        <f t="shared" si="0"/>
        <v>875000</v>
      </c>
      <c r="O11" s="35"/>
      <c r="P11" s="335">
        <f>'1.Bev-kiad.'!F23</f>
        <v>875000</v>
      </c>
      <c r="Q11" s="73">
        <f t="shared" si="1"/>
        <v>0</v>
      </c>
    </row>
    <row r="12" spans="1:17" ht="15.95" customHeight="1" x14ac:dyDescent="0.2">
      <c r="A12" s="96" t="s">
        <v>323</v>
      </c>
      <c r="B12" s="31">
        <v>2666</v>
      </c>
      <c r="C12" s="31">
        <v>2636</v>
      </c>
      <c r="D12" s="31">
        <v>8205</v>
      </c>
      <c r="E12" s="31">
        <v>8390</v>
      </c>
      <c r="F12" s="31">
        <v>5774</v>
      </c>
      <c r="G12" s="31">
        <v>12028</v>
      </c>
      <c r="H12" s="31">
        <v>3348</v>
      </c>
      <c r="I12" s="31">
        <v>4708</v>
      </c>
      <c r="J12" s="31">
        <v>7014</v>
      </c>
      <c r="K12" s="31">
        <v>7013</v>
      </c>
      <c r="L12" s="31">
        <v>7014</v>
      </c>
      <c r="M12" s="31">
        <v>7013</v>
      </c>
      <c r="N12" s="97">
        <f t="shared" si="0"/>
        <v>75809</v>
      </c>
      <c r="O12" s="35"/>
      <c r="P12" s="335">
        <f>'1.Bev-kiad.'!F30</f>
        <v>75809</v>
      </c>
      <c r="Q12" s="73">
        <f t="shared" si="1"/>
        <v>0</v>
      </c>
    </row>
    <row r="13" spans="1:17" ht="15.95" customHeight="1" x14ac:dyDescent="0.2">
      <c r="A13" s="96" t="s">
        <v>325</v>
      </c>
      <c r="B13" s="31"/>
      <c r="C13" s="31"/>
      <c r="D13" s="31"/>
      <c r="E13" s="31">
        <v>0</v>
      </c>
      <c r="F13" s="31"/>
      <c r="G13" s="31"/>
      <c r="H13" s="31"/>
      <c r="I13" s="31"/>
      <c r="J13" s="31"/>
      <c r="K13" s="31">
        <v>35000</v>
      </c>
      <c r="L13" s="31">
        <v>24481</v>
      </c>
      <c r="M13" s="31"/>
      <c r="N13" s="97">
        <f t="shared" si="0"/>
        <v>59481</v>
      </c>
      <c r="O13" s="35"/>
      <c r="P13" s="335">
        <f>'1.Bev-kiad.'!F41</f>
        <v>59481</v>
      </c>
      <c r="Q13" s="73">
        <f t="shared" si="1"/>
        <v>0</v>
      </c>
    </row>
    <row r="14" spans="1:17" ht="15.95" customHeight="1" x14ac:dyDescent="0.2">
      <c r="A14" s="96" t="s">
        <v>324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>
        <v>30000</v>
      </c>
      <c r="M14" s="31"/>
      <c r="N14" s="97">
        <f t="shared" si="0"/>
        <v>30000</v>
      </c>
      <c r="O14" s="35"/>
      <c r="P14" s="335">
        <f>'1.Bev-kiad.'!F47</f>
        <v>30000</v>
      </c>
      <c r="Q14" s="73">
        <f t="shared" si="1"/>
        <v>0</v>
      </c>
    </row>
    <row r="15" spans="1:17" ht="15.95" customHeight="1" x14ac:dyDescent="0.2">
      <c r="A15" s="96" t="s">
        <v>414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>
        <v>10295</v>
      </c>
      <c r="N15" s="97">
        <f t="shared" si="0"/>
        <v>10295</v>
      </c>
      <c r="O15" s="35"/>
      <c r="P15" s="335">
        <f>'1.Bev-kiad.'!F51</f>
        <v>10295</v>
      </c>
      <c r="Q15" s="73">
        <f t="shared" si="1"/>
        <v>0</v>
      </c>
    </row>
    <row r="16" spans="1:17" ht="15.95" customHeight="1" x14ac:dyDescent="0.2">
      <c r="A16" s="96" t="s">
        <v>386</v>
      </c>
      <c r="B16" s="31">
        <v>495613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97">
        <f t="shared" si="0"/>
        <v>495613</v>
      </c>
      <c r="O16" s="35"/>
      <c r="P16" s="335">
        <f>'1.Bev-kiad.'!F57</f>
        <v>495613</v>
      </c>
      <c r="Q16" s="73">
        <f t="shared" si="1"/>
        <v>0</v>
      </c>
    </row>
    <row r="17" spans="1:17" ht="15.95" customHeight="1" x14ac:dyDescent="0.2">
      <c r="A17" s="96" t="s">
        <v>437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>
        <v>0</v>
      </c>
      <c r="N17" s="97">
        <f t="shared" ref="N17" si="2">SUM(B17:M17)</f>
        <v>0</v>
      </c>
      <c r="O17" s="35"/>
      <c r="P17" s="335">
        <f>'1.Bev-kiad.'!F60</f>
        <v>0</v>
      </c>
      <c r="Q17" s="73">
        <f t="shared" si="1"/>
        <v>0</v>
      </c>
    </row>
    <row r="18" spans="1:17" ht="16.5" customHeight="1" x14ac:dyDescent="0.2">
      <c r="A18" s="96" t="s">
        <v>1283</v>
      </c>
      <c r="B18" s="31"/>
      <c r="C18" s="31"/>
      <c r="D18" s="31"/>
      <c r="E18" s="31"/>
      <c r="F18" s="31"/>
      <c r="G18" s="31"/>
      <c r="H18" s="31"/>
      <c r="I18" s="31">
        <v>6601</v>
      </c>
      <c r="J18" s="31">
        <v>854</v>
      </c>
      <c r="K18" s="31"/>
      <c r="L18" s="31"/>
      <c r="M18" s="31">
        <v>0</v>
      </c>
      <c r="N18" s="97">
        <f t="shared" si="0"/>
        <v>7455</v>
      </c>
      <c r="O18" s="35"/>
      <c r="P18" s="335">
        <f>'1.Bev-kiad.'!F61</f>
        <v>7455</v>
      </c>
      <c r="Q18" s="73">
        <f t="shared" si="1"/>
        <v>0</v>
      </c>
    </row>
    <row r="19" spans="1:17" ht="15.95" customHeight="1" x14ac:dyDescent="0.2">
      <c r="A19" s="98" t="s">
        <v>81</v>
      </c>
      <c r="B19" s="33">
        <f t="shared" ref="B19:N19" si="3">SUM(B9:B18)</f>
        <v>616109</v>
      </c>
      <c r="C19" s="33">
        <f t="shared" si="3"/>
        <v>121885</v>
      </c>
      <c r="D19" s="33">
        <f t="shared" si="3"/>
        <v>394596</v>
      </c>
      <c r="E19" s="33">
        <f t="shared" si="3"/>
        <v>113024</v>
      </c>
      <c r="F19" s="33">
        <f t="shared" si="3"/>
        <v>109304</v>
      </c>
      <c r="G19" s="33">
        <f t="shared" si="3"/>
        <v>140880</v>
      </c>
      <c r="H19" s="33">
        <f>SUM(H9:H18)</f>
        <v>132752</v>
      </c>
      <c r="I19" s="33">
        <f t="shared" si="3"/>
        <v>122913</v>
      </c>
      <c r="J19" s="33">
        <f t="shared" si="3"/>
        <v>315347</v>
      </c>
      <c r="K19" s="33">
        <f t="shared" si="3"/>
        <v>554491</v>
      </c>
      <c r="L19" s="33">
        <f t="shared" si="3"/>
        <v>173973</v>
      </c>
      <c r="M19" s="33">
        <f t="shared" si="3"/>
        <v>211405</v>
      </c>
      <c r="N19" s="97">
        <f t="shared" si="3"/>
        <v>3006679</v>
      </c>
      <c r="O19" s="35"/>
      <c r="P19" s="335">
        <f>'1.Bev-kiad.'!F65</f>
        <v>3006679</v>
      </c>
      <c r="Q19" s="73">
        <f t="shared" si="1"/>
        <v>0</v>
      </c>
    </row>
    <row r="20" spans="1:17" ht="16.5" customHeight="1" x14ac:dyDescent="0.2">
      <c r="A20" s="98" t="s">
        <v>82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97"/>
      <c r="O20" s="88"/>
      <c r="Q20" s="73">
        <f t="shared" si="1"/>
        <v>0</v>
      </c>
    </row>
    <row r="21" spans="1:17" ht="15.95" customHeight="1" x14ac:dyDescent="0.2">
      <c r="A21" s="96" t="s">
        <v>83</v>
      </c>
      <c r="B21" s="31">
        <v>113791</v>
      </c>
      <c r="C21" s="31">
        <v>109288</v>
      </c>
      <c r="D21" s="31">
        <v>164191</v>
      </c>
      <c r="E21" s="31">
        <v>131905</v>
      </c>
      <c r="F21" s="31">
        <v>172972</v>
      </c>
      <c r="G21" s="31">
        <v>133936</v>
      </c>
      <c r="H21" s="31">
        <v>112180</v>
      </c>
      <c r="I21" s="31">
        <v>110724</v>
      </c>
      <c r="J21" s="31">
        <v>155018</v>
      </c>
      <c r="K21" s="31">
        <v>155018</v>
      </c>
      <c r="L21" s="31">
        <v>158087</v>
      </c>
      <c r="M21" s="31">
        <v>155018</v>
      </c>
      <c r="N21" s="97">
        <f t="shared" ref="N21:N27" si="4">SUM(B21:M21)</f>
        <v>1672128</v>
      </c>
      <c r="O21" s="209"/>
      <c r="P21" s="335">
        <f>'2.működés'!F124-'2.működés'!F137</f>
        <v>1672128</v>
      </c>
      <c r="Q21" s="73">
        <f t="shared" si="1"/>
        <v>0</v>
      </c>
    </row>
    <row r="22" spans="1:17" ht="15.95" customHeight="1" x14ac:dyDescent="0.2">
      <c r="A22" s="96" t="s">
        <v>84</v>
      </c>
      <c r="B22" s="31">
        <v>14417</v>
      </c>
      <c r="C22" s="31">
        <v>60460</v>
      </c>
      <c r="D22" s="31">
        <v>81107</v>
      </c>
      <c r="E22" s="31">
        <v>90396</v>
      </c>
      <c r="F22" s="31">
        <v>4980</v>
      </c>
      <c r="G22" s="31">
        <v>124778</v>
      </c>
      <c r="H22" s="31">
        <v>81941</v>
      </c>
      <c r="I22" s="31">
        <v>122323</v>
      </c>
      <c r="J22" s="31">
        <v>100000</v>
      </c>
      <c r="K22" s="31">
        <v>150757</v>
      </c>
      <c r="L22" s="31"/>
      <c r="M22" s="31">
        <v>212749</v>
      </c>
      <c r="N22" s="97">
        <f t="shared" si="4"/>
        <v>1043908</v>
      </c>
      <c r="O22" s="209"/>
      <c r="P22" s="335">
        <f>'1.Bev-kiad.'!F76</f>
        <v>1043908</v>
      </c>
      <c r="Q22" s="73">
        <f t="shared" si="1"/>
        <v>0</v>
      </c>
    </row>
    <row r="23" spans="1:17" ht="15.95" customHeight="1" x14ac:dyDescent="0.2">
      <c r="A23" s="96" t="s">
        <v>802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97">
        <f t="shared" si="4"/>
        <v>0</v>
      </c>
      <c r="O23" s="35"/>
      <c r="P23" s="335"/>
      <c r="Q23" s="73">
        <f t="shared" si="1"/>
        <v>0</v>
      </c>
    </row>
    <row r="24" spans="1:17" ht="15.95" customHeight="1" x14ac:dyDescent="0.2">
      <c r="A24" s="96" t="s">
        <v>1284</v>
      </c>
      <c r="B24" s="31">
        <v>27576</v>
      </c>
      <c r="C24" s="31"/>
      <c r="D24" s="31">
        <v>23553</v>
      </c>
      <c r="E24" s="31"/>
      <c r="F24" s="31"/>
      <c r="G24" s="31">
        <v>23552</v>
      </c>
      <c r="H24" s="31"/>
      <c r="I24" s="31"/>
      <c r="J24" s="31">
        <v>23553</v>
      </c>
      <c r="K24" s="31"/>
      <c r="L24" s="31"/>
      <c r="M24" s="31">
        <v>23552</v>
      </c>
      <c r="N24" s="97">
        <f t="shared" si="4"/>
        <v>121786</v>
      </c>
      <c r="O24" s="35"/>
      <c r="P24" s="335">
        <f>'1.Bev-kiad.'!F87+'1.Bev-kiad.'!F86</f>
        <v>121786</v>
      </c>
      <c r="Q24" s="73">
        <f t="shared" si="1"/>
        <v>0</v>
      </c>
    </row>
    <row r="25" spans="1:17" ht="15.95" customHeight="1" x14ac:dyDescent="0.2">
      <c r="A25" s="116" t="s">
        <v>670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>
        <v>161402</v>
      </c>
      <c r="N25" s="97">
        <f t="shared" ref="N25" si="5">SUM(B25:M25)</f>
        <v>161402</v>
      </c>
      <c r="O25" s="35"/>
      <c r="P25" s="335">
        <f>'2.működés'!F137</f>
        <v>161402</v>
      </c>
      <c r="Q25" s="73">
        <f t="shared" si="1"/>
        <v>0</v>
      </c>
    </row>
    <row r="26" spans="1:17" ht="16.5" customHeight="1" x14ac:dyDescent="0.2">
      <c r="A26" s="116" t="s">
        <v>1285</v>
      </c>
      <c r="B26" s="31"/>
      <c r="C26" s="31"/>
      <c r="D26" s="31"/>
      <c r="E26" s="31"/>
      <c r="F26" s="31"/>
      <c r="G26" s="31"/>
      <c r="H26" s="31"/>
      <c r="I26" s="31">
        <v>6601</v>
      </c>
      <c r="J26" s="31">
        <v>854</v>
      </c>
      <c r="K26" s="31"/>
      <c r="L26" s="31"/>
      <c r="M26" s="31"/>
      <c r="N26" s="97">
        <f t="shared" si="4"/>
        <v>7455</v>
      </c>
      <c r="O26" s="35"/>
      <c r="P26" s="335">
        <f>'1.Bev-kiad.'!F88</f>
        <v>7455</v>
      </c>
      <c r="Q26" s="73">
        <f t="shared" si="1"/>
        <v>0</v>
      </c>
    </row>
    <row r="27" spans="1:17" ht="15.95" customHeight="1" x14ac:dyDescent="0.2">
      <c r="A27" s="98" t="s">
        <v>85</v>
      </c>
      <c r="B27" s="33">
        <f t="shared" ref="B27:M27" si="6">SUM(B21:B26)</f>
        <v>155784</v>
      </c>
      <c r="C27" s="33">
        <f t="shared" si="6"/>
        <v>169748</v>
      </c>
      <c r="D27" s="33">
        <f t="shared" si="6"/>
        <v>268851</v>
      </c>
      <c r="E27" s="33">
        <f t="shared" si="6"/>
        <v>222301</v>
      </c>
      <c r="F27" s="33">
        <f t="shared" si="6"/>
        <v>177952</v>
      </c>
      <c r="G27" s="33">
        <f t="shared" si="6"/>
        <v>282266</v>
      </c>
      <c r="H27" s="33">
        <f t="shared" si="6"/>
        <v>194121</v>
      </c>
      <c r="I27" s="33">
        <f t="shared" si="6"/>
        <v>239648</v>
      </c>
      <c r="J27" s="33">
        <f t="shared" si="6"/>
        <v>279425</v>
      </c>
      <c r="K27" s="33">
        <f t="shared" si="6"/>
        <v>305775</v>
      </c>
      <c r="L27" s="33">
        <f t="shared" si="6"/>
        <v>158087</v>
      </c>
      <c r="M27" s="33">
        <f t="shared" si="6"/>
        <v>552721</v>
      </c>
      <c r="N27" s="97">
        <f t="shared" si="4"/>
        <v>3006679</v>
      </c>
      <c r="O27" s="35"/>
      <c r="P27" s="335">
        <f>'1.Bev-kiad.'!F91</f>
        <v>3006679</v>
      </c>
      <c r="Q27" s="73">
        <f t="shared" si="1"/>
        <v>0</v>
      </c>
    </row>
    <row r="28" spans="1:17" ht="15.95" customHeight="1" x14ac:dyDescent="0.2">
      <c r="A28" s="98" t="s">
        <v>86</v>
      </c>
      <c r="B28" s="99">
        <f t="shared" ref="B28:N28" si="7">SUM(B19-B27)</f>
        <v>460325</v>
      </c>
      <c r="C28" s="99">
        <f t="shared" si="7"/>
        <v>-47863</v>
      </c>
      <c r="D28" s="99">
        <f t="shared" si="7"/>
        <v>125745</v>
      </c>
      <c r="E28" s="99">
        <f t="shared" si="7"/>
        <v>-109277</v>
      </c>
      <c r="F28" s="99">
        <f t="shared" si="7"/>
        <v>-68648</v>
      </c>
      <c r="G28" s="99">
        <f t="shared" si="7"/>
        <v>-141386</v>
      </c>
      <c r="H28" s="99">
        <f t="shared" si="7"/>
        <v>-61369</v>
      </c>
      <c r="I28" s="99">
        <f t="shared" si="7"/>
        <v>-116735</v>
      </c>
      <c r="J28" s="99">
        <f t="shared" si="7"/>
        <v>35922</v>
      </c>
      <c r="K28" s="99">
        <f t="shared" si="7"/>
        <v>248716</v>
      </c>
      <c r="L28" s="99">
        <f t="shared" si="7"/>
        <v>15886</v>
      </c>
      <c r="M28" s="99">
        <f t="shared" si="7"/>
        <v>-341316</v>
      </c>
      <c r="N28" s="97">
        <f t="shared" si="7"/>
        <v>0</v>
      </c>
      <c r="O28" s="35"/>
      <c r="P28" s="335"/>
    </row>
    <row r="29" spans="1:17" ht="15.95" customHeight="1" thickBot="1" x14ac:dyDescent="0.25">
      <c r="A29" s="100" t="s">
        <v>87</v>
      </c>
      <c r="B29" s="101">
        <f>SUM(B28)</f>
        <v>460325</v>
      </c>
      <c r="C29" s="101">
        <f t="shared" ref="C29:M29" si="8">B29+C19-C27</f>
        <v>412462</v>
      </c>
      <c r="D29" s="101">
        <f t="shared" si="8"/>
        <v>538207</v>
      </c>
      <c r="E29" s="101">
        <f t="shared" si="8"/>
        <v>428930</v>
      </c>
      <c r="F29" s="101">
        <f t="shared" si="8"/>
        <v>360282</v>
      </c>
      <c r="G29" s="101">
        <f t="shared" si="8"/>
        <v>218896</v>
      </c>
      <c r="H29" s="101">
        <f t="shared" si="8"/>
        <v>157527</v>
      </c>
      <c r="I29" s="101">
        <f t="shared" si="8"/>
        <v>40792</v>
      </c>
      <c r="J29" s="101">
        <f t="shared" si="8"/>
        <v>76714</v>
      </c>
      <c r="K29" s="101">
        <f t="shared" si="8"/>
        <v>325430</v>
      </c>
      <c r="L29" s="101">
        <f t="shared" si="8"/>
        <v>341316</v>
      </c>
      <c r="M29" s="101">
        <f t="shared" si="8"/>
        <v>0</v>
      </c>
      <c r="N29" s="102">
        <f>SUM(N28)</f>
        <v>0</v>
      </c>
      <c r="O29" s="35"/>
      <c r="P29" s="335"/>
    </row>
    <row r="30" spans="1:17" ht="18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103"/>
      <c r="O30" s="35"/>
      <c r="P30" s="335"/>
    </row>
    <row r="31" spans="1:17" ht="18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103"/>
      <c r="O31" s="9"/>
    </row>
    <row r="32" spans="1:17" ht="15.95" customHeight="1" x14ac:dyDescent="0.2">
      <c r="A32" s="52"/>
      <c r="B32" s="52"/>
      <c r="C32" s="52"/>
      <c r="D32" s="52"/>
      <c r="E32" s="52"/>
      <c r="F32" s="52"/>
      <c r="G32" s="104"/>
      <c r="H32" s="52"/>
      <c r="I32" s="52"/>
      <c r="J32" s="52"/>
      <c r="K32" s="52"/>
      <c r="L32" s="52"/>
      <c r="M32" s="52"/>
      <c r="N32" s="103"/>
      <c r="O32" s="337"/>
    </row>
    <row r="33" spans="1:15" ht="15.95" customHeight="1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103"/>
      <c r="O33" s="337"/>
    </row>
    <row r="34" spans="1:15" ht="15.95" customHeight="1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103"/>
      <c r="O34" s="337"/>
    </row>
    <row r="35" spans="1:15" ht="15.9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103"/>
      <c r="O35" s="337"/>
    </row>
    <row r="36" spans="1:15" ht="15.95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103"/>
      <c r="O36" s="337"/>
    </row>
    <row r="37" spans="1:15" ht="15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</row>
    <row r="38" spans="1:15" ht="14.1" customHeight="1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</row>
    <row r="39" spans="1:15" ht="14.1" customHeight="1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</row>
    <row r="40" spans="1:15" ht="14.1" customHeight="1" x14ac:dyDescent="0.2"/>
    <row r="41" spans="1:15" ht="14.1" customHeight="1" x14ac:dyDescent="0.2"/>
  </sheetData>
  <mergeCells count="1">
    <mergeCell ref="A4:N4"/>
  </mergeCells>
  <pageMargins left="0.42" right="0.19685039370078741" top="0.74803149606299213" bottom="0.98425196850393704" header="0.51181102362204722" footer="0.51181102362204722"/>
  <pageSetup paperSize="9" scale="9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743"/>
  <sheetViews>
    <sheetView topLeftCell="A60" zoomScaleNormal="100" workbookViewId="0">
      <selection activeCell="A87" sqref="A87"/>
    </sheetView>
  </sheetViews>
  <sheetFormatPr defaultRowHeight="12.75" x14ac:dyDescent="0.2"/>
  <cols>
    <col min="1" max="1" width="6.28515625" style="2" customWidth="1"/>
    <col min="2" max="2" width="65.42578125" customWidth="1"/>
    <col min="3" max="6" width="13.7109375" style="35" customWidth="1"/>
    <col min="8" max="8" width="13" hidden="1" customWidth="1"/>
  </cols>
  <sheetData>
    <row r="1" spans="1:20" ht="15" customHeight="1" x14ac:dyDescent="0.3">
      <c r="A1" s="54"/>
      <c r="B1" s="170"/>
      <c r="D1" s="171"/>
      <c r="E1" s="171"/>
      <c r="F1" s="171" t="s">
        <v>321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 customHeight="1" x14ac:dyDescent="0.3">
      <c r="A2" s="54"/>
      <c r="B2" s="170"/>
      <c r="D2" s="171"/>
      <c r="E2" s="171"/>
      <c r="F2" s="171" t="str">
        <f>'1.Bev-kiad.'!F2</f>
        <v>a 12/2026.(X.2.) önkormányzati rendelethez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 customHeight="1" x14ac:dyDescent="0.3">
      <c r="A3" s="54"/>
      <c r="B3" s="170"/>
      <c r="D3" s="171"/>
      <c r="E3" s="17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9.5" x14ac:dyDescent="0.35">
      <c r="A4" s="759" t="s">
        <v>23</v>
      </c>
      <c r="B4" s="759"/>
      <c r="C4" s="760"/>
      <c r="D4" s="760"/>
      <c r="E4" s="760"/>
      <c r="F4" s="76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9.5" x14ac:dyDescent="0.35">
      <c r="A5" s="759" t="s">
        <v>1126</v>
      </c>
      <c r="B5" s="759"/>
      <c r="C5" s="760"/>
      <c r="D5" s="760"/>
      <c r="E5" s="760"/>
      <c r="F5" s="760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3.5" thickBot="1" x14ac:dyDescent="0.25">
      <c r="A6" s="54"/>
      <c r="B6" s="54"/>
      <c r="D6" s="171"/>
      <c r="E6" s="171"/>
      <c r="F6" s="171" t="s">
        <v>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53.25" customHeight="1" thickBot="1" x14ac:dyDescent="0.25">
      <c r="A7" s="207" t="s">
        <v>108</v>
      </c>
      <c r="B7" s="43" t="s">
        <v>335</v>
      </c>
      <c r="C7" s="43" t="s">
        <v>614</v>
      </c>
      <c r="D7" s="43" t="s">
        <v>693</v>
      </c>
      <c r="E7" s="43" t="s">
        <v>726</v>
      </c>
      <c r="F7" s="43" t="s">
        <v>866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22.5" customHeight="1" x14ac:dyDescent="0.2">
      <c r="A8" s="140" t="s">
        <v>314</v>
      </c>
      <c r="B8" s="215" t="s">
        <v>301</v>
      </c>
      <c r="C8" s="163">
        <f>SUM(C9:C50)</f>
        <v>2584205</v>
      </c>
      <c r="D8" s="163">
        <f>SUM(D9:D50)</f>
        <v>1865295</v>
      </c>
      <c r="E8" s="163">
        <f>SUM(E9:E50)</f>
        <v>1877295</v>
      </c>
      <c r="F8" s="163">
        <f>SUM(F9:F50)</f>
        <v>1890295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8" customHeight="1" x14ac:dyDescent="0.25">
      <c r="A9" s="14" t="s">
        <v>110</v>
      </c>
      <c r="B9" s="22" t="s">
        <v>210</v>
      </c>
      <c r="C9" s="36">
        <f>SUM('1.Bev-kiad.'!D10)</f>
        <v>895072</v>
      </c>
      <c r="D9" s="36">
        <v>900000</v>
      </c>
      <c r="E9" s="36">
        <v>910000</v>
      </c>
      <c r="F9" s="36">
        <v>920000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3.5" hidden="1" customHeight="1" x14ac:dyDescent="0.2">
      <c r="A10" s="8" t="s">
        <v>111</v>
      </c>
      <c r="B10" s="8" t="s">
        <v>119</v>
      </c>
      <c r="C10" s="5"/>
      <c r="D10" s="5"/>
      <c r="E10" s="5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3.5" hidden="1" customHeight="1" x14ac:dyDescent="0.2">
      <c r="A11" s="8" t="s">
        <v>160</v>
      </c>
      <c r="B11" s="8" t="s">
        <v>161</v>
      </c>
      <c r="C11" s="5"/>
      <c r="D11" s="5"/>
      <c r="E11" s="5"/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3.5" hidden="1" customHeight="1" x14ac:dyDescent="0.2">
      <c r="A12" s="8" t="s">
        <v>112</v>
      </c>
      <c r="B12" s="8" t="s">
        <v>116</v>
      </c>
      <c r="C12" s="6"/>
      <c r="D12" s="6"/>
      <c r="E12" s="6"/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3.5" hidden="1" customHeight="1" x14ac:dyDescent="0.2">
      <c r="A13" s="8" t="s">
        <v>113</v>
      </c>
      <c r="B13" s="8" t="s">
        <v>117</v>
      </c>
      <c r="C13" s="11"/>
      <c r="D13" s="11"/>
      <c r="E13" s="11"/>
      <c r="F13" s="1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3.5" hidden="1" customHeight="1" x14ac:dyDescent="0.2">
      <c r="A14" s="8" t="s">
        <v>114</v>
      </c>
      <c r="B14" s="8" t="s">
        <v>118</v>
      </c>
      <c r="C14" s="13"/>
      <c r="D14" s="13"/>
      <c r="E14" s="13"/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2.75" hidden="1" customHeight="1" x14ac:dyDescent="0.2">
      <c r="A15" s="8" t="s">
        <v>115</v>
      </c>
      <c r="B15" s="8" t="s">
        <v>120</v>
      </c>
      <c r="C15" s="13"/>
      <c r="D15" s="13"/>
      <c r="E15" s="13"/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8" customHeight="1" x14ac:dyDescent="0.25">
      <c r="A16" s="14" t="s">
        <v>121</v>
      </c>
      <c r="B16" s="22" t="s">
        <v>211</v>
      </c>
      <c r="C16" s="40">
        <f>SUM('1.Bev-kiad.'!D17)</f>
        <v>526642</v>
      </c>
      <c r="D16" s="40">
        <v>0</v>
      </c>
      <c r="E16" s="40">
        <v>0</v>
      </c>
      <c r="F16" s="40"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2.75" hidden="1" customHeight="1" x14ac:dyDescent="0.2">
      <c r="A17" s="8" t="s">
        <v>122</v>
      </c>
      <c r="B17" s="8" t="s">
        <v>129</v>
      </c>
      <c r="C17" s="5"/>
      <c r="D17" s="5"/>
      <c r="E17" s="5"/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2.75" hidden="1" customHeight="1" x14ac:dyDescent="0.2">
      <c r="A18" s="8" t="s">
        <v>162</v>
      </c>
      <c r="B18" s="8" t="s">
        <v>163</v>
      </c>
      <c r="C18" s="13"/>
      <c r="D18" s="13"/>
      <c r="E18" s="13"/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2.75" hidden="1" customHeight="1" x14ac:dyDescent="0.2">
      <c r="A19" s="8" t="s">
        <v>123</v>
      </c>
      <c r="B19" s="8" t="s">
        <v>126</v>
      </c>
      <c r="C19" s="13"/>
      <c r="D19" s="13"/>
      <c r="E19" s="13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2.75" hidden="1" customHeight="1" x14ac:dyDescent="0.2">
      <c r="A20" s="8" t="s">
        <v>124</v>
      </c>
      <c r="B20" s="8" t="s">
        <v>127</v>
      </c>
      <c r="C20" s="13"/>
      <c r="D20" s="13"/>
      <c r="E20" s="13"/>
      <c r="F20" s="1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2.75" hidden="1" customHeight="1" x14ac:dyDescent="0.2">
      <c r="A21" s="8" t="s">
        <v>125</v>
      </c>
      <c r="B21" s="8" t="s">
        <v>128</v>
      </c>
      <c r="C21" s="13"/>
      <c r="D21" s="13"/>
      <c r="E21" s="13"/>
      <c r="F21" s="1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8" customHeight="1" x14ac:dyDescent="0.25">
      <c r="A22" s="14" t="s">
        <v>130</v>
      </c>
      <c r="B22" s="22" t="s">
        <v>94</v>
      </c>
      <c r="C22" s="40">
        <f>SUM('1.Bev-kiad.'!D23)</f>
        <v>875000</v>
      </c>
      <c r="D22" s="40">
        <v>875000</v>
      </c>
      <c r="E22" s="40">
        <v>875000</v>
      </c>
      <c r="F22" s="40">
        <v>875000</v>
      </c>
      <c r="G22" s="2"/>
      <c r="H22" s="7">
        <v>540000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.75" hidden="1" customHeight="1" x14ac:dyDescent="0.2">
      <c r="A23" s="8" t="s">
        <v>131</v>
      </c>
      <c r="B23" s="8" t="s">
        <v>137</v>
      </c>
      <c r="C23" s="13"/>
      <c r="D23" s="13"/>
      <c r="E23" s="13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2.75" hidden="1" customHeight="1" x14ac:dyDescent="0.2">
      <c r="A24" s="8" t="s">
        <v>132</v>
      </c>
      <c r="B24" s="8" t="s">
        <v>138</v>
      </c>
      <c r="C24" s="13"/>
      <c r="D24" s="13"/>
      <c r="E24" s="13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2.75" hidden="1" customHeight="1" x14ac:dyDescent="0.2">
      <c r="A25" s="8" t="s">
        <v>133</v>
      </c>
      <c r="B25" s="19" t="s">
        <v>139</v>
      </c>
      <c r="C25" s="47"/>
      <c r="D25" s="47"/>
      <c r="E25" s="47"/>
      <c r="F25" s="47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2.75" hidden="1" customHeight="1" x14ac:dyDescent="0.2">
      <c r="A26" s="8" t="s">
        <v>134</v>
      </c>
      <c r="B26" s="8" t="s">
        <v>166</v>
      </c>
      <c r="C26" s="37"/>
      <c r="D26" s="37"/>
      <c r="E26" s="37"/>
      <c r="F26" s="37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s="48" customFormat="1" ht="12.75" hidden="1" customHeight="1" x14ac:dyDescent="0.2">
      <c r="A27" s="8" t="s">
        <v>135</v>
      </c>
      <c r="B27" s="8" t="s">
        <v>167</v>
      </c>
      <c r="C27" s="13"/>
      <c r="D27" s="13"/>
      <c r="E27" s="13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s="48" customFormat="1" ht="12.75" hidden="1" customHeight="1" x14ac:dyDescent="0.2">
      <c r="A28" s="8" t="s">
        <v>136</v>
      </c>
      <c r="B28" s="8" t="s">
        <v>140</v>
      </c>
      <c r="C28" s="13"/>
      <c r="D28" s="13"/>
      <c r="E28" s="13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s="48" customFormat="1" ht="18" customHeight="1" x14ac:dyDescent="0.25">
      <c r="A29" s="14" t="s">
        <v>141</v>
      </c>
      <c r="B29" s="22" t="s">
        <v>212</v>
      </c>
      <c r="C29" s="40">
        <f>SUM('1.Bev-kiad.'!D30)</f>
        <v>217196</v>
      </c>
      <c r="D29" s="40">
        <v>50000</v>
      </c>
      <c r="E29" s="40">
        <v>52000</v>
      </c>
      <c r="F29" s="40">
        <v>55000</v>
      </c>
      <c r="G29" s="2"/>
      <c r="H29" s="2">
        <v>15000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3.5" hidden="1" customHeight="1" x14ac:dyDescent="0.2">
      <c r="A30" s="8" t="s">
        <v>144</v>
      </c>
      <c r="B30" s="8" t="s">
        <v>142</v>
      </c>
      <c r="C30" s="13"/>
      <c r="D30" s="13"/>
      <c r="E30" s="13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s="48" customFormat="1" ht="13.5" hidden="1" customHeight="1" x14ac:dyDescent="0.2">
      <c r="A31" s="8" t="s">
        <v>145</v>
      </c>
      <c r="B31" s="8" t="s">
        <v>143</v>
      </c>
      <c r="C31" s="13"/>
      <c r="D31" s="13"/>
      <c r="E31" s="13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s="48" customFormat="1" ht="13.5" hidden="1" customHeight="1" x14ac:dyDescent="0.2">
      <c r="A32" s="8" t="s">
        <v>146</v>
      </c>
      <c r="B32" s="8" t="s">
        <v>149</v>
      </c>
      <c r="C32" s="11"/>
      <c r="D32" s="11"/>
      <c r="E32" s="11"/>
      <c r="F32" s="1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3.5" hidden="1" customHeight="1" x14ac:dyDescent="0.2">
      <c r="A33" s="8" t="s">
        <v>147</v>
      </c>
      <c r="B33" s="19" t="s">
        <v>150</v>
      </c>
      <c r="C33" s="8"/>
      <c r="D33" s="8"/>
      <c r="E33" s="8"/>
      <c r="F33" s="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2.75" hidden="1" customHeight="1" x14ac:dyDescent="0.2">
      <c r="A34" s="8" t="s">
        <v>148</v>
      </c>
      <c r="B34" s="19" t="s">
        <v>151</v>
      </c>
      <c r="C34" s="8"/>
      <c r="D34" s="8"/>
      <c r="E34" s="8"/>
      <c r="F34" s="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2.75" hidden="1" customHeight="1" x14ac:dyDescent="0.2">
      <c r="A35" s="8" t="s">
        <v>152</v>
      </c>
      <c r="B35" s="19" t="s">
        <v>153</v>
      </c>
      <c r="C35" s="8"/>
      <c r="D35" s="8"/>
      <c r="E35" s="8"/>
      <c r="F35" s="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2.75" hidden="1" customHeight="1" x14ac:dyDescent="0.2">
      <c r="A36" s="8" t="s">
        <v>154</v>
      </c>
      <c r="B36" s="19" t="s">
        <v>155</v>
      </c>
      <c r="C36" s="8"/>
      <c r="D36" s="8"/>
      <c r="E36" s="8"/>
      <c r="F36" s="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2.75" hidden="1" customHeight="1" x14ac:dyDescent="0.2">
      <c r="A37" s="8" t="s">
        <v>156</v>
      </c>
      <c r="B37" s="19" t="s">
        <v>157</v>
      </c>
      <c r="C37" s="8"/>
      <c r="D37" s="8"/>
      <c r="E37" s="8"/>
      <c r="F37" s="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2.75" hidden="1" customHeight="1" x14ac:dyDescent="0.2">
      <c r="A38" s="8" t="s">
        <v>158</v>
      </c>
      <c r="B38" s="19" t="s">
        <v>159</v>
      </c>
      <c r="C38" s="8"/>
      <c r="D38" s="8"/>
      <c r="E38" s="8"/>
      <c r="F38" s="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2.75" hidden="1" customHeight="1" x14ac:dyDescent="0.2">
      <c r="A39" s="8" t="s">
        <v>164</v>
      </c>
      <c r="B39" s="19" t="s">
        <v>165</v>
      </c>
      <c r="C39" s="8"/>
      <c r="D39" s="8"/>
      <c r="E39" s="8"/>
      <c r="F39" s="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7.25" customHeight="1" x14ac:dyDescent="0.25">
      <c r="A40" s="14" t="s">
        <v>168</v>
      </c>
      <c r="B40" s="22" t="s">
        <v>213</v>
      </c>
      <c r="C40" s="40">
        <f>SUM('1.Bev-kiad.'!D41)</f>
        <v>30000</v>
      </c>
      <c r="D40" s="40">
        <v>0</v>
      </c>
      <c r="E40" s="40">
        <v>0</v>
      </c>
      <c r="F40" s="40">
        <v>0</v>
      </c>
      <c r="G40" s="2"/>
      <c r="H40" s="2">
        <f>(H22+H29)/2</f>
        <v>277500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2.75" hidden="1" customHeight="1" x14ac:dyDescent="0.2">
      <c r="A41" s="8" t="s">
        <v>169</v>
      </c>
      <c r="B41" s="19" t="s">
        <v>174</v>
      </c>
      <c r="C41" s="8"/>
      <c r="D41" s="8"/>
      <c r="E41" s="8"/>
      <c r="F41" s="8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2.75" hidden="1" customHeight="1" x14ac:dyDescent="0.2">
      <c r="A42" s="8" t="s">
        <v>170</v>
      </c>
      <c r="B42" s="19" t="s">
        <v>175</v>
      </c>
      <c r="C42" s="8"/>
      <c r="D42" s="8"/>
      <c r="E42" s="8"/>
      <c r="F42" s="8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2.75" hidden="1" customHeight="1" x14ac:dyDescent="0.2">
      <c r="A43" s="8" t="s">
        <v>171</v>
      </c>
      <c r="B43" s="19" t="s">
        <v>176</v>
      </c>
      <c r="C43" s="8"/>
      <c r="D43" s="8"/>
      <c r="E43" s="8"/>
      <c r="F43" s="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2.75" hidden="1" customHeight="1" x14ac:dyDescent="0.2">
      <c r="A44" s="8" t="s">
        <v>172</v>
      </c>
      <c r="B44" s="19" t="s">
        <v>177</v>
      </c>
      <c r="C44" s="8"/>
      <c r="D44" s="8"/>
      <c r="E44" s="8"/>
      <c r="F44" s="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2.75" hidden="1" customHeight="1" x14ac:dyDescent="0.2">
      <c r="A45" s="8" t="s">
        <v>173</v>
      </c>
      <c r="B45" s="19" t="s">
        <v>178</v>
      </c>
      <c r="C45" s="8"/>
      <c r="D45" s="8"/>
      <c r="E45" s="8"/>
      <c r="F45" s="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8" customHeight="1" x14ac:dyDescent="0.25">
      <c r="A46" s="14" t="s">
        <v>179</v>
      </c>
      <c r="B46" s="22" t="s">
        <v>214</v>
      </c>
      <c r="C46" s="40">
        <f>SUM('1.Bev-kiad.'!D47)</f>
        <v>30000</v>
      </c>
      <c r="D46" s="40">
        <v>30000</v>
      </c>
      <c r="E46" s="40">
        <v>30000</v>
      </c>
      <c r="F46" s="40">
        <v>30000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2.75" hidden="1" customHeight="1" x14ac:dyDescent="0.2">
      <c r="A47" s="8" t="s">
        <v>185</v>
      </c>
      <c r="B47" s="19" t="s">
        <v>182</v>
      </c>
      <c r="C47" s="8"/>
      <c r="D47" s="8"/>
      <c r="E47" s="8"/>
      <c r="F47" s="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2.75" hidden="1" customHeight="1" x14ac:dyDescent="0.2">
      <c r="A48" s="8" t="s">
        <v>186</v>
      </c>
      <c r="B48" s="19" t="s">
        <v>183</v>
      </c>
      <c r="C48" s="8"/>
      <c r="D48" s="8"/>
      <c r="E48" s="8"/>
      <c r="F48" s="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2.75" hidden="1" customHeight="1" x14ac:dyDescent="0.2">
      <c r="A49" s="8" t="s">
        <v>187</v>
      </c>
      <c r="B49" s="19" t="s">
        <v>184</v>
      </c>
      <c r="C49" s="8"/>
      <c r="D49" s="8"/>
      <c r="E49" s="8"/>
      <c r="F49" s="8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8" customHeight="1" x14ac:dyDescent="0.25">
      <c r="A50" s="14" t="s">
        <v>180</v>
      </c>
      <c r="B50" s="22" t="s">
        <v>215</v>
      </c>
      <c r="C50" s="40">
        <f>SUM('3.felh'!D34)</f>
        <v>10295</v>
      </c>
      <c r="D50" s="40">
        <v>10295</v>
      </c>
      <c r="E50" s="40">
        <v>10295</v>
      </c>
      <c r="F50" s="40">
        <v>10295</v>
      </c>
      <c r="G50" s="2"/>
      <c r="H50" s="7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3.5" hidden="1" customHeight="1" x14ac:dyDescent="0.25">
      <c r="A51" s="8" t="s">
        <v>188</v>
      </c>
      <c r="B51" s="19" t="s">
        <v>191</v>
      </c>
      <c r="C51" s="40"/>
      <c r="D51" s="40"/>
      <c r="E51" s="40"/>
      <c r="F51" s="4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3.5" hidden="1" customHeight="1" x14ac:dyDescent="0.25">
      <c r="A52" s="8" t="s">
        <v>189</v>
      </c>
      <c r="B52" s="19" t="s">
        <v>192</v>
      </c>
      <c r="C52" s="40"/>
      <c r="D52" s="40"/>
      <c r="E52" s="40"/>
      <c r="F52" s="4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3.5" hidden="1" customHeight="1" x14ac:dyDescent="0.25">
      <c r="A53" s="8" t="s">
        <v>190</v>
      </c>
      <c r="B53" s="19" t="s">
        <v>193</v>
      </c>
      <c r="C53" s="40"/>
      <c r="D53" s="40"/>
      <c r="E53" s="40"/>
      <c r="F53" s="4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22.5" customHeight="1" x14ac:dyDescent="0.2">
      <c r="A54" s="24" t="s">
        <v>181</v>
      </c>
      <c r="B54" s="162" t="s">
        <v>311</v>
      </c>
      <c r="C54" s="183">
        <f>SUM(C55+C60)</f>
        <v>495613</v>
      </c>
      <c r="D54" s="183">
        <f>SUM(D55+D60)</f>
        <v>50000</v>
      </c>
      <c r="E54" s="183">
        <f>SUM(E55+E60)</f>
        <v>50000</v>
      </c>
      <c r="F54" s="183">
        <f>SUM(F55+F60)</f>
        <v>50000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3.5" customHeight="1" x14ac:dyDescent="0.25">
      <c r="A55" s="24"/>
      <c r="B55" s="22" t="s">
        <v>388</v>
      </c>
      <c r="C55" s="40">
        <f>SUM(C56)+C59</f>
        <v>495613</v>
      </c>
      <c r="D55" s="40">
        <f>SUM(D56)+D59</f>
        <v>50000</v>
      </c>
      <c r="E55" s="40">
        <f>SUM(E56)+E59</f>
        <v>50000</v>
      </c>
      <c r="F55" s="40">
        <f>SUM(F56)+F59</f>
        <v>50000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3.5" customHeight="1" x14ac:dyDescent="0.2">
      <c r="A56" s="8"/>
      <c r="B56" s="29" t="s">
        <v>389</v>
      </c>
      <c r="C56" s="5">
        <f>SUM(C57:C58)</f>
        <v>495613</v>
      </c>
      <c r="D56" s="5">
        <f>SUM(D57:D58)</f>
        <v>50000</v>
      </c>
      <c r="E56" s="5">
        <f>SUM(E57:E58)</f>
        <v>50000</v>
      </c>
      <c r="F56" s="5">
        <f>SUM(F57:F58)</f>
        <v>50000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3.5" customHeight="1" x14ac:dyDescent="0.2">
      <c r="A57" s="8"/>
      <c r="B57" s="29" t="s">
        <v>378</v>
      </c>
      <c r="C57" s="13">
        <f>SUM('1.Bev-kiad.'!D58)</f>
        <v>197190</v>
      </c>
      <c r="D57" s="13">
        <v>50000</v>
      </c>
      <c r="E57" s="13">
        <v>50000</v>
      </c>
      <c r="F57" s="13">
        <v>50000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3.5" customHeight="1" x14ac:dyDescent="0.2">
      <c r="A58" s="8"/>
      <c r="B58" s="29" t="s">
        <v>379</v>
      </c>
      <c r="C58" s="13">
        <f>SUM('1.Bev-kiad.'!D59)</f>
        <v>298423</v>
      </c>
      <c r="D58" s="13">
        <v>0</v>
      </c>
      <c r="E58" s="13">
        <v>0</v>
      </c>
      <c r="F58" s="13">
        <v>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3.5" hidden="1" customHeight="1" x14ac:dyDescent="0.2">
      <c r="A59" s="8"/>
      <c r="B59" s="29" t="s">
        <v>427</v>
      </c>
      <c r="C59" s="13">
        <f>'2.működés'!D119</f>
        <v>0</v>
      </c>
      <c r="D59" s="13">
        <f>'2.működés'!F119</f>
        <v>0</v>
      </c>
      <c r="E59" s="13">
        <f>'2.működés'!H119</f>
        <v>0</v>
      </c>
      <c r="F59" s="13">
        <f>'2.működés'!J119</f>
        <v>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3.5" customHeight="1" thickBot="1" x14ac:dyDescent="0.3">
      <c r="A60" s="8"/>
      <c r="B60" s="22" t="str">
        <f>'1.Bev-kiad.'!B62</f>
        <v xml:space="preserve">   2. Külföldi finanszírozás bevételei</v>
      </c>
      <c r="C60" s="40">
        <f>SUM(C61:C62)</f>
        <v>0</v>
      </c>
      <c r="D60" s="40">
        <f>SUM(D61:D62)</f>
        <v>0</v>
      </c>
      <c r="E60" s="40">
        <f>SUM(E61:E62)</f>
        <v>0</v>
      </c>
      <c r="F60" s="40">
        <f>SUM(F61:F62)</f>
        <v>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3.5" hidden="1" customHeight="1" x14ac:dyDescent="0.2">
      <c r="A61" s="8"/>
      <c r="B61" s="8" t="s">
        <v>718</v>
      </c>
      <c r="C61" s="13">
        <f>'1.Bev-kiad.'!D63</f>
        <v>0</v>
      </c>
      <c r="D61" s="13">
        <v>0</v>
      </c>
      <c r="E61" s="13">
        <v>0</v>
      </c>
      <c r="F61" s="13">
        <v>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3.5" hidden="1" customHeight="1" thickBot="1" x14ac:dyDescent="0.25">
      <c r="A62" s="12"/>
      <c r="B62" s="12" t="s">
        <v>773</v>
      </c>
      <c r="C62" s="30">
        <f>'3.felh'!D43</f>
        <v>0</v>
      </c>
      <c r="D62" s="30">
        <v>0</v>
      </c>
      <c r="E62" s="30">
        <v>0</v>
      </c>
      <c r="F62" s="30">
        <v>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23.25" customHeight="1" thickBot="1" x14ac:dyDescent="0.4">
      <c r="A63" s="205"/>
      <c r="B63" s="206" t="s">
        <v>334</v>
      </c>
      <c r="C63" s="169">
        <f>SUM(C8+C54)</f>
        <v>3079818</v>
      </c>
      <c r="D63" s="169">
        <f>SUM(D8+D54)</f>
        <v>1915295</v>
      </c>
      <c r="E63" s="169">
        <f>SUM(E8+E54)</f>
        <v>1927295</v>
      </c>
      <c r="F63" s="169">
        <f>SUM(F8+F54)</f>
        <v>1940295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20.25" customHeight="1" x14ac:dyDescent="0.25">
      <c r="A64" s="140" t="s">
        <v>313</v>
      </c>
      <c r="B64" s="214" t="s">
        <v>303</v>
      </c>
      <c r="C64" s="164">
        <f>SUM(C65+C72)</f>
        <v>2958032</v>
      </c>
      <c r="D64" s="164">
        <f t="shared" ref="D64:F64" si="0">SUM(D65+D72)</f>
        <v>1821085</v>
      </c>
      <c r="E64" s="164">
        <f t="shared" si="0"/>
        <v>1833085</v>
      </c>
      <c r="F64" s="164">
        <f t="shared" si="0"/>
        <v>1850085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8" customHeight="1" x14ac:dyDescent="0.25">
      <c r="A65" s="14" t="s">
        <v>194</v>
      </c>
      <c r="B65" s="22" t="s">
        <v>779</v>
      </c>
      <c r="C65" s="141">
        <f>C66</f>
        <v>1883794</v>
      </c>
      <c r="D65" s="141">
        <f t="shared" ref="D65:F65" si="1">D66</f>
        <v>1658100</v>
      </c>
      <c r="E65" s="141">
        <f t="shared" si="1"/>
        <v>1699400</v>
      </c>
      <c r="F65" s="141">
        <f t="shared" si="1"/>
        <v>1750700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">
      <c r="A66" s="8"/>
      <c r="B66" s="14" t="s">
        <v>756</v>
      </c>
      <c r="C66" s="79">
        <f>SUM(C67:C71)</f>
        <v>1883794</v>
      </c>
      <c r="D66" s="79">
        <f t="shared" ref="D66:F66" si="2">SUM(D67:D71)</f>
        <v>1658100</v>
      </c>
      <c r="E66" s="79">
        <f t="shared" si="2"/>
        <v>1699400</v>
      </c>
      <c r="F66" s="79">
        <f t="shared" si="2"/>
        <v>1750700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3.5" customHeight="1" x14ac:dyDescent="0.2">
      <c r="A67" s="8"/>
      <c r="B67" s="8" t="s">
        <v>757</v>
      </c>
      <c r="C67" s="124">
        <f>'2.működés'!D125</f>
        <v>373342</v>
      </c>
      <c r="D67" s="124">
        <v>370000</v>
      </c>
      <c r="E67" s="124">
        <v>380000</v>
      </c>
      <c r="F67" s="124">
        <v>390000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3.5" customHeight="1" x14ac:dyDescent="0.2">
      <c r="A68" s="8"/>
      <c r="B68" s="8" t="s">
        <v>758</v>
      </c>
      <c r="C68" s="124">
        <f>'2.működés'!D128</f>
        <v>49611</v>
      </c>
      <c r="D68" s="124">
        <v>48100</v>
      </c>
      <c r="E68" s="124">
        <v>49400</v>
      </c>
      <c r="F68" s="124">
        <v>50700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3.5" customHeight="1" x14ac:dyDescent="0.2">
      <c r="A69" s="8"/>
      <c r="B69" s="8" t="s">
        <v>759</v>
      </c>
      <c r="C69" s="124">
        <f>'2.működés'!D131</f>
        <v>622852</v>
      </c>
      <c r="D69" s="124">
        <v>400000</v>
      </c>
      <c r="E69" s="124">
        <v>420000</v>
      </c>
      <c r="F69" s="124">
        <v>450000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3.5" customHeight="1" x14ac:dyDescent="0.2">
      <c r="A70" s="8"/>
      <c r="B70" s="8" t="s">
        <v>760</v>
      </c>
      <c r="C70" s="124">
        <f>'2.működés'!D134</f>
        <v>20000</v>
      </c>
      <c r="D70" s="124">
        <v>20000</v>
      </c>
      <c r="E70" s="124">
        <v>20000</v>
      </c>
      <c r="F70" s="124">
        <v>20000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s="48" customFormat="1" ht="13.5" customHeight="1" x14ac:dyDescent="0.2">
      <c r="A71" s="8"/>
      <c r="B71" s="8" t="s">
        <v>761</v>
      </c>
      <c r="C71" s="124">
        <f>'2.működés'!D135</f>
        <v>817989</v>
      </c>
      <c r="D71" s="124">
        <v>820000</v>
      </c>
      <c r="E71" s="124">
        <v>830000</v>
      </c>
      <c r="F71" s="124">
        <v>840000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s="48" customFormat="1" ht="13.5" customHeight="1" x14ac:dyDescent="0.25">
      <c r="A72" s="14" t="s">
        <v>195</v>
      </c>
      <c r="B72" s="22" t="s">
        <v>780</v>
      </c>
      <c r="C72" s="34">
        <f>SUM(C73:C75)</f>
        <v>1074238</v>
      </c>
      <c r="D72" s="34">
        <f t="shared" ref="D72:F72" si="3">SUM(D73:D75)</f>
        <v>162985</v>
      </c>
      <c r="E72" s="34">
        <f t="shared" si="3"/>
        <v>133685</v>
      </c>
      <c r="F72" s="34">
        <f t="shared" si="3"/>
        <v>99385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s="48" customFormat="1" ht="13.5" customHeight="1" x14ac:dyDescent="0.2">
      <c r="A73" s="8"/>
      <c r="B73" s="8" t="s">
        <v>297</v>
      </c>
      <c r="C73" s="13">
        <f>SUM('3.felh'!D47)</f>
        <v>744562</v>
      </c>
      <c r="D73" s="13">
        <v>112985</v>
      </c>
      <c r="E73" s="13">
        <v>100000</v>
      </c>
      <c r="F73" s="13">
        <v>61790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s="48" customFormat="1" ht="15" customHeight="1" x14ac:dyDescent="0.2">
      <c r="A74" s="8"/>
      <c r="B74" s="8" t="s">
        <v>298</v>
      </c>
      <c r="C74" s="13">
        <f>SUM('3.felh'!D74)</f>
        <v>329676</v>
      </c>
      <c r="D74" s="13">
        <v>50000</v>
      </c>
      <c r="E74" s="13">
        <v>33685</v>
      </c>
      <c r="F74" s="13">
        <v>37595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s="48" customFormat="1" ht="15" customHeight="1" x14ac:dyDescent="0.2">
      <c r="A75" s="8"/>
      <c r="B75" s="8" t="s">
        <v>299</v>
      </c>
      <c r="C75" s="13">
        <f>SUM(C76:C78)</f>
        <v>0</v>
      </c>
      <c r="D75" s="13">
        <f t="shared" ref="D75:F75" si="4">SUM(D76:D78)</f>
        <v>0</v>
      </c>
      <c r="E75" s="13">
        <v>0</v>
      </c>
      <c r="F75" s="13">
        <f t="shared" si="4"/>
        <v>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s="48" customFormat="1" ht="12.75" hidden="1" customHeight="1" x14ac:dyDescent="0.2">
      <c r="A76" s="8"/>
      <c r="B76" s="143" t="s">
        <v>589</v>
      </c>
      <c r="C76" s="70">
        <f>SUM('3.felh'!D97)</f>
        <v>0</v>
      </c>
      <c r="D76" s="70">
        <v>0</v>
      </c>
      <c r="E76" s="70">
        <v>0</v>
      </c>
      <c r="F76" s="70">
        <f>SUM('3.felh'!J97)</f>
        <v>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s="48" customFormat="1" ht="13.5" hidden="1" customHeight="1" x14ac:dyDescent="0.2">
      <c r="A77" s="8"/>
      <c r="B77" s="143" t="s">
        <v>599</v>
      </c>
      <c r="C77" s="70">
        <v>0</v>
      </c>
      <c r="D77" s="70">
        <v>0</v>
      </c>
      <c r="E77" s="70">
        <v>0</v>
      </c>
      <c r="F77" s="70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s="48" customFormat="1" ht="12.75" hidden="1" customHeight="1" x14ac:dyDescent="0.2">
      <c r="A78" s="8"/>
      <c r="B78" s="512" t="s">
        <v>785</v>
      </c>
      <c r="C78" s="513">
        <f>SUM('3.felh'!D101)</f>
        <v>0</v>
      </c>
      <c r="D78" s="513">
        <v>0</v>
      </c>
      <c r="E78" s="513">
        <v>0</v>
      </c>
      <c r="F78" s="513">
        <v>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s="48" customFormat="1" ht="15" customHeight="1" x14ac:dyDescent="0.25">
      <c r="A79" s="14" t="s">
        <v>196</v>
      </c>
      <c r="B79" s="162" t="s">
        <v>312</v>
      </c>
      <c r="C79" s="180">
        <f>SUM(C80+C85+C86)</f>
        <v>121786</v>
      </c>
      <c r="D79" s="180">
        <f t="shared" ref="D79:F79" si="5">SUM(D80+D85+D86)</f>
        <v>94210</v>
      </c>
      <c r="E79" s="180">
        <f t="shared" si="5"/>
        <v>94210</v>
      </c>
      <c r="F79" s="180">
        <f t="shared" si="5"/>
        <v>90210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s="48" customFormat="1" ht="15" customHeight="1" x14ac:dyDescent="0.25">
      <c r="A80" s="14"/>
      <c r="B80" s="179" t="s">
        <v>339</v>
      </c>
      <c r="C80" s="151">
        <f>SUM(C81:C84)</f>
        <v>121786</v>
      </c>
      <c r="D80" s="151">
        <f t="shared" ref="D80:F80" si="6">SUM(D81:D84)</f>
        <v>94210</v>
      </c>
      <c r="E80" s="151">
        <f t="shared" si="6"/>
        <v>94210</v>
      </c>
      <c r="F80" s="151">
        <f t="shared" si="6"/>
        <v>90210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21.75" hidden="1" customHeight="1" x14ac:dyDescent="0.2">
      <c r="A81" s="8" t="s">
        <v>752</v>
      </c>
      <c r="B81" s="8" t="s">
        <v>753</v>
      </c>
      <c r="C81" s="13">
        <v>0</v>
      </c>
      <c r="D81" s="13">
        <v>0</v>
      </c>
      <c r="E81" s="13">
        <v>0</v>
      </c>
      <c r="F81" s="13">
        <v>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4.25" customHeight="1" x14ac:dyDescent="0.2">
      <c r="A82" s="8" t="s">
        <v>346</v>
      </c>
      <c r="B82" s="8" t="s">
        <v>366</v>
      </c>
      <c r="C82" s="13">
        <f>SUM('2.működés'!D144)</f>
        <v>27576</v>
      </c>
      <c r="D82" s="13">
        <v>0</v>
      </c>
      <c r="E82" s="13">
        <v>0</v>
      </c>
      <c r="F82" s="13">
        <v>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hidden="1" customHeight="1" x14ac:dyDescent="0.25">
      <c r="A83" s="8"/>
      <c r="B83" s="213" t="s">
        <v>340</v>
      </c>
      <c r="C83" s="41"/>
      <c r="D83" s="41"/>
      <c r="E83" s="41"/>
      <c r="F83" s="4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">
      <c r="A84" s="8" t="s">
        <v>752</v>
      </c>
      <c r="B84" s="213" t="s">
        <v>612</v>
      </c>
      <c r="C84" s="13">
        <f>SUM('3.felh'!D106)</f>
        <v>94210</v>
      </c>
      <c r="D84" s="13">
        <v>94210</v>
      </c>
      <c r="E84" s="13">
        <v>94210</v>
      </c>
      <c r="F84" s="13">
        <v>90210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14"/>
      <c r="B85" s="179" t="s">
        <v>341</v>
      </c>
      <c r="C85" s="41">
        <v>0</v>
      </c>
      <c r="D85" s="41">
        <v>0</v>
      </c>
      <c r="E85" s="41">
        <v>0</v>
      </c>
      <c r="F85" s="41">
        <v>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thickBot="1" x14ac:dyDescent="0.3">
      <c r="A86" s="21"/>
      <c r="B86" s="176" t="s">
        <v>342</v>
      </c>
      <c r="C86" s="161">
        <v>0</v>
      </c>
      <c r="D86" s="161">
        <v>0</v>
      </c>
      <c r="E86" s="161">
        <v>0</v>
      </c>
      <c r="F86" s="161">
        <v>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20.25" customHeight="1" thickBot="1" x14ac:dyDescent="0.4">
      <c r="A87" s="245"/>
      <c r="B87" s="206" t="s">
        <v>51</v>
      </c>
      <c r="C87" s="340">
        <f>SUM(C64+C79)</f>
        <v>3079818</v>
      </c>
      <c r="D87" s="340">
        <f t="shared" ref="D87:F87" si="7">SUM(D64+D79)</f>
        <v>1915295</v>
      </c>
      <c r="E87" s="340">
        <f t="shared" si="7"/>
        <v>1927295</v>
      </c>
      <c r="F87" s="340">
        <f t="shared" si="7"/>
        <v>1940295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">
      <c r="B89" s="2"/>
      <c r="C89" s="2"/>
      <c r="D89" s="7"/>
      <c r="E89" s="7"/>
      <c r="F89" s="7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2:20" ht="15.7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2:20" ht="15.7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2:20" ht="15.7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2:20" ht="15.7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2:20" ht="15.7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2:20" ht="15.7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2:20" ht="15.7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2:20" ht="15.7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2:20" ht="15.7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2:20" ht="15.7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2:20" ht="15.7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2:20" ht="15.7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2:20" ht="15.7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2:20" ht="15.7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2:20" ht="15.7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2:20" ht="15.7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2:20" ht="15.7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2:20" ht="15.7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2:20" ht="15.7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2:20" ht="15.7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2:20" ht="15.7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2:20" ht="15.7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2:20" ht="15.7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2:20" ht="15.7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2:20" ht="15.7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2:20" ht="15.7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2:20" ht="15.7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2:20" ht="15.7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2:20" ht="15.7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2:20" ht="15.7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2:20" ht="15.7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2:20" ht="15.7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2:20" ht="15.7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2:20" ht="15.7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2:20" ht="15.7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2:20" ht="15.7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2:20" ht="15.7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2:20" ht="15.7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2:20" ht="15.7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2:20" ht="15.7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2:20" ht="15.7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2:20" ht="15.7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2:20" ht="15.7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2:20" ht="15.7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2:20" ht="15.7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2:20" ht="15.7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2:20" ht="15.7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2:20" ht="15.7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2:20" ht="15.7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2:20" ht="15.7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2:20" ht="15.7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2:20" ht="15.7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2:20" ht="15.7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2:20" ht="15.7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2:20" ht="15.7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2:20" ht="15.7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2:20" ht="15.7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2:20" ht="15.7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2:20" ht="15.7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2:20" ht="15.7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2:20" ht="15.7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2:20" ht="15.7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2:20" ht="15.7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2:20" ht="15.7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2:20" ht="15.7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2:20" ht="15.7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2:20" ht="15.7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2:20" ht="15.7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2:20" ht="15.7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2:20" ht="15.7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2:20" ht="15.75" customHeight="1" x14ac:dyDescent="0.2">
      <c r="B167" s="2"/>
      <c r="C167" s="27"/>
      <c r="D167" s="27"/>
      <c r="E167" s="27"/>
      <c r="F167" s="27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2:20" ht="15.75" customHeight="1" x14ac:dyDescent="0.2">
      <c r="B168" s="2"/>
      <c r="C168" s="27"/>
      <c r="D168" s="27"/>
      <c r="E168" s="27"/>
      <c r="F168" s="27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2:20" ht="15.75" customHeight="1" x14ac:dyDescent="0.2">
      <c r="B169" s="2"/>
      <c r="C169" s="27"/>
      <c r="D169" s="27"/>
      <c r="E169" s="27"/>
      <c r="F169" s="27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2:20" ht="15.75" customHeight="1" x14ac:dyDescent="0.2">
      <c r="B170" s="2"/>
      <c r="C170" s="27"/>
      <c r="D170" s="27"/>
      <c r="E170" s="27"/>
      <c r="F170" s="27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2:20" ht="15.75" customHeight="1" x14ac:dyDescent="0.2">
      <c r="B171" s="2"/>
      <c r="C171" s="27"/>
      <c r="D171" s="27"/>
      <c r="E171" s="27"/>
      <c r="F171" s="27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2:20" ht="15.75" customHeight="1" x14ac:dyDescent="0.2">
      <c r="B172" s="2"/>
      <c r="C172" s="27"/>
      <c r="D172" s="27"/>
      <c r="E172" s="27"/>
      <c r="F172" s="27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2:20" ht="15.75" customHeight="1" x14ac:dyDescent="0.2">
      <c r="B173" s="2"/>
      <c r="C173" s="27"/>
      <c r="D173" s="27"/>
      <c r="E173" s="27"/>
      <c r="F173" s="27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2:20" ht="15.75" customHeight="1" x14ac:dyDescent="0.2">
      <c r="B174" s="2"/>
      <c r="C174" s="27"/>
      <c r="D174" s="27"/>
      <c r="E174" s="27"/>
      <c r="F174" s="27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2:20" ht="15.75" customHeight="1" x14ac:dyDescent="0.2">
      <c r="B175" s="2"/>
      <c r="C175" s="27"/>
      <c r="D175" s="27"/>
      <c r="E175" s="27"/>
      <c r="F175" s="27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2:20" ht="15.75" customHeight="1" x14ac:dyDescent="0.2">
      <c r="B176" s="2"/>
      <c r="C176" s="27"/>
      <c r="D176" s="27"/>
      <c r="E176" s="27"/>
      <c r="F176" s="27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2:20" ht="15.75" customHeight="1" x14ac:dyDescent="0.2">
      <c r="B177" s="2"/>
      <c r="C177" s="27"/>
      <c r="D177" s="27"/>
      <c r="E177" s="27"/>
      <c r="F177" s="27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2:20" ht="15.75" customHeight="1" x14ac:dyDescent="0.2">
      <c r="B178" s="2"/>
      <c r="C178" s="27"/>
      <c r="D178" s="27"/>
      <c r="E178" s="27"/>
      <c r="F178" s="27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2:20" ht="15.75" customHeight="1" x14ac:dyDescent="0.2">
      <c r="B179" s="2"/>
      <c r="C179" s="27"/>
      <c r="D179" s="27"/>
      <c r="E179" s="27"/>
      <c r="F179" s="27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2:20" ht="15.75" customHeight="1" x14ac:dyDescent="0.2">
      <c r="B180" s="2"/>
      <c r="C180" s="27"/>
      <c r="D180" s="27"/>
      <c r="E180" s="27"/>
      <c r="F180" s="27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2:20" ht="15.75" customHeight="1" x14ac:dyDescent="0.2">
      <c r="B181" s="2"/>
      <c r="C181" s="27"/>
      <c r="D181" s="27"/>
      <c r="E181" s="27"/>
      <c r="F181" s="27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2:20" ht="15.75" customHeight="1" x14ac:dyDescent="0.2">
      <c r="B182" s="2"/>
      <c r="C182" s="27"/>
      <c r="D182" s="27"/>
      <c r="E182" s="27"/>
      <c r="F182" s="27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2:20" ht="15.75" customHeight="1" x14ac:dyDescent="0.2">
      <c r="B183" s="2"/>
      <c r="C183" s="27"/>
      <c r="D183" s="27"/>
      <c r="E183" s="27"/>
      <c r="F183" s="27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2:20" ht="15.75" customHeight="1" x14ac:dyDescent="0.2">
      <c r="B184" s="2"/>
      <c r="C184" s="27"/>
      <c r="D184" s="27"/>
      <c r="E184" s="27"/>
      <c r="F184" s="27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2:20" ht="15.75" customHeight="1" x14ac:dyDescent="0.2">
      <c r="B185" s="2"/>
      <c r="C185" s="27"/>
      <c r="D185" s="27"/>
      <c r="E185" s="27"/>
      <c r="F185" s="27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2:20" ht="15.75" customHeight="1" x14ac:dyDescent="0.2">
      <c r="B186" s="2"/>
      <c r="C186" s="27"/>
      <c r="D186" s="27"/>
      <c r="E186" s="27"/>
      <c r="F186" s="27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2:20" ht="15.75" customHeight="1" x14ac:dyDescent="0.2">
      <c r="B187" s="2"/>
      <c r="C187" s="27"/>
      <c r="D187" s="27"/>
      <c r="E187" s="27"/>
      <c r="F187" s="27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2:20" ht="15.75" customHeight="1" x14ac:dyDescent="0.2">
      <c r="B188" s="2"/>
      <c r="C188" s="27"/>
      <c r="D188" s="27"/>
      <c r="E188" s="27"/>
      <c r="F188" s="27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2:20" ht="15.75" customHeight="1" x14ac:dyDescent="0.2">
      <c r="B189" s="2"/>
      <c r="C189" s="27"/>
      <c r="D189" s="27"/>
      <c r="E189" s="27"/>
      <c r="F189" s="27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2:20" ht="15.75" customHeight="1" x14ac:dyDescent="0.2">
      <c r="B190" s="2"/>
      <c r="C190" s="27"/>
      <c r="D190" s="27"/>
      <c r="E190" s="27"/>
      <c r="F190" s="27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2:20" ht="15.75" customHeight="1" x14ac:dyDescent="0.2">
      <c r="B191" s="2"/>
      <c r="C191" s="27"/>
      <c r="D191" s="27"/>
      <c r="E191" s="27"/>
      <c r="F191" s="27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2:20" ht="15.75" customHeight="1" x14ac:dyDescent="0.2">
      <c r="B192" s="2"/>
      <c r="C192" s="27"/>
      <c r="D192" s="27"/>
      <c r="E192" s="27"/>
      <c r="F192" s="27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2:20" ht="15.75" customHeight="1" x14ac:dyDescent="0.2">
      <c r="B193" s="2"/>
      <c r="C193" s="27"/>
      <c r="D193" s="27"/>
      <c r="E193" s="27"/>
      <c r="F193" s="27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2:20" ht="15.75" customHeight="1" x14ac:dyDescent="0.2">
      <c r="B194" s="2"/>
      <c r="C194" s="27"/>
      <c r="D194" s="27"/>
      <c r="E194" s="27"/>
      <c r="F194" s="27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2:20" ht="15.75" customHeight="1" x14ac:dyDescent="0.2">
      <c r="B195" s="2"/>
      <c r="C195" s="27"/>
      <c r="D195" s="27"/>
      <c r="E195" s="27"/>
      <c r="F195" s="27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2:20" ht="15.75" customHeight="1" x14ac:dyDescent="0.2">
      <c r="B196" s="2"/>
      <c r="C196" s="27"/>
      <c r="D196" s="27"/>
      <c r="E196" s="27"/>
      <c r="F196" s="27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2:20" ht="15.75" customHeight="1" x14ac:dyDescent="0.2">
      <c r="B197" s="2"/>
      <c r="C197" s="27"/>
      <c r="D197" s="27"/>
      <c r="E197" s="27"/>
      <c r="F197" s="27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2:20" ht="15.75" customHeight="1" x14ac:dyDescent="0.2">
      <c r="B198" s="2"/>
      <c r="C198" s="27"/>
      <c r="D198" s="27"/>
      <c r="E198" s="27"/>
      <c r="F198" s="27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2:20" ht="15.75" customHeight="1" x14ac:dyDescent="0.2">
      <c r="B199" s="2"/>
      <c r="C199" s="27"/>
      <c r="D199" s="27"/>
      <c r="E199" s="27"/>
      <c r="F199" s="27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2:20" ht="15.75" customHeight="1" x14ac:dyDescent="0.2">
      <c r="B200" s="2"/>
      <c r="C200" s="27"/>
      <c r="D200" s="27"/>
      <c r="E200" s="27"/>
      <c r="F200" s="27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2:20" ht="15.75" customHeight="1" x14ac:dyDescent="0.2">
      <c r="B201" s="2"/>
      <c r="C201" s="27"/>
      <c r="D201" s="27"/>
      <c r="E201" s="27"/>
      <c r="F201" s="27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2:20" ht="15.75" customHeight="1" x14ac:dyDescent="0.2">
      <c r="B202" s="2"/>
      <c r="C202" s="27"/>
      <c r="D202" s="27"/>
      <c r="E202" s="27"/>
      <c r="F202" s="27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2:20" ht="15.75" customHeight="1" x14ac:dyDescent="0.2">
      <c r="B203" s="2"/>
      <c r="C203" s="27"/>
      <c r="D203" s="27"/>
      <c r="E203" s="27"/>
      <c r="F203" s="27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2:20" ht="15.75" customHeight="1" x14ac:dyDescent="0.2">
      <c r="B204" s="2"/>
      <c r="C204" s="27"/>
      <c r="D204" s="27"/>
      <c r="E204" s="27"/>
      <c r="F204" s="27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2:20" ht="15.75" customHeight="1" x14ac:dyDescent="0.2">
      <c r="B205" s="2"/>
      <c r="C205" s="27"/>
      <c r="D205" s="27"/>
      <c r="E205" s="27"/>
      <c r="F205" s="27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2:20" ht="15.75" customHeight="1" x14ac:dyDescent="0.2">
      <c r="B206" s="2"/>
      <c r="C206" s="27"/>
      <c r="D206" s="27"/>
      <c r="E206" s="27"/>
      <c r="F206" s="27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2:20" ht="15.75" customHeight="1" x14ac:dyDescent="0.2">
      <c r="B207" s="2"/>
      <c r="C207" s="27"/>
      <c r="D207" s="27"/>
      <c r="E207" s="27"/>
      <c r="F207" s="27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2:20" ht="15.75" customHeight="1" x14ac:dyDescent="0.2">
      <c r="B208" s="2"/>
      <c r="C208" s="27"/>
      <c r="D208" s="27"/>
      <c r="E208" s="27"/>
      <c r="F208" s="27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2:20" ht="15.75" customHeight="1" x14ac:dyDescent="0.2">
      <c r="B209" s="2"/>
      <c r="C209" s="27"/>
      <c r="D209" s="27"/>
      <c r="E209" s="27"/>
      <c r="F209" s="27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2:20" ht="15.75" customHeight="1" x14ac:dyDescent="0.2">
      <c r="B210" s="2"/>
      <c r="C210" s="27"/>
      <c r="D210" s="27"/>
      <c r="E210" s="27"/>
      <c r="F210" s="27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2:20" ht="15.75" customHeight="1" x14ac:dyDescent="0.2">
      <c r="B211" s="2"/>
      <c r="C211" s="27"/>
      <c r="D211" s="27"/>
      <c r="E211" s="27"/>
      <c r="F211" s="27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2:20" ht="15.75" customHeight="1" x14ac:dyDescent="0.2">
      <c r="B212" s="2"/>
      <c r="C212" s="27"/>
      <c r="D212" s="27"/>
      <c r="E212" s="27"/>
      <c r="F212" s="27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2:20" ht="15.75" customHeight="1" x14ac:dyDescent="0.2">
      <c r="B213" s="2"/>
      <c r="C213" s="27"/>
      <c r="D213" s="27"/>
      <c r="E213" s="27"/>
      <c r="F213" s="27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2:20" ht="15.75" customHeight="1" x14ac:dyDescent="0.2">
      <c r="B214" s="2"/>
      <c r="C214" s="27"/>
      <c r="D214" s="27"/>
      <c r="E214" s="27"/>
      <c r="F214" s="27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2:20" ht="15.75" customHeight="1" x14ac:dyDescent="0.2">
      <c r="B215" s="2"/>
      <c r="C215" s="27"/>
      <c r="D215" s="27"/>
      <c r="E215" s="27"/>
      <c r="F215" s="27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2:20" ht="15.75" customHeight="1" x14ac:dyDescent="0.2">
      <c r="B216" s="2"/>
      <c r="C216" s="27"/>
      <c r="D216" s="27"/>
      <c r="E216" s="27"/>
      <c r="F216" s="27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2:20" ht="15.75" customHeight="1" x14ac:dyDescent="0.2">
      <c r="B217" s="2"/>
      <c r="C217" s="27"/>
      <c r="D217" s="27"/>
      <c r="E217" s="27"/>
      <c r="F217" s="27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2:20" ht="15.75" customHeight="1" x14ac:dyDescent="0.2">
      <c r="B218" s="2"/>
      <c r="C218" s="27"/>
      <c r="D218" s="27"/>
      <c r="E218" s="27"/>
      <c r="F218" s="27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2:20" ht="15.75" customHeight="1" x14ac:dyDescent="0.2">
      <c r="B219" s="2"/>
      <c r="C219" s="27"/>
      <c r="D219" s="27"/>
      <c r="E219" s="27"/>
      <c r="F219" s="27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2:20" ht="15.75" customHeight="1" x14ac:dyDescent="0.2">
      <c r="B220" s="2"/>
      <c r="C220" s="27"/>
      <c r="D220" s="27"/>
      <c r="E220" s="27"/>
      <c r="F220" s="27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2:20" ht="15.75" customHeight="1" x14ac:dyDescent="0.2">
      <c r="B221" s="2"/>
      <c r="C221" s="27"/>
      <c r="D221" s="27"/>
      <c r="E221" s="27"/>
      <c r="F221" s="27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2:20" ht="15.75" customHeight="1" x14ac:dyDescent="0.2">
      <c r="B222" s="2"/>
      <c r="C222" s="27"/>
      <c r="D222" s="27"/>
      <c r="E222" s="27"/>
      <c r="F222" s="27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2:20" ht="15.75" customHeight="1" x14ac:dyDescent="0.2">
      <c r="B223" s="2"/>
      <c r="C223" s="27"/>
      <c r="D223" s="27"/>
      <c r="E223" s="27"/>
      <c r="F223" s="27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2:20" ht="15.75" customHeight="1" x14ac:dyDescent="0.2">
      <c r="B224" s="2"/>
      <c r="C224" s="27"/>
      <c r="D224" s="27"/>
      <c r="E224" s="27"/>
      <c r="F224" s="27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2:20" ht="15.75" customHeight="1" x14ac:dyDescent="0.2">
      <c r="B225" s="2"/>
      <c r="C225" s="27"/>
      <c r="D225" s="27"/>
      <c r="E225" s="27"/>
      <c r="F225" s="27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2:20" ht="15.75" customHeight="1" x14ac:dyDescent="0.2">
      <c r="B226" s="2"/>
      <c r="C226" s="27"/>
      <c r="D226" s="27"/>
      <c r="E226" s="27"/>
      <c r="F226" s="27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2:20" ht="15.75" customHeight="1" x14ac:dyDescent="0.2">
      <c r="B227" s="2"/>
      <c r="C227" s="27"/>
      <c r="D227" s="27"/>
      <c r="E227" s="27"/>
      <c r="F227" s="27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2:20" ht="15.75" customHeight="1" x14ac:dyDescent="0.2">
      <c r="B228" s="2"/>
      <c r="C228" s="27"/>
      <c r="D228" s="27"/>
      <c r="E228" s="27"/>
      <c r="F228" s="27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2:20" ht="15.75" customHeight="1" x14ac:dyDescent="0.2">
      <c r="B229" s="2"/>
      <c r="C229" s="27"/>
      <c r="D229" s="27"/>
      <c r="E229" s="27"/>
      <c r="F229" s="27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2:20" ht="15.75" customHeight="1" x14ac:dyDescent="0.2">
      <c r="B230" s="2"/>
      <c r="C230" s="27"/>
      <c r="D230" s="27"/>
      <c r="E230" s="27"/>
      <c r="F230" s="27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2:20" ht="15.75" customHeight="1" x14ac:dyDescent="0.2">
      <c r="B231" s="2"/>
      <c r="C231" s="27"/>
      <c r="D231" s="27"/>
      <c r="E231" s="27"/>
      <c r="F231" s="27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2:20" ht="15.75" customHeight="1" x14ac:dyDescent="0.2">
      <c r="B232" s="2"/>
      <c r="C232" s="27"/>
      <c r="D232" s="27"/>
      <c r="E232" s="27"/>
      <c r="F232" s="27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2:20" ht="15.75" customHeight="1" x14ac:dyDescent="0.2">
      <c r="B233" s="2"/>
      <c r="C233" s="27"/>
      <c r="D233" s="27"/>
      <c r="E233" s="27"/>
      <c r="F233" s="27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2:20" ht="15.75" customHeight="1" x14ac:dyDescent="0.2">
      <c r="B234" s="2"/>
      <c r="C234" s="27"/>
      <c r="D234" s="27"/>
      <c r="E234" s="27"/>
      <c r="F234" s="27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2:20" ht="15.75" customHeight="1" x14ac:dyDescent="0.2">
      <c r="B235" s="2"/>
      <c r="C235" s="27"/>
      <c r="D235" s="27"/>
      <c r="E235" s="27"/>
      <c r="F235" s="27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2:20" ht="15.75" customHeight="1" x14ac:dyDescent="0.2">
      <c r="B236" s="2"/>
      <c r="C236" s="27"/>
      <c r="D236" s="27"/>
      <c r="E236" s="27"/>
      <c r="F236" s="27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2:20" ht="15.75" customHeight="1" x14ac:dyDescent="0.2">
      <c r="B237" s="2"/>
      <c r="C237" s="27"/>
      <c r="D237" s="27"/>
      <c r="E237" s="27"/>
      <c r="F237" s="27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2:20" ht="15.75" customHeight="1" x14ac:dyDescent="0.2">
      <c r="B238" s="2"/>
      <c r="C238" s="27"/>
      <c r="D238" s="27"/>
      <c r="E238" s="27"/>
      <c r="F238" s="27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2:20" ht="15.75" customHeight="1" x14ac:dyDescent="0.2">
      <c r="B239" s="2"/>
      <c r="C239" s="27"/>
      <c r="D239" s="27"/>
      <c r="E239" s="27"/>
      <c r="F239" s="27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2:20" ht="15.75" customHeight="1" x14ac:dyDescent="0.2">
      <c r="B240" s="2"/>
      <c r="C240" s="27"/>
      <c r="D240" s="27"/>
      <c r="E240" s="27"/>
      <c r="F240" s="27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2:20" ht="15.75" customHeight="1" x14ac:dyDescent="0.2">
      <c r="B241" s="2"/>
      <c r="C241" s="27"/>
      <c r="D241" s="27"/>
      <c r="E241" s="27"/>
      <c r="F241" s="27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2:20" ht="15.75" customHeight="1" x14ac:dyDescent="0.2">
      <c r="B242" s="2"/>
      <c r="C242" s="27"/>
      <c r="D242" s="27"/>
      <c r="E242" s="27"/>
      <c r="F242" s="27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2:20" ht="15.75" customHeight="1" x14ac:dyDescent="0.2">
      <c r="B243" s="2"/>
      <c r="C243" s="27"/>
      <c r="D243" s="27"/>
      <c r="E243" s="27"/>
      <c r="F243" s="27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2:20" ht="15.75" customHeight="1" x14ac:dyDescent="0.2">
      <c r="B244" s="2"/>
      <c r="C244" s="27"/>
      <c r="D244" s="27"/>
      <c r="E244" s="27"/>
      <c r="F244" s="27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2:20" ht="15.75" customHeight="1" x14ac:dyDescent="0.2">
      <c r="B245" s="2"/>
      <c r="C245" s="27"/>
      <c r="D245" s="27"/>
      <c r="E245" s="27"/>
      <c r="F245" s="27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2:20" ht="15.75" customHeight="1" x14ac:dyDescent="0.2">
      <c r="B246" s="2"/>
      <c r="C246" s="27"/>
      <c r="D246" s="27"/>
      <c r="E246" s="27"/>
      <c r="F246" s="27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2:20" ht="15.75" customHeight="1" x14ac:dyDescent="0.2">
      <c r="B247" s="2"/>
      <c r="C247" s="27"/>
      <c r="D247" s="27"/>
      <c r="E247" s="27"/>
      <c r="F247" s="27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2:20" ht="15.75" customHeight="1" x14ac:dyDescent="0.2">
      <c r="B248" s="2"/>
      <c r="C248" s="27"/>
      <c r="D248" s="27"/>
      <c r="E248" s="27"/>
      <c r="F248" s="27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2:20" ht="15.75" customHeight="1" x14ac:dyDescent="0.2">
      <c r="B249" s="2"/>
      <c r="C249" s="27"/>
      <c r="D249" s="27"/>
      <c r="E249" s="27"/>
      <c r="F249" s="27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2:20" ht="15.75" customHeight="1" x14ac:dyDescent="0.2">
      <c r="B250" s="2"/>
      <c r="C250" s="27"/>
      <c r="D250" s="27"/>
      <c r="E250" s="27"/>
      <c r="F250" s="27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2:20" ht="15.75" customHeight="1" x14ac:dyDescent="0.2">
      <c r="B251" s="2"/>
      <c r="C251" s="27"/>
      <c r="D251" s="27"/>
      <c r="E251" s="27"/>
      <c r="F251" s="27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2:20" ht="15.75" customHeight="1" x14ac:dyDescent="0.2">
      <c r="B252" s="2"/>
      <c r="C252" s="27"/>
      <c r="D252" s="27"/>
      <c r="E252" s="27"/>
      <c r="F252" s="27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2:20" ht="15.75" customHeight="1" x14ac:dyDescent="0.2">
      <c r="B253" s="2"/>
      <c r="C253" s="27"/>
      <c r="D253" s="27"/>
      <c r="E253" s="27"/>
      <c r="F253" s="27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2:20" ht="15.75" customHeight="1" x14ac:dyDescent="0.2">
      <c r="B254" s="2"/>
      <c r="C254" s="27"/>
      <c r="D254" s="27"/>
      <c r="E254" s="27"/>
      <c r="F254" s="27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2:20" ht="15.75" customHeight="1" x14ac:dyDescent="0.2">
      <c r="B255" s="2"/>
      <c r="C255" s="27"/>
      <c r="D255" s="27"/>
      <c r="E255" s="27"/>
      <c r="F255" s="27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2:20" ht="15.75" customHeight="1" x14ac:dyDescent="0.2">
      <c r="B256" s="2"/>
      <c r="C256" s="27"/>
      <c r="D256" s="27"/>
      <c r="E256" s="27"/>
      <c r="F256" s="27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2:20" ht="15.75" customHeight="1" x14ac:dyDescent="0.2">
      <c r="B257" s="2"/>
      <c r="C257" s="27"/>
      <c r="D257" s="27"/>
      <c r="E257" s="27"/>
      <c r="F257" s="27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2:20" ht="15.75" customHeight="1" x14ac:dyDescent="0.2">
      <c r="B258" s="2"/>
      <c r="C258" s="27"/>
      <c r="D258" s="27"/>
      <c r="E258" s="27"/>
      <c r="F258" s="27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2:20" ht="15.75" customHeight="1" x14ac:dyDescent="0.2">
      <c r="B259" s="2"/>
      <c r="C259" s="27"/>
      <c r="D259" s="27"/>
      <c r="E259" s="27"/>
      <c r="F259" s="27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2:20" ht="15.75" customHeight="1" x14ac:dyDescent="0.2">
      <c r="B260" s="2"/>
      <c r="C260" s="27"/>
      <c r="D260" s="27"/>
      <c r="E260" s="27"/>
      <c r="F260" s="27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2:20" ht="15.75" customHeight="1" x14ac:dyDescent="0.2">
      <c r="B261" s="2"/>
      <c r="C261" s="27"/>
      <c r="D261" s="27"/>
      <c r="E261" s="27"/>
      <c r="F261" s="27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2:20" ht="15.75" customHeight="1" x14ac:dyDescent="0.2">
      <c r="B262" s="2"/>
      <c r="C262" s="27"/>
      <c r="D262" s="27"/>
      <c r="E262" s="27"/>
      <c r="F262" s="27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2:20" ht="15.75" customHeight="1" x14ac:dyDescent="0.2">
      <c r="B263" s="2"/>
      <c r="C263" s="27"/>
      <c r="D263" s="27"/>
      <c r="E263" s="27"/>
      <c r="F263" s="27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2:20" ht="15.75" customHeight="1" x14ac:dyDescent="0.2">
      <c r="B264" s="2"/>
      <c r="C264" s="27"/>
      <c r="D264" s="27"/>
      <c r="E264" s="27"/>
      <c r="F264" s="27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2:20" ht="15.75" customHeight="1" x14ac:dyDescent="0.2">
      <c r="B265" s="2"/>
      <c r="C265" s="27"/>
      <c r="D265" s="27"/>
      <c r="E265" s="27"/>
      <c r="F265" s="27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2:20" ht="15.75" customHeight="1" x14ac:dyDescent="0.2">
      <c r="B266" s="2"/>
      <c r="C266" s="27"/>
      <c r="D266" s="27"/>
      <c r="E266" s="27"/>
      <c r="F266" s="27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2:20" ht="15.75" customHeight="1" x14ac:dyDescent="0.2">
      <c r="B267" s="2"/>
      <c r="C267" s="27"/>
      <c r="D267" s="27"/>
      <c r="E267" s="27"/>
      <c r="F267" s="27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2:20" ht="15.75" customHeight="1" x14ac:dyDescent="0.2">
      <c r="B268" s="2"/>
      <c r="C268" s="27"/>
      <c r="D268" s="27"/>
      <c r="E268" s="27"/>
      <c r="F268" s="27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2:20" ht="15.75" customHeight="1" x14ac:dyDescent="0.2">
      <c r="B269" s="2"/>
      <c r="C269" s="27"/>
      <c r="D269" s="27"/>
      <c r="E269" s="27"/>
      <c r="F269" s="27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2:20" ht="15.75" customHeight="1" x14ac:dyDescent="0.2">
      <c r="B270" s="2"/>
      <c r="C270" s="27"/>
      <c r="D270" s="27"/>
      <c r="E270" s="27"/>
      <c r="F270" s="27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2:20" ht="15.75" customHeight="1" x14ac:dyDescent="0.2">
      <c r="B271" s="2"/>
      <c r="C271" s="27"/>
      <c r="D271" s="27"/>
      <c r="E271" s="27"/>
      <c r="F271" s="27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2:20" ht="15.75" customHeight="1" x14ac:dyDescent="0.2">
      <c r="B272" s="2"/>
      <c r="C272" s="27"/>
      <c r="D272" s="27"/>
      <c r="E272" s="27"/>
      <c r="F272" s="27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2:20" ht="15.75" customHeight="1" x14ac:dyDescent="0.2">
      <c r="B273" s="2"/>
      <c r="C273" s="27"/>
      <c r="D273" s="27"/>
      <c r="E273" s="27"/>
      <c r="F273" s="27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2:20" ht="15.75" customHeight="1" x14ac:dyDescent="0.2">
      <c r="B274" s="2"/>
      <c r="C274" s="27"/>
      <c r="D274" s="27"/>
      <c r="E274" s="27"/>
      <c r="F274" s="27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2:20" ht="15.75" customHeight="1" x14ac:dyDescent="0.2">
      <c r="B275" s="2"/>
      <c r="C275" s="27"/>
      <c r="D275" s="27"/>
      <c r="E275" s="27"/>
      <c r="F275" s="27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2:20" ht="15.75" customHeight="1" x14ac:dyDescent="0.2">
      <c r="B276" s="2"/>
      <c r="C276" s="27"/>
      <c r="D276" s="27"/>
      <c r="E276" s="27"/>
      <c r="F276" s="27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2:20" ht="15.75" customHeight="1" x14ac:dyDescent="0.2">
      <c r="B277" s="2"/>
      <c r="C277" s="27"/>
      <c r="D277" s="27"/>
      <c r="E277" s="27"/>
      <c r="F277" s="27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2:20" ht="15.75" customHeight="1" x14ac:dyDescent="0.2">
      <c r="B278" s="2"/>
      <c r="C278" s="27"/>
      <c r="D278" s="27"/>
      <c r="E278" s="27"/>
      <c r="F278" s="27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2:20" ht="15.75" customHeight="1" x14ac:dyDescent="0.2">
      <c r="B279" s="2"/>
      <c r="C279" s="27"/>
      <c r="D279" s="27"/>
      <c r="E279" s="27"/>
      <c r="F279" s="27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2:20" ht="15.75" customHeight="1" x14ac:dyDescent="0.2">
      <c r="B280" s="2"/>
      <c r="C280" s="27"/>
      <c r="D280" s="27"/>
      <c r="E280" s="27"/>
      <c r="F280" s="27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2:20" ht="15.75" customHeight="1" x14ac:dyDescent="0.2">
      <c r="B281" s="2"/>
      <c r="C281" s="27"/>
      <c r="D281" s="27"/>
      <c r="E281" s="27"/>
      <c r="F281" s="27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2:20" ht="15.75" customHeight="1" x14ac:dyDescent="0.2">
      <c r="B282" s="2"/>
      <c r="C282" s="27"/>
      <c r="D282" s="27"/>
      <c r="E282" s="27"/>
      <c r="F282" s="27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2:20" ht="15.75" customHeight="1" x14ac:dyDescent="0.2">
      <c r="B283" s="2"/>
      <c r="C283" s="27"/>
      <c r="D283" s="27"/>
      <c r="E283" s="27"/>
      <c r="F283" s="27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2:20" ht="15.75" customHeight="1" x14ac:dyDescent="0.2">
      <c r="B284" s="2"/>
      <c r="C284" s="27"/>
      <c r="D284" s="27"/>
      <c r="E284" s="27"/>
      <c r="F284" s="27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2:20" ht="15.75" customHeight="1" x14ac:dyDescent="0.2">
      <c r="B285" s="2"/>
      <c r="C285" s="27"/>
      <c r="D285" s="27"/>
      <c r="E285" s="27"/>
      <c r="F285" s="27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2:20" ht="15.75" customHeight="1" x14ac:dyDescent="0.2">
      <c r="B286" s="2"/>
      <c r="C286" s="27"/>
      <c r="D286" s="27"/>
      <c r="E286" s="27"/>
      <c r="F286" s="27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2:20" ht="15.75" customHeight="1" x14ac:dyDescent="0.2">
      <c r="B287" s="2"/>
      <c r="C287" s="27"/>
      <c r="D287" s="27"/>
      <c r="E287" s="27"/>
      <c r="F287" s="27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2:20" ht="15.75" customHeight="1" x14ac:dyDescent="0.2">
      <c r="B288" s="2"/>
      <c r="C288" s="27"/>
      <c r="D288" s="27"/>
      <c r="E288" s="27"/>
      <c r="F288" s="27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2:20" ht="15.75" customHeight="1" x14ac:dyDescent="0.2">
      <c r="B289" s="2"/>
      <c r="C289" s="27"/>
      <c r="D289" s="27"/>
      <c r="E289" s="27"/>
      <c r="F289" s="27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2:20" ht="15.75" customHeight="1" x14ac:dyDescent="0.2">
      <c r="B290" s="2"/>
      <c r="C290" s="27"/>
      <c r="D290" s="27"/>
      <c r="E290" s="27"/>
      <c r="F290" s="27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2:20" ht="15.75" customHeight="1" x14ac:dyDescent="0.2">
      <c r="B291" s="2"/>
      <c r="C291" s="27"/>
      <c r="D291" s="27"/>
      <c r="E291" s="27"/>
      <c r="F291" s="27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2:20" ht="15.75" customHeight="1" x14ac:dyDescent="0.2">
      <c r="B292" s="2"/>
      <c r="C292" s="27"/>
      <c r="D292" s="27"/>
      <c r="E292" s="27"/>
      <c r="F292" s="27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2:20" ht="15.75" customHeight="1" x14ac:dyDescent="0.2">
      <c r="B293" s="2"/>
      <c r="C293" s="27"/>
      <c r="D293" s="27"/>
      <c r="E293" s="27"/>
      <c r="F293" s="27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2:20" ht="15.75" customHeight="1" x14ac:dyDescent="0.2">
      <c r="B294" s="2"/>
      <c r="C294" s="27"/>
      <c r="D294" s="27"/>
      <c r="E294" s="27"/>
      <c r="F294" s="27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2:20" ht="15.75" customHeight="1" x14ac:dyDescent="0.2">
      <c r="B295" s="2"/>
      <c r="C295" s="27"/>
      <c r="D295" s="27"/>
      <c r="E295" s="27"/>
      <c r="F295" s="27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2:20" ht="15.75" customHeight="1" x14ac:dyDescent="0.2">
      <c r="B296" s="2"/>
      <c r="C296" s="27"/>
      <c r="D296" s="27"/>
      <c r="E296" s="27"/>
      <c r="F296" s="27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2:20" ht="15.75" customHeight="1" x14ac:dyDescent="0.2">
      <c r="B297" s="2"/>
      <c r="C297" s="27"/>
      <c r="D297" s="27"/>
      <c r="E297" s="27"/>
      <c r="F297" s="27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2:20" ht="15.75" customHeight="1" x14ac:dyDescent="0.2">
      <c r="B298" s="2"/>
      <c r="C298" s="27"/>
      <c r="D298" s="27"/>
      <c r="E298" s="27"/>
      <c r="F298" s="27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2:20" ht="15.75" customHeight="1" x14ac:dyDescent="0.2">
      <c r="B299" s="2"/>
      <c r="C299" s="27"/>
      <c r="D299" s="27"/>
      <c r="E299" s="27"/>
      <c r="F299" s="27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2:20" ht="15.75" customHeight="1" x14ac:dyDescent="0.2">
      <c r="B300" s="2"/>
      <c r="C300" s="27"/>
      <c r="D300" s="27"/>
      <c r="E300" s="27"/>
      <c r="F300" s="27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2:20" ht="15.75" customHeight="1" x14ac:dyDescent="0.2">
      <c r="B301" s="2"/>
      <c r="C301" s="27"/>
      <c r="D301" s="27"/>
      <c r="E301" s="27"/>
      <c r="F301" s="27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2:20" ht="15.75" customHeight="1" x14ac:dyDescent="0.2">
      <c r="B302" s="2"/>
      <c r="C302" s="27"/>
      <c r="D302" s="27"/>
      <c r="E302" s="27"/>
      <c r="F302" s="27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2:20" ht="15.75" customHeight="1" x14ac:dyDescent="0.2">
      <c r="B303" s="2"/>
      <c r="C303" s="27"/>
      <c r="D303" s="27"/>
      <c r="E303" s="27"/>
      <c r="F303" s="27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2:20" ht="15.75" customHeight="1" x14ac:dyDescent="0.2">
      <c r="B304" s="2"/>
      <c r="C304" s="27"/>
      <c r="D304" s="27"/>
      <c r="E304" s="27"/>
      <c r="F304" s="27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2:20" ht="15.75" customHeight="1" x14ac:dyDescent="0.2">
      <c r="B305" s="2"/>
      <c r="C305" s="27"/>
      <c r="D305" s="27"/>
      <c r="E305" s="27"/>
      <c r="F305" s="27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2:20" ht="15.75" customHeight="1" x14ac:dyDescent="0.2">
      <c r="B306" s="2"/>
      <c r="C306" s="27"/>
      <c r="D306" s="27"/>
      <c r="E306" s="27"/>
      <c r="F306" s="27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2:20" ht="15.75" customHeight="1" x14ac:dyDescent="0.2">
      <c r="B307" s="2"/>
      <c r="C307" s="27"/>
      <c r="D307" s="27"/>
      <c r="E307" s="27"/>
      <c r="F307" s="27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2:20" ht="15.75" customHeight="1" x14ac:dyDescent="0.2">
      <c r="B308" s="2"/>
      <c r="C308" s="27"/>
      <c r="D308" s="27"/>
      <c r="E308" s="27"/>
      <c r="F308" s="27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2:20" ht="15.75" customHeight="1" x14ac:dyDescent="0.2">
      <c r="B309" s="2"/>
      <c r="C309" s="27"/>
      <c r="D309" s="27"/>
      <c r="E309" s="27"/>
      <c r="F309" s="27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2:20" ht="15.75" customHeight="1" x14ac:dyDescent="0.2">
      <c r="B310" s="2"/>
      <c r="C310" s="27"/>
      <c r="D310" s="27"/>
      <c r="E310" s="27"/>
      <c r="F310" s="27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2:20" ht="15.75" customHeight="1" x14ac:dyDescent="0.2">
      <c r="B311" s="2"/>
      <c r="C311" s="27"/>
      <c r="D311" s="27"/>
      <c r="E311" s="27"/>
      <c r="F311" s="27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2:20" ht="15.75" customHeight="1" x14ac:dyDescent="0.2">
      <c r="B312" s="2"/>
      <c r="C312" s="27"/>
      <c r="D312" s="27"/>
      <c r="E312" s="27"/>
      <c r="F312" s="27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2:20" ht="15.75" customHeight="1" x14ac:dyDescent="0.2">
      <c r="B313" s="2"/>
      <c r="C313" s="27"/>
      <c r="D313" s="27"/>
      <c r="E313" s="27"/>
      <c r="F313" s="27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2:20" ht="15.75" customHeight="1" x14ac:dyDescent="0.2">
      <c r="B314" s="2"/>
      <c r="C314" s="27"/>
      <c r="D314" s="27"/>
      <c r="E314" s="27"/>
      <c r="F314" s="27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2:20" ht="15.75" customHeight="1" x14ac:dyDescent="0.2">
      <c r="B315" s="2"/>
      <c r="C315" s="27"/>
      <c r="D315" s="27"/>
      <c r="E315" s="27"/>
      <c r="F315" s="27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2:20" ht="15.75" customHeight="1" x14ac:dyDescent="0.2">
      <c r="B316" s="2"/>
      <c r="C316" s="27"/>
      <c r="D316" s="27"/>
      <c r="E316" s="27"/>
      <c r="F316" s="27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2:20" ht="15.75" customHeight="1" x14ac:dyDescent="0.2">
      <c r="B317" s="2"/>
      <c r="C317" s="27"/>
      <c r="D317" s="27"/>
      <c r="E317" s="27"/>
      <c r="F317" s="27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2:20" ht="15.75" customHeight="1" x14ac:dyDescent="0.2">
      <c r="B318" s="2"/>
      <c r="C318" s="27"/>
      <c r="D318" s="27"/>
      <c r="E318" s="27"/>
      <c r="F318" s="27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2:20" ht="15.75" customHeight="1" x14ac:dyDescent="0.2">
      <c r="B319" s="2"/>
      <c r="C319" s="27"/>
      <c r="D319" s="27"/>
      <c r="E319" s="27"/>
      <c r="F319" s="27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2:20" ht="15.75" customHeight="1" x14ac:dyDescent="0.2">
      <c r="B320" s="2"/>
      <c r="C320" s="27"/>
      <c r="D320" s="27"/>
      <c r="E320" s="27"/>
      <c r="F320" s="27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2:20" ht="15.75" customHeight="1" x14ac:dyDescent="0.2">
      <c r="B321" s="2"/>
      <c r="C321" s="27"/>
      <c r="D321" s="27"/>
      <c r="E321" s="27"/>
      <c r="F321" s="27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2:20" ht="15.75" customHeight="1" x14ac:dyDescent="0.2">
      <c r="B322" s="2"/>
      <c r="C322" s="27"/>
      <c r="D322" s="27"/>
      <c r="E322" s="27"/>
      <c r="F322" s="27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2:20" ht="15.75" customHeight="1" x14ac:dyDescent="0.2">
      <c r="B323" s="2"/>
      <c r="C323" s="27"/>
      <c r="D323" s="27"/>
      <c r="E323" s="27"/>
      <c r="F323" s="27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2:20" ht="15.75" customHeight="1" x14ac:dyDescent="0.2">
      <c r="B324" s="2"/>
      <c r="C324" s="27"/>
      <c r="D324" s="27"/>
      <c r="E324" s="27"/>
      <c r="F324" s="27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2:20" ht="15.75" customHeight="1" x14ac:dyDescent="0.2">
      <c r="B325" s="2"/>
      <c r="C325" s="27"/>
      <c r="D325" s="27"/>
      <c r="E325" s="27"/>
      <c r="F325" s="27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2:20" ht="15.75" customHeight="1" x14ac:dyDescent="0.2">
      <c r="B326" s="2"/>
      <c r="C326" s="27"/>
      <c r="D326" s="27"/>
      <c r="E326" s="27"/>
      <c r="F326" s="27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2:20" ht="15.75" customHeight="1" x14ac:dyDescent="0.2">
      <c r="B327" s="2"/>
      <c r="C327" s="27"/>
      <c r="D327" s="27"/>
      <c r="E327" s="27"/>
      <c r="F327" s="27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2:20" ht="15.75" customHeight="1" x14ac:dyDescent="0.2">
      <c r="B328" s="2"/>
      <c r="C328" s="27"/>
      <c r="D328" s="27"/>
      <c r="E328" s="27"/>
      <c r="F328" s="27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2:20" ht="15.75" customHeight="1" x14ac:dyDescent="0.2">
      <c r="B329" s="2"/>
      <c r="C329" s="27"/>
      <c r="D329" s="27"/>
      <c r="E329" s="27"/>
      <c r="F329" s="27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2:20" ht="15.75" customHeight="1" x14ac:dyDescent="0.2">
      <c r="B330" s="2"/>
      <c r="C330" s="27"/>
      <c r="D330" s="27"/>
      <c r="E330" s="27"/>
      <c r="F330" s="27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2:20" ht="15.75" customHeight="1" x14ac:dyDescent="0.2">
      <c r="B331" s="2"/>
      <c r="C331" s="27"/>
      <c r="D331" s="27"/>
      <c r="E331" s="27"/>
      <c r="F331" s="27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2:20" ht="15.75" customHeight="1" x14ac:dyDescent="0.2">
      <c r="B332" s="2"/>
      <c r="C332" s="27"/>
      <c r="D332" s="27"/>
      <c r="E332" s="27"/>
      <c r="F332" s="27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2:20" ht="15.75" customHeight="1" x14ac:dyDescent="0.2">
      <c r="B333" s="2"/>
      <c r="C333" s="27"/>
      <c r="D333" s="27"/>
      <c r="E333" s="27"/>
      <c r="F333" s="2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2:20" ht="15.75" customHeight="1" x14ac:dyDescent="0.2">
      <c r="B334" s="2"/>
      <c r="C334" s="27"/>
      <c r="D334" s="27"/>
      <c r="E334" s="27"/>
      <c r="F334" s="2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2:20" ht="15.75" customHeight="1" x14ac:dyDescent="0.2">
      <c r="B335" s="2"/>
      <c r="C335" s="27"/>
      <c r="D335" s="27"/>
      <c r="E335" s="27"/>
      <c r="F335" s="2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2:20" ht="15.75" customHeight="1" x14ac:dyDescent="0.2">
      <c r="B336" s="2"/>
      <c r="C336" s="27"/>
      <c r="D336" s="27"/>
      <c r="E336" s="27"/>
      <c r="F336" s="27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2:20" ht="15.75" customHeight="1" x14ac:dyDescent="0.2">
      <c r="B337" s="2"/>
      <c r="C337" s="27"/>
      <c r="D337" s="27"/>
      <c r="E337" s="27"/>
      <c r="F337" s="27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2:20" ht="15.75" customHeight="1" x14ac:dyDescent="0.2">
      <c r="B338" s="2"/>
      <c r="C338" s="27"/>
      <c r="D338" s="27"/>
      <c r="E338" s="27"/>
      <c r="F338" s="2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2:20" ht="15.75" customHeight="1" x14ac:dyDescent="0.2">
      <c r="B339" s="2"/>
      <c r="C339" s="27"/>
      <c r="D339" s="27"/>
      <c r="E339" s="27"/>
      <c r="F339" s="2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2:20" ht="15.75" customHeight="1" x14ac:dyDescent="0.2">
      <c r="B340" s="2"/>
      <c r="C340" s="27"/>
      <c r="D340" s="27"/>
      <c r="E340" s="27"/>
      <c r="F340" s="2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2:20" ht="15.75" customHeight="1" x14ac:dyDescent="0.2">
      <c r="B341" s="2"/>
      <c r="C341" s="27"/>
      <c r="D341" s="27"/>
      <c r="E341" s="27"/>
      <c r="F341" s="2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2:20" ht="15.75" customHeight="1" x14ac:dyDescent="0.2">
      <c r="B342" s="2"/>
      <c r="C342" s="27"/>
      <c r="D342" s="27"/>
      <c r="E342" s="27"/>
      <c r="F342" s="2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2:20" ht="15.75" customHeight="1" x14ac:dyDescent="0.2">
      <c r="B343" s="2"/>
      <c r="C343" s="27"/>
      <c r="D343" s="27"/>
      <c r="E343" s="27"/>
      <c r="F343" s="27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2:20" ht="15.75" customHeight="1" x14ac:dyDescent="0.2">
      <c r="B344" s="2"/>
      <c r="C344" s="27"/>
      <c r="D344" s="27"/>
      <c r="E344" s="27"/>
      <c r="F344" s="27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2:20" ht="15.75" customHeight="1" x14ac:dyDescent="0.2">
      <c r="B345" s="2"/>
      <c r="C345" s="27"/>
      <c r="D345" s="27"/>
      <c r="E345" s="27"/>
      <c r="F345" s="27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2:20" ht="15.75" customHeight="1" x14ac:dyDescent="0.2">
      <c r="B346" s="2"/>
      <c r="C346" s="27"/>
      <c r="D346" s="27"/>
      <c r="E346" s="27"/>
      <c r="F346" s="27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2:20" ht="15.75" customHeight="1" x14ac:dyDescent="0.2">
      <c r="B347" s="2"/>
      <c r="C347" s="27"/>
      <c r="D347" s="27"/>
      <c r="E347" s="27"/>
      <c r="F347" s="27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2:20" ht="15.75" customHeight="1" x14ac:dyDescent="0.2">
      <c r="B348" s="2"/>
      <c r="C348" s="27"/>
      <c r="D348" s="27"/>
      <c r="E348" s="27"/>
      <c r="F348" s="27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2:20" ht="15.75" customHeight="1" x14ac:dyDescent="0.2">
      <c r="B349" s="2"/>
      <c r="C349" s="27"/>
      <c r="D349" s="27"/>
      <c r="E349" s="27"/>
      <c r="F349" s="2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2:20" ht="15.75" customHeight="1" x14ac:dyDescent="0.2">
      <c r="B350" s="2"/>
      <c r="C350" s="27"/>
      <c r="D350" s="27"/>
      <c r="E350" s="27"/>
      <c r="F350" s="2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2:20" ht="15.75" customHeight="1" x14ac:dyDescent="0.2">
      <c r="B351" s="2"/>
      <c r="C351" s="27"/>
      <c r="D351" s="27"/>
      <c r="E351" s="27"/>
      <c r="F351" s="2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2:20" ht="15.75" customHeight="1" x14ac:dyDescent="0.2">
      <c r="B352" s="2"/>
      <c r="C352" s="27"/>
      <c r="D352" s="27"/>
      <c r="E352" s="27"/>
      <c r="F352" s="2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2:20" ht="15.75" customHeight="1" x14ac:dyDescent="0.2">
      <c r="B353" s="2"/>
      <c r="C353" s="27"/>
      <c r="D353" s="27"/>
      <c r="E353" s="27"/>
      <c r="F353" s="2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2:20" ht="15.75" customHeight="1" x14ac:dyDescent="0.2">
      <c r="B354" s="2"/>
      <c r="C354" s="27"/>
      <c r="D354" s="27"/>
      <c r="E354" s="27"/>
      <c r="F354" s="27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2:20" ht="15.75" customHeight="1" x14ac:dyDescent="0.2">
      <c r="B355" s="2"/>
      <c r="C355" s="27"/>
      <c r="D355" s="27"/>
      <c r="E355" s="27"/>
      <c r="F355" s="27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2:20" ht="15.75" customHeight="1" x14ac:dyDescent="0.2">
      <c r="B356" s="2"/>
      <c r="C356" s="27"/>
      <c r="D356" s="27"/>
      <c r="E356" s="27"/>
      <c r="F356" s="27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2:20" ht="15.75" customHeight="1" x14ac:dyDescent="0.2">
      <c r="B357" s="2"/>
      <c r="C357" s="27"/>
      <c r="D357" s="27"/>
      <c r="E357" s="27"/>
      <c r="F357" s="27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2:20" ht="15.75" customHeight="1" x14ac:dyDescent="0.2">
      <c r="B358" s="2"/>
      <c r="C358" s="27"/>
      <c r="D358" s="27"/>
      <c r="E358" s="27"/>
      <c r="F358" s="27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2:20" ht="15.75" customHeight="1" x14ac:dyDescent="0.2">
      <c r="B359" s="2"/>
      <c r="C359" s="27"/>
      <c r="D359" s="27"/>
      <c r="E359" s="27"/>
      <c r="F359" s="27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2:20" ht="15.75" customHeight="1" x14ac:dyDescent="0.2">
      <c r="B360" s="2"/>
      <c r="C360" s="27"/>
      <c r="D360" s="27"/>
      <c r="E360" s="27"/>
      <c r="F360" s="27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2:20" ht="15.75" customHeight="1" x14ac:dyDescent="0.2">
      <c r="B361" s="2"/>
      <c r="C361" s="27"/>
      <c r="D361" s="27"/>
      <c r="E361" s="27"/>
      <c r="F361" s="27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2:20" ht="15.75" customHeight="1" x14ac:dyDescent="0.2">
      <c r="B362" s="2"/>
      <c r="C362" s="27"/>
      <c r="D362" s="27"/>
      <c r="E362" s="27"/>
      <c r="F362" s="27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2:20" ht="15.75" customHeight="1" x14ac:dyDescent="0.2">
      <c r="B363" s="2"/>
      <c r="C363" s="27"/>
      <c r="D363" s="27"/>
      <c r="E363" s="27"/>
      <c r="F363" s="27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2:20" ht="15.75" customHeight="1" x14ac:dyDescent="0.2">
      <c r="B364" s="2"/>
      <c r="C364" s="27"/>
      <c r="D364" s="27"/>
      <c r="E364" s="27"/>
      <c r="F364" s="27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2:20" ht="15.75" customHeight="1" x14ac:dyDescent="0.2">
      <c r="B365" s="2"/>
      <c r="C365" s="27"/>
      <c r="D365" s="27"/>
      <c r="E365" s="27"/>
      <c r="F365" s="27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2:20" ht="15.75" customHeight="1" x14ac:dyDescent="0.2">
      <c r="B366" s="2"/>
      <c r="C366" s="27"/>
      <c r="D366" s="27"/>
      <c r="E366" s="27"/>
      <c r="F366" s="27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2:20" ht="15.75" customHeight="1" x14ac:dyDescent="0.2">
      <c r="B367" s="2"/>
      <c r="C367" s="27"/>
      <c r="D367" s="27"/>
      <c r="E367" s="27"/>
      <c r="F367" s="27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2:20" ht="15.75" customHeight="1" x14ac:dyDescent="0.2">
      <c r="B368" s="2"/>
      <c r="C368" s="27"/>
      <c r="D368" s="27"/>
      <c r="E368" s="27"/>
      <c r="F368" s="27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2:20" ht="15.75" customHeight="1" x14ac:dyDescent="0.2">
      <c r="B369" s="2"/>
      <c r="C369" s="27"/>
      <c r="D369" s="27"/>
      <c r="E369" s="27"/>
      <c r="F369" s="27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2:20" ht="15.75" customHeight="1" x14ac:dyDescent="0.2">
      <c r="B370" s="2"/>
      <c r="C370" s="27"/>
      <c r="D370" s="27"/>
      <c r="E370" s="27"/>
      <c r="F370" s="27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2:20" ht="15.75" customHeight="1" x14ac:dyDescent="0.2">
      <c r="B371" s="2"/>
      <c r="C371" s="27"/>
      <c r="D371" s="27"/>
      <c r="E371" s="27"/>
      <c r="F371" s="27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2:20" ht="15.75" customHeight="1" x14ac:dyDescent="0.2">
      <c r="B372" s="2"/>
      <c r="C372" s="27"/>
      <c r="D372" s="27"/>
      <c r="E372" s="27"/>
      <c r="F372" s="27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2:20" ht="15.75" customHeight="1" x14ac:dyDescent="0.2">
      <c r="B373" s="2"/>
      <c r="C373" s="27"/>
      <c r="D373" s="27"/>
      <c r="E373" s="27"/>
      <c r="F373" s="27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2:20" ht="15.75" customHeight="1" x14ac:dyDescent="0.2">
      <c r="B374" s="2"/>
      <c r="C374" s="27"/>
      <c r="D374" s="27"/>
      <c r="E374" s="27"/>
      <c r="F374" s="27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2:20" ht="15.75" customHeight="1" x14ac:dyDescent="0.2">
      <c r="B375" s="2"/>
      <c r="C375" s="27"/>
      <c r="D375" s="27"/>
      <c r="E375" s="27"/>
      <c r="F375" s="27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2:20" ht="15.75" customHeight="1" x14ac:dyDescent="0.2">
      <c r="B376" s="2"/>
      <c r="C376" s="27"/>
      <c r="D376" s="27"/>
      <c r="E376" s="27"/>
      <c r="F376" s="27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2:20" ht="15.75" customHeight="1" x14ac:dyDescent="0.2">
      <c r="B377" s="2"/>
      <c r="C377" s="27"/>
      <c r="D377" s="27"/>
      <c r="E377" s="27"/>
      <c r="F377" s="27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2:20" ht="15.75" customHeight="1" x14ac:dyDescent="0.2">
      <c r="B378" s="2"/>
      <c r="C378" s="27"/>
      <c r="D378" s="27"/>
      <c r="E378" s="27"/>
      <c r="F378" s="27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2:20" ht="15.75" customHeight="1" x14ac:dyDescent="0.2">
      <c r="B379" s="2"/>
      <c r="C379" s="27"/>
      <c r="D379" s="27"/>
      <c r="E379" s="27"/>
      <c r="F379" s="27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2:20" ht="15.75" customHeight="1" x14ac:dyDescent="0.2">
      <c r="B380" s="2"/>
      <c r="C380" s="27"/>
      <c r="D380" s="27"/>
      <c r="E380" s="27"/>
      <c r="F380" s="27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2:20" ht="15.75" customHeight="1" x14ac:dyDescent="0.2">
      <c r="B381" s="2"/>
      <c r="C381" s="27"/>
      <c r="D381" s="27"/>
      <c r="E381" s="27"/>
      <c r="F381" s="27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2:20" ht="15.75" customHeight="1" x14ac:dyDescent="0.2">
      <c r="B382" s="2"/>
      <c r="C382" s="27"/>
      <c r="D382" s="27"/>
      <c r="E382" s="27"/>
      <c r="F382" s="27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2:20" ht="15.75" customHeight="1" x14ac:dyDescent="0.2">
      <c r="B383" s="2"/>
      <c r="C383" s="27"/>
      <c r="D383" s="27"/>
      <c r="E383" s="27"/>
      <c r="F383" s="27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2:20" ht="15.75" customHeight="1" x14ac:dyDescent="0.2">
      <c r="B384" s="2"/>
      <c r="C384" s="27"/>
      <c r="D384" s="27"/>
      <c r="E384" s="27"/>
      <c r="F384" s="27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2:20" ht="15.75" customHeight="1" x14ac:dyDescent="0.2">
      <c r="B385" s="2"/>
      <c r="C385" s="27"/>
      <c r="D385" s="27"/>
      <c r="E385" s="27"/>
      <c r="F385" s="27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2:20" ht="15.75" customHeight="1" x14ac:dyDescent="0.2">
      <c r="B386" s="2"/>
      <c r="C386" s="27"/>
      <c r="D386" s="27"/>
      <c r="E386" s="27"/>
      <c r="F386" s="27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2:20" ht="15.75" customHeight="1" x14ac:dyDescent="0.2">
      <c r="B387" s="2"/>
      <c r="C387" s="27"/>
      <c r="D387" s="27"/>
      <c r="E387" s="27"/>
      <c r="F387" s="27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2:20" ht="15.75" customHeight="1" x14ac:dyDescent="0.2">
      <c r="B388" s="2"/>
      <c r="C388" s="27"/>
      <c r="D388" s="27"/>
      <c r="E388" s="27"/>
      <c r="F388" s="27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2:20" ht="15.75" customHeight="1" x14ac:dyDescent="0.2">
      <c r="B389" s="2"/>
      <c r="C389" s="27"/>
      <c r="D389" s="27"/>
      <c r="E389" s="27"/>
      <c r="F389" s="27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2:20" ht="15.75" customHeight="1" x14ac:dyDescent="0.2">
      <c r="B390" s="2"/>
      <c r="C390" s="27"/>
      <c r="D390" s="27"/>
      <c r="E390" s="27"/>
      <c r="F390" s="27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2:20" ht="15.75" customHeight="1" x14ac:dyDescent="0.2">
      <c r="B391" s="2"/>
      <c r="C391" s="27"/>
      <c r="D391" s="27"/>
      <c r="E391" s="27"/>
      <c r="F391" s="27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2:20" ht="15.75" customHeight="1" x14ac:dyDescent="0.2">
      <c r="B392" s="2"/>
      <c r="C392" s="27"/>
      <c r="D392" s="27"/>
      <c r="E392" s="27"/>
      <c r="F392" s="27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2:20" ht="15.75" customHeight="1" x14ac:dyDescent="0.2">
      <c r="B393" s="2"/>
      <c r="C393" s="27"/>
      <c r="D393" s="27"/>
      <c r="E393" s="27"/>
      <c r="F393" s="27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2:20" ht="15.75" customHeight="1" x14ac:dyDescent="0.2">
      <c r="B394" s="2"/>
      <c r="C394" s="27"/>
      <c r="D394" s="27"/>
      <c r="E394" s="27"/>
      <c r="F394" s="27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2:20" ht="15.75" customHeight="1" x14ac:dyDescent="0.2">
      <c r="B395" s="2"/>
      <c r="C395" s="27"/>
      <c r="D395" s="27"/>
      <c r="E395" s="27"/>
      <c r="F395" s="27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2:20" ht="15.75" customHeight="1" x14ac:dyDescent="0.2">
      <c r="B396" s="2"/>
      <c r="C396" s="27"/>
      <c r="D396" s="27"/>
      <c r="E396" s="27"/>
      <c r="F396" s="27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2:20" ht="15.75" customHeight="1" x14ac:dyDescent="0.2">
      <c r="B397" s="2"/>
      <c r="C397" s="27"/>
      <c r="D397" s="27"/>
      <c r="E397" s="27"/>
      <c r="F397" s="27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2:20" ht="15.75" customHeight="1" x14ac:dyDescent="0.2">
      <c r="B398" s="2"/>
      <c r="C398" s="27"/>
      <c r="D398" s="27"/>
      <c r="E398" s="27"/>
      <c r="F398" s="27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2:20" ht="15.75" customHeight="1" x14ac:dyDescent="0.2">
      <c r="B399" s="2"/>
      <c r="C399" s="27"/>
      <c r="D399" s="27"/>
      <c r="E399" s="27"/>
      <c r="F399" s="27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2:20" ht="15.75" customHeight="1" x14ac:dyDescent="0.2">
      <c r="B400" s="2"/>
      <c r="C400" s="27"/>
      <c r="D400" s="27"/>
      <c r="E400" s="27"/>
      <c r="F400" s="27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2:20" ht="15.75" customHeight="1" x14ac:dyDescent="0.2">
      <c r="B401" s="2"/>
      <c r="C401" s="27"/>
      <c r="D401" s="27"/>
      <c r="E401" s="27"/>
      <c r="F401" s="27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2:20" ht="15.75" customHeight="1" x14ac:dyDescent="0.2">
      <c r="B402" s="2"/>
      <c r="C402" s="27"/>
      <c r="D402" s="27"/>
      <c r="E402" s="27"/>
      <c r="F402" s="27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2:20" ht="15.75" customHeight="1" x14ac:dyDescent="0.2">
      <c r="B403" s="2"/>
      <c r="C403" s="27"/>
      <c r="D403" s="27"/>
      <c r="E403" s="27"/>
      <c r="F403" s="27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2:20" ht="15.75" customHeight="1" x14ac:dyDescent="0.2">
      <c r="B404" s="2"/>
      <c r="C404" s="27"/>
      <c r="D404" s="27"/>
      <c r="E404" s="27"/>
      <c r="F404" s="27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2:20" ht="15.75" customHeight="1" x14ac:dyDescent="0.2">
      <c r="B405" s="2"/>
      <c r="C405" s="27"/>
      <c r="D405" s="27"/>
      <c r="E405" s="27"/>
      <c r="F405" s="27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2:20" ht="15.75" customHeight="1" x14ac:dyDescent="0.2">
      <c r="B406" s="2"/>
      <c r="C406" s="27"/>
      <c r="D406" s="27"/>
      <c r="E406" s="27"/>
      <c r="F406" s="27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2:20" ht="15.75" customHeight="1" x14ac:dyDescent="0.2">
      <c r="B407" s="2"/>
      <c r="C407" s="27"/>
      <c r="D407" s="27"/>
      <c r="E407" s="27"/>
      <c r="F407" s="27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2:20" ht="15.75" customHeight="1" x14ac:dyDescent="0.2">
      <c r="B408" s="2"/>
      <c r="C408" s="27"/>
      <c r="D408" s="27"/>
      <c r="E408" s="27"/>
      <c r="F408" s="27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2:20" ht="15.75" customHeight="1" x14ac:dyDescent="0.2">
      <c r="B409" s="2"/>
      <c r="C409" s="27"/>
      <c r="D409" s="27"/>
      <c r="E409" s="27"/>
      <c r="F409" s="27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2:20" ht="15.75" customHeight="1" x14ac:dyDescent="0.2">
      <c r="B410" s="2"/>
      <c r="C410" s="27"/>
      <c r="D410" s="27"/>
      <c r="E410" s="27"/>
      <c r="F410" s="27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2:20" ht="15.75" customHeight="1" x14ac:dyDescent="0.2">
      <c r="B411" s="2"/>
      <c r="C411" s="27"/>
      <c r="D411" s="27"/>
      <c r="E411" s="27"/>
      <c r="F411" s="27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2:20" ht="15.75" customHeight="1" x14ac:dyDescent="0.2">
      <c r="B412" s="2"/>
      <c r="C412" s="27"/>
      <c r="D412" s="27"/>
      <c r="E412" s="27"/>
      <c r="F412" s="27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2:20" ht="15.75" customHeight="1" x14ac:dyDescent="0.2">
      <c r="B413" s="2"/>
      <c r="C413" s="27"/>
      <c r="D413" s="27"/>
      <c r="E413" s="27"/>
      <c r="F413" s="27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2:20" ht="15.75" customHeight="1" x14ac:dyDescent="0.2">
      <c r="B414" s="2"/>
      <c r="C414" s="27"/>
      <c r="D414" s="27"/>
      <c r="E414" s="27"/>
      <c r="F414" s="27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2:20" ht="15.75" customHeight="1" x14ac:dyDescent="0.2">
      <c r="B415" s="2"/>
      <c r="C415" s="27"/>
      <c r="D415" s="27"/>
      <c r="E415" s="27"/>
      <c r="F415" s="27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2:20" ht="15.75" customHeight="1" x14ac:dyDescent="0.2">
      <c r="B416" s="2"/>
      <c r="C416" s="27"/>
      <c r="D416" s="27"/>
      <c r="E416" s="27"/>
      <c r="F416" s="27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2:20" ht="15.75" customHeight="1" x14ac:dyDescent="0.2">
      <c r="B417" s="2"/>
      <c r="C417" s="27"/>
      <c r="D417" s="27"/>
      <c r="E417" s="27"/>
      <c r="F417" s="27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2:20" ht="15.75" customHeight="1" x14ac:dyDescent="0.2">
      <c r="B418" s="2"/>
      <c r="C418" s="27"/>
      <c r="D418" s="27"/>
      <c r="E418" s="27"/>
      <c r="F418" s="27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2:20" ht="15.75" customHeight="1" x14ac:dyDescent="0.2">
      <c r="B419" s="2"/>
      <c r="C419" s="27"/>
      <c r="D419" s="27"/>
      <c r="E419" s="27"/>
      <c r="F419" s="27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2:20" ht="15.75" customHeight="1" x14ac:dyDescent="0.2">
      <c r="B420" s="2"/>
      <c r="C420" s="27"/>
      <c r="D420" s="27"/>
      <c r="E420" s="27"/>
      <c r="F420" s="27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2:20" ht="15.75" customHeight="1" x14ac:dyDescent="0.2">
      <c r="B421" s="2"/>
      <c r="C421" s="27"/>
      <c r="D421" s="27"/>
      <c r="E421" s="27"/>
      <c r="F421" s="27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2:20" ht="15.75" customHeight="1" x14ac:dyDescent="0.2">
      <c r="B422" s="2"/>
      <c r="C422" s="27"/>
      <c r="D422" s="27"/>
      <c r="E422" s="27"/>
      <c r="F422" s="27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2:20" ht="15.75" customHeight="1" x14ac:dyDescent="0.2">
      <c r="B423" s="2"/>
      <c r="C423" s="27"/>
      <c r="D423" s="27"/>
      <c r="E423" s="27"/>
      <c r="F423" s="27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2:20" ht="15.75" customHeight="1" x14ac:dyDescent="0.2">
      <c r="B424" s="2"/>
      <c r="C424" s="27"/>
      <c r="D424" s="27"/>
      <c r="E424" s="27"/>
      <c r="F424" s="27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2:20" ht="15.75" customHeight="1" x14ac:dyDescent="0.2">
      <c r="B425" s="2"/>
      <c r="C425" s="27"/>
      <c r="D425" s="27"/>
      <c r="E425" s="27"/>
      <c r="F425" s="27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2:20" ht="15.75" customHeight="1" x14ac:dyDescent="0.2">
      <c r="B426" s="2"/>
      <c r="C426" s="27"/>
      <c r="D426" s="27"/>
      <c r="E426" s="27"/>
      <c r="F426" s="27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2:20" ht="15.75" customHeight="1" x14ac:dyDescent="0.2">
      <c r="B427" s="2"/>
      <c r="C427" s="27"/>
      <c r="D427" s="27"/>
      <c r="E427" s="27"/>
      <c r="F427" s="27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2:20" ht="15.75" customHeight="1" x14ac:dyDescent="0.2">
      <c r="B428" s="2"/>
      <c r="C428" s="27"/>
      <c r="D428" s="27"/>
      <c r="E428" s="27"/>
      <c r="F428" s="27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2:20" ht="15.75" customHeight="1" x14ac:dyDescent="0.2">
      <c r="B429" s="2"/>
      <c r="C429" s="27"/>
      <c r="D429" s="27"/>
      <c r="E429" s="27"/>
      <c r="F429" s="27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2:20" ht="15.75" customHeight="1" x14ac:dyDescent="0.2">
      <c r="B430" s="2"/>
      <c r="C430" s="27"/>
      <c r="D430" s="27"/>
      <c r="E430" s="27"/>
      <c r="F430" s="27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2:20" ht="15.75" customHeight="1" x14ac:dyDescent="0.2">
      <c r="B431" s="2"/>
      <c r="C431" s="27"/>
      <c r="D431" s="27"/>
      <c r="E431" s="27"/>
      <c r="F431" s="27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2:20" ht="15.75" customHeight="1" x14ac:dyDescent="0.2">
      <c r="B432" s="2"/>
      <c r="C432" s="27"/>
      <c r="D432" s="27"/>
      <c r="E432" s="27"/>
      <c r="F432" s="27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2:20" ht="15.75" customHeight="1" x14ac:dyDescent="0.2">
      <c r="B433" s="2"/>
      <c r="C433" s="27"/>
      <c r="D433" s="27"/>
      <c r="E433" s="27"/>
      <c r="F433" s="27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2:20" ht="15.75" customHeight="1" x14ac:dyDescent="0.2">
      <c r="B434" s="2"/>
      <c r="C434" s="27"/>
      <c r="D434" s="27"/>
      <c r="E434" s="27"/>
      <c r="F434" s="27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2:20" ht="15.75" customHeight="1" x14ac:dyDescent="0.2">
      <c r="B435" s="2"/>
      <c r="C435" s="27"/>
      <c r="D435" s="27"/>
      <c r="E435" s="27"/>
      <c r="F435" s="27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2:20" ht="15.75" customHeight="1" x14ac:dyDescent="0.2">
      <c r="B436" s="2"/>
      <c r="C436" s="27"/>
      <c r="D436" s="27"/>
      <c r="E436" s="27"/>
      <c r="F436" s="27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2:20" ht="15.75" customHeight="1" x14ac:dyDescent="0.2">
      <c r="B437" s="2"/>
      <c r="C437" s="27"/>
      <c r="D437" s="27"/>
      <c r="E437" s="27"/>
      <c r="F437" s="27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2:20" ht="15.75" customHeight="1" x14ac:dyDescent="0.2">
      <c r="B438" s="2"/>
      <c r="C438" s="27"/>
      <c r="D438" s="27"/>
      <c r="E438" s="27"/>
      <c r="F438" s="27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2:20" ht="15.75" customHeight="1" x14ac:dyDescent="0.2">
      <c r="B439" s="2"/>
      <c r="C439" s="27"/>
      <c r="D439" s="27"/>
      <c r="E439" s="27"/>
      <c r="F439" s="27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2:20" ht="15.75" customHeight="1" x14ac:dyDescent="0.2">
      <c r="B440" s="2"/>
      <c r="C440" s="27"/>
      <c r="D440" s="27"/>
      <c r="E440" s="27"/>
      <c r="F440" s="27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2:20" ht="15.75" customHeight="1" x14ac:dyDescent="0.2">
      <c r="B441" s="2"/>
      <c r="C441" s="27"/>
      <c r="D441" s="27"/>
      <c r="E441" s="27"/>
      <c r="F441" s="27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2:20" ht="15.75" customHeight="1" x14ac:dyDescent="0.2">
      <c r="B442" s="2"/>
      <c r="C442" s="27"/>
      <c r="D442" s="27"/>
      <c r="E442" s="27"/>
      <c r="F442" s="27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2:20" ht="15.75" customHeight="1" x14ac:dyDescent="0.2">
      <c r="B443" s="2"/>
      <c r="C443" s="27"/>
      <c r="D443" s="27"/>
      <c r="E443" s="27"/>
      <c r="F443" s="27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2:20" ht="15.75" customHeight="1" x14ac:dyDescent="0.2">
      <c r="B444" s="2"/>
      <c r="C444" s="27"/>
      <c r="D444" s="27"/>
      <c r="E444" s="27"/>
      <c r="F444" s="27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2:20" ht="15.75" customHeight="1" x14ac:dyDescent="0.2">
      <c r="B445" s="2"/>
      <c r="C445" s="27"/>
      <c r="D445" s="27"/>
      <c r="E445" s="27"/>
      <c r="F445" s="27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2:20" ht="15.75" customHeight="1" x14ac:dyDescent="0.2">
      <c r="B446" s="2"/>
      <c r="C446" s="27"/>
      <c r="D446" s="27"/>
      <c r="E446" s="27"/>
      <c r="F446" s="27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2:20" ht="15.75" customHeight="1" x14ac:dyDescent="0.2">
      <c r="B447" s="2"/>
      <c r="C447" s="27"/>
      <c r="D447" s="27"/>
      <c r="E447" s="27"/>
      <c r="F447" s="27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2:20" ht="15.75" customHeight="1" x14ac:dyDescent="0.2">
      <c r="B448" s="2"/>
      <c r="C448" s="27"/>
      <c r="D448" s="27"/>
      <c r="E448" s="27"/>
      <c r="F448" s="27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2:20" ht="15.75" customHeight="1" x14ac:dyDescent="0.2">
      <c r="B449" s="2"/>
      <c r="C449" s="27"/>
      <c r="D449" s="27"/>
      <c r="E449" s="27"/>
      <c r="F449" s="27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2:20" ht="15.75" customHeight="1" x14ac:dyDescent="0.2">
      <c r="B450" s="2"/>
      <c r="C450" s="27"/>
      <c r="D450" s="27"/>
      <c r="E450" s="27"/>
      <c r="F450" s="27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2:20" ht="15.75" customHeight="1" x14ac:dyDescent="0.2">
      <c r="B451" s="2"/>
      <c r="C451" s="27"/>
      <c r="D451" s="27"/>
      <c r="E451" s="27"/>
      <c r="F451" s="27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2:20" ht="15.75" customHeight="1" x14ac:dyDescent="0.2">
      <c r="B452" s="2"/>
      <c r="C452" s="27"/>
      <c r="D452" s="27"/>
      <c r="E452" s="27"/>
      <c r="F452" s="27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2:20" ht="15.75" customHeight="1" x14ac:dyDescent="0.2">
      <c r="B453" s="2"/>
      <c r="C453" s="27"/>
      <c r="D453" s="27"/>
      <c r="E453" s="27"/>
      <c r="F453" s="27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2:20" ht="15.75" customHeight="1" x14ac:dyDescent="0.2">
      <c r="B454" s="2"/>
      <c r="C454" s="27"/>
      <c r="D454" s="27"/>
      <c r="E454" s="27"/>
      <c r="F454" s="27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2:20" ht="15.75" customHeight="1" x14ac:dyDescent="0.2">
      <c r="B455" s="2"/>
      <c r="C455" s="27"/>
      <c r="D455" s="27"/>
      <c r="E455" s="27"/>
      <c r="F455" s="27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2:20" ht="15.75" customHeight="1" x14ac:dyDescent="0.2">
      <c r="B456" s="2"/>
      <c r="C456" s="27"/>
      <c r="D456" s="27"/>
      <c r="E456" s="27"/>
      <c r="F456" s="27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2:20" ht="15.75" customHeight="1" x14ac:dyDescent="0.2">
      <c r="B457" s="2"/>
      <c r="C457" s="27"/>
      <c r="D457" s="27"/>
      <c r="E457" s="27"/>
      <c r="F457" s="27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2:20" ht="15.75" customHeight="1" x14ac:dyDescent="0.2">
      <c r="B458" s="2"/>
      <c r="C458" s="27"/>
      <c r="D458" s="27"/>
      <c r="E458" s="27"/>
      <c r="F458" s="27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2:20" ht="15.75" customHeight="1" x14ac:dyDescent="0.2">
      <c r="B459" s="2"/>
      <c r="C459" s="27"/>
      <c r="D459" s="27"/>
      <c r="E459" s="27"/>
      <c r="F459" s="27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2:20" ht="15.75" customHeight="1" x14ac:dyDescent="0.2">
      <c r="B460" s="2"/>
      <c r="C460" s="27"/>
      <c r="D460" s="27"/>
      <c r="E460" s="27"/>
      <c r="F460" s="27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2:20" ht="15.75" customHeight="1" x14ac:dyDescent="0.2">
      <c r="B461" s="2"/>
      <c r="C461" s="27"/>
      <c r="D461" s="27"/>
      <c r="E461" s="27"/>
      <c r="F461" s="27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2:20" ht="15.75" customHeight="1" x14ac:dyDescent="0.2">
      <c r="B462" s="2"/>
      <c r="C462" s="27"/>
      <c r="D462" s="27"/>
      <c r="E462" s="27"/>
      <c r="F462" s="27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2:20" ht="15.75" customHeight="1" x14ac:dyDescent="0.2">
      <c r="B463" s="2"/>
      <c r="C463" s="27"/>
      <c r="D463" s="27"/>
      <c r="E463" s="27"/>
      <c r="F463" s="27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2:20" ht="15.75" customHeight="1" x14ac:dyDescent="0.2">
      <c r="B464" s="2"/>
      <c r="C464" s="27"/>
      <c r="D464" s="27"/>
      <c r="E464" s="27"/>
      <c r="F464" s="27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2:20" ht="15.75" customHeight="1" x14ac:dyDescent="0.2">
      <c r="B465" s="2"/>
      <c r="C465" s="27"/>
      <c r="D465" s="27"/>
      <c r="E465" s="27"/>
      <c r="F465" s="27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2:20" ht="15.75" customHeight="1" x14ac:dyDescent="0.2">
      <c r="B466" s="2"/>
      <c r="C466" s="27"/>
      <c r="D466" s="27"/>
      <c r="E466" s="27"/>
      <c r="F466" s="27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2:20" ht="15.75" customHeight="1" x14ac:dyDescent="0.2">
      <c r="B467" s="2"/>
      <c r="C467" s="27"/>
      <c r="D467" s="27"/>
      <c r="E467" s="27"/>
      <c r="F467" s="27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2:20" ht="15.75" customHeight="1" x14ac:dyDescent="0.2">
      <c r="B468" s="2"/>
      <c r="C468" s="27"/>
      <c r="D468" s="27"/>
      <c r="E468" s="27"/>
      <c r="F468" s="27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2:20" ht="15.75" customHeight="1" x14ac:dyDescent="0.2">
      <c r="B469" s="2"/>
      <c r="C469" s="27"/>
      <c r="D469" s="27"/>
      <c r="E469" s="27"/>
      <c r="F469" s="27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2:20" ht="15.75" customHeight="1" x14ac:dyDescent="0.2">
      <c r="B470" s="2"/>
      <c r="C470" s="27"/>
      <c r="D470" s="27"/>
      <c r="E470" s="27"/>
      <c r="F470" s="27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2:20" ht="15.75" customHeight="1" x14ac:dyDescent="0.2">
      <c r="B471" s="2"/>
      <c r="C471" s="27"/>
      <c r="D471" s="27"/>
      <c r="E471" s="27"/>
      <c r="F471" s="27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2:20" ht="15.75" customHeight="1" x14ac:dyDescent="0.2">
      <c r="B472" s="2"/>
      <c r="C472" s="27"/>
      <c r="D472" s="27"/>
      <c r="E472" s="27"/>
      <c r="F472" s="27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2:20" ht="15.75" customHeight="1" x14ac:dyDescent="0.2">
      <c r="B473" s="2"/>
      <c r="C473" s="27"/>
      <c r="D473" s="27"/>
      <c r="E473" s="27"/>
      <c r="F473" s="27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2:20" ht="15.75" customHeight="1" x14ac:dyDescent="0.2">
      <c r="B474" s="2"/>
      <c r="C474" s="27"/>
      <c r="D474" s="27"/>
      <c r="E474" s="27"/>
      <c r="F474" s="27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2:20" ht="15.75" customHeight="1" x14ac:dyDescent="0.2">
      <c r="B475" s="2"/>
      <c r="C475" s="27"/>
      <c r="D475" s="27"/>
      <c r="E475" s="27"/>
      <c r="F475" s="27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2:20" ht="15.75" customHeight="1" x14ac:dyDescent="0.2">
      <c r="B476" s="2"/>
      <c r="C476" s="27"/>
      <c r="D476" s="27"/>
      <c r="E476" s="27"/>
      <c r="F476" s="27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2:20" ht="15.75" customHeight="1" x14ac:dyDescent="0.2">
      <c r="B477" s="2"/>
      <c r="C477" s="27"/>
      <c r="D477" s="27"/>
      <c r="E477" s="27"/>
      <c r="F477" s="27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2:20" ht="15.75" customHeight="1" x14ac:dyDescent="0.2">
      <c r="B478" s="2"/>
      <c r="C478" s="27"/>
      <c r="D478" s="27"/>
      <c r="E478" s="27"/>
      <c r="F478" s="27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2:20" ht="15.75" customHeight="1" x14ac:dyDescent="0.2">
      <c r="B479" s="2"/>
      <c r="C479" s="27"/>
      <c r="D479" s="27"/>
      <c r="E479" s="27"/>
      <c r="F479" s="27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2:20" ht="15.75" customHeight="1" x14ac:dyDescent="0.2">
      <c r="B480" s="2"/>
      <c r="C480" s="27"/>
      <c r="D480" s="27"/>
      <c r="E480" s="27"/>
      <c r="F480" s="27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2:20" ht="15.75" customHeight="1" x14ac:dyDescent="0.2">
      <c r="B481" s="2"/>
      <c r="C481" s="27"/>
      <c r="D481" s="27"/>
      <c r="E481" s="27"/>
      <c r="F481" s="27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2:20" ht="15.75" customHeight="1" x14ac:dyDescent="0.2">
      <c r="B482" s="2"/>
      <c r="C482" s="27"/>
      <c r="D482" s="27"/>
      <c r="E482" s="27"/>
      <c r="F482" s="27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2:20" ht="15.75" customHeight="1" x14ac:dyDescent="0.2">
      <c r="B483" s="2"/>
      <c r="C483" s="27"/>
      <c r="D483" s="27"/>
      <c r="E483" s="27"/>
      <c r="F483" s="27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2:20" ht="15.75" customHeight="1" x14ac:dyDescent="0.2">
      <c r="B484" s="2"/>
      <c r="C484" s="27"/>
      <c r="D484" s="27"/>
      <c r="E484" s="27"/>
      <c r="F484" s="27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2:20" ht="15.75" customHeight="1" x14ac:dyDescent="0.2">
      <c r="B485" s="2"/>
      <c r="C485" s="27"/>
      <c r="D485" s="27"/>
      <c r="E485" s="27"/>
      <c r="F485" s="27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2:20" ht="15.75" customHeight="1" x14ac:dyDescent="0.2">
      <c r="B486" s="2"/>
      <c r="C486" s="27"/>
      <c r="D486" s="27"/>
      <c r="E486" s="27"/>
      <c r="F486" s="27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2:20" ht="15.75" customHeight="1" x14ac:dyDescent="0.2">
      <c r="B487" s="2"/>
      <c r="C487" s="27"/>
      <c r="D487" s="27"/>
      <c r="E487" s="27"/>
      <c r="F487" s="27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2:20" ht="15.75" customHeight="1" x14ac:dyDescent="0.2">
      <c r="B488" s="2"/>
      <c r="C488" s="27"/>
      <c r="D488" s="27"/>
      <c r="E488" s="27"/>
      <c r="F488" s="27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2:20" ht="15.75" customHeight="1" x14ac:dyDescent="0.2">
      <c r="B489" s="2"/>
      <c r="C489" s="27"/>
      <c r="D489" s="27"/>
      <c r="E489" s="27"/>
      <c r="F489" s="27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2:20" ht="15.75" customHeight="1" x14ac:dyDescent="0.2">
      <c r="B490" s="2"/>
      <c r="C490" s="27"/>
      <c r="D490" s="27"/>
      <c r="E490" s="27"/>
      <c r="F490" s="27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2:20" ht="15.75" customHeight="1" x14ac:dyDescent="0.2">
      <c r="B491" s="2"/>
      <c r="C491" s="27"/>
      <c r="D491" s="27"/>
      <c r="E491" s="27"/>
      <c r="F491" s="27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2:20" ht="15.75" customHeight="1" x14ac:dyDescent="0.2">
      <c r="B492" s="2"/>
      <c r="C492" s="27"/>
      <c r="D492" s="27"/>
      <c r="E492" s="27"/>
      <c r="F492" s="27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2:20" ht="15.75" customHeight="1" x14ac:dyDescent="0.2">
      <c r="B493" s="2"/>
      <c r="C493" s="27"/>
      <c r="D493" s="27"/>
      <c r="E493" s="27"/>
      <c r="F493" s="27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2:20" ht="15.75" customHeight="1" x14ac:dyDescent="0.2">
      <c r="B494" s="2"/>
      <c r="C494" s="27"/>
      <c r="D494" s="27"/>
      <c r="E494" s="27"/>
      <c r="F494" s="27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2:20" ht="15.75" customHeight="1" x14ac:dyDescent="0.2">
      <c r="B495" s="2"/>
      <c r="C495" s="27"/>
      <c r="D495" s="27"/>
      <c r="E495" s="27"/>
      <c r="F495" s="27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2:20" ht="15.75" customHeight="1" x14ac:dyDescent="0.2">
      <c r="B496" s="2"/>
      <c r="C496" s="27"/>
      <c r="D496" s="27"/>
      <c r="E496" s="27"/>
      <c r="F496" s="27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2:20" ht="15.75" customHeight="1" x14ac:dyDescent="0.2">
      <c r="B497" s="2"/>
      <c r="C497" s="27"/>
      <c r="D497" s="27"/>
      <c r="E497" s="27"/>
      <c r="F497" s="27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2:20" ht="15.75" customHeight="1" x14ac:dyDescent="0.2">
      <c r="B498" s="2"/>
      <c r="C498" s="27"/>
      <c r="D498" s="27"/>
      <c r="E498" s="27"/>
      <c r="F498" s="27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2:20" ht="15.75" customHeight="1" x14ac:dyDescent="0.2">
      <c r="B499" s="2"/>
      <c r="C499" s="27"/>
      <c r="D499" s="27"/>
      <c r="E499" s="27"/>
      <c r="F499" s="27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2:20" ht="15.75" customHeight="1" x14ac:dyDescent="0.2">
      <c r="B500" s="2"/>
      <c r="C500" s="27"/>
      <c r="D500" s="27"/>
      <c r="E500" s="27"/>
      <c r="F500" s="27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2:20" ht="15.75" customHeight="1" x14ac:dyDescent="0.2">
      <c r="B501" s="2"/>
      <c r="C501" s="27"/>
      <c r="D501" s="27"/>
      <c r="E501" s="27"/>
      <c r="F501" s="27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2:20" ht="15.75" customHeight="1" x14ac:dyDescent="0.2">
      <c r="B502" s="2"/>
      <c r="C502" s="27"/>
      <c r="D502" s="27"/>
      <c r="E502" s="27"/>
      <c r="F502" s="27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2:20" ht="15.75" customHeight="1" x14ac:dyDescent="0.2">
      <c r="B503" s="2"/>
      <c r="C503" s="27"/>
      <c r="D503" s="27"/>
      <c r="E503" s="27"/>
      <c r="F503" s="27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2:20" ht="15.75" customHeight="1" x14ac:dyDescent="0.2">
      <c r="B504" s="2"/>
      <c r="C504" s="27"/>
      <c r="D504" s="27"/>
      <c r="E504" s="27"/>
      <c r="F504" s="27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2:20" ht="15.75" customHeight="1" x14ac:dyDescent="0.2">
      <c r="B505" s="2"/>
      <c r="C505" s="27"/>
      <c r="D505" s="27"/>
      <c r="E505" s="27"/>
      <c r="F505" s="27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2:20" ht="15.75" customHeight="1" x14ac:dyDescent="0.2">
      <c r="B506" s="2"/>
      <c r="C506" s="27"/>
      <c r="D506" s="27"/>
      <c r="E506" s="27"/>
      <c r="F506" s="27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2:20" ht="15.75" customHeight="1" x14ac:dyDescent="0.2">
      <c r="B507" s="2"/>
      <c r="C507" s="27"/>
      <c r="D507" s="27"/>
      <c r="E507" s="27"/>
      <c r="F507" s="27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2:20" ht="15.75" customHeight="1" x14ac:dyDescent="0.2">
      <c r="B508" s="2"/>
      <c r="C508" s="27"/>
      <c r="D508" s="27"/>
      <c r="E508" s="27"/>
      <c r="F508" s="27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2:20" ht="15.75" customHeight="1" x14ac:dyDescent="0.2">
      <c r="B509" s="2"/>
      <c r="C509" s="27"/>
      <c r="D509" s="27"/>
      <c r="E509" s="27"/>
      <c r="F509" s="27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2:20" ht="15.75" customHeight="1" x14ac:dyDescent="0.2">
      <c r="B510" s="2"/>
      <c r="C510" s="27"/>
      <c r="D510" s="27"/>
      <c r="E510" s="27"/>
      <c r="F510" s="27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2:20" ht="15.75" customHeight="1" x14ac:dyDescent="0.2">
      <c r="B511" s="2"/>
      <c r="C511" s="27"/>
      <c r="D511" s="27"/>
      <c r="E511" s="27"/>
      <c r="F511" s="27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2:20" ht="15.75" customHeight="1" x14ac:dyDescent="0.2">
      <c r="B512" s="2"/>
      <c r="C512" s="27"/>
      <c r="D512" s="27"/>
      <c r="E512" s="27"/>
      <c r="F512" s="27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2:20" ht="15.75" customHeight="1" x14ac:dyDescent="0.2">
      <c r="B513" s="2"/>
      <c r="C513" s="27"/>
      <c r="D513" s="27"/>
      <c r="E513" s="27"/>
      <c r="F513" s="27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2:20" ht="15.75" customHeight="1" x14ac:dyDescent="0.2">
      <c r="B514" s="2"/>
      <c r="C514" s="27"/>
      <c r="D514" s="27"/>
      <c r="E514" s="27"/>
      <c r="F514" s="27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2:20" ht="15.75" customHeight="1" x14ac:dyDescent="0.2">
      <c r="B515" s="2"/>
      <c r="C515" s="27"/>
      <c r="D515" s="27"/>
      <c r="E515" s="27"/>
      <c r="F515" s="27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2:20" ht="15.75" customHeight="1" x14ac:dyDescent="0.2">
      <c r="B516" s="2"/>
      <c r="C516" s="27"/>
      <c r="D516" s="27"/>
      <c r="E516" s="27"/>
      <c r="F516" s="27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2:20" ht="15.75" customHeight="1" x14ac:dyDescent="0.2">
      <c r="B517" s="2"/>
      <c r="C517" s="27"/>
      <c r="D517" s="27"/>
      <c r="E517" s="27"/>
      <c r="F517" s="27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2:20" ht="15.75" customHeight="1" x14ac:dyDescent="0.2">
      <c r="B518" s="2"/>
      <c r="C518" s="27"/>
      <c r="D518" s="27"/>
      <c r="E518" s="27"/>
      <c r="F518" s="27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2:20" ht="15.75" customHeight="1" x14ac:dyDescent="0.2">
      <c r="B519" s="2"/>
      <c r="C519" s="27"/>
      <c r="D519" s="27"/>
      <c r="E519" s="27"/>
      <c r="F519" s="27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2:20" ht="15.75" customHeight="1" x14ac:dyDescent="0.2">
      <c r="B520" s="2"/>
      <c r="C520" s="27"/>
      <c r="D520" s="27"/>
      <c r="E520" s="27"/>
      <c r="F520" s="27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2:20" ht="15.75" customHeight="1" x14ac:dyDescent="0.2">
      <c r="B521" s="2"/>
      <c r="C521" s="27"/>
      <c r="D521" s="27"/>
      <c r="E521" s="27"/>
      <c r="F521" s="27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2:20" ht="15.75" customHeight="1" x14ac:dyDescent="0.2">
      <c r="B522" s="2"/>
      <c r="C522" s="27"/>
      <c r="D522" s="27"/>
      <c r="E522" s="27"/>
      <c r="F522" s="27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2:20" ht="15.75" customHeight="1" x14ac:dyDescent="0.2">
      <c r="B523" s="2"/>
      <c r="C523" s="27"/>
      <c r="D523" s="27"/>
      <c r="E523" s="27"/>
      <c r="F523" s="27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2:20" ht="15.75" customHeight="1" x14ac:dyDescent="0.2">
      <c r="B524" s="2"/>
      <c r="C524" s="27"/>
      <c r="D524" s="27"/>
      <c r="E524" s="27"/>
      <c r="F524" s="27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2:20" ht="15.75" customHeight="1" x14ac:dyDescent="0.2">
      <c r="B525" s="2"/>
      <c r="C525" s="27"/>
      <c r="D525" s="27"/>
      <c r="E525" s="27"/>
      <c r="F525" s="27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2:20" ht="15.75" customHeight="1" x14ac:dyDescent="0.2">
      <c r="B526" s="2"/>
      <c r="C526" s="27"/>
      <c r="D526" s="27"/>
      <c r="E526" s="27"/>
      <c r="F526" s="27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2:20" ht="15.75" customHeight="1" x14ac:dyDescent="0.2">
      <c r="B527" s="2"/>
      <c r="C527" s="27"/>
      <c r="D527" s="27"/>
      <c r="E527" s="27"/>
      <c r="F527" s="27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2:20" ht="15.75" customHeight="1" x14ac:dyDescent="0.2">
      <c r="B528" s="2"/>
      <c r="C528" s="27"/>
      <c r="D528" s="27"/>
      <c r="E528" s="27"/>
      <c r="F528" s="27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2:20" ht="15.75" customHeight="1" x14ac:dyDescent="0.2">
      <c r="B529" s="2"/>
      <c r="C529" s="27"/>
      <c r="D529" s="27"/>
      <c r="E529" s="27"/>
      <c r="F529" s="27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2:20" ht="15.75" customHeight="1" x14ac:dyDescent="0.2">
      <c r="B530" s="2"/>
      <c r="C530" s="27"/>
      <c r="D530" s="27"/>
      <c r="E530" s="27"/>
      <c r="F530" s="27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2:20" ht="15.75" customHeight="1" x14ac:dyDescent="0.2">
      <c r="B531" s="2"/>
      <c r="C531" s="27"/>
      <c r="D531" s="27"/>
      <c r="E531" s="27"/>
      <c r="F531" s="27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2:20" ht="15.75" customHeight="1" x14ac:dyDescent="0.2">
      <c r="B532" s="2"/>
      <c r="C532" s="27"/>
      <c r="D532" s="27"/>
      <c r="E532" s="27"/>
      <c r="F532" s="27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2:20" ht="15.75" customHeight="1" x14ac:dyDescent="0.2">
      <c r="B533" s="2"/>
      <c r="C533" s="27"/>
      <c r="D533" s="27"/>
      <c r="E533" s="27"/>
      <c r="F533" s="27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2:20" ht="15.75" customHeight="1" x14ac:dyDescent="0.2">
      <c r="B534" s="2"/>
      <c r="C534" s="27"/>
      <c r="D534" s="27"/>
      <c r="E534" s="27"/>
      <c r="F534" s="27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2:20" ht="15.75" customHeight="1" x14ac:dyDescent="0.2">
      <c r="B535" s="2"/>
      <c r="C535" s="27"/>
      <c r="D535" s="27"/>
      <c r="E535" s="27"/>
      <c r="F535" s="27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2:20" ht="15.75" customHeight="1" x14ac:dyDescent="0.2">
      <c r="B536" s="2"/>
      <c r="C536" s="27"/>
      <c r="D536" s="27"/>
      <c r="E536" s="27"/>
      <c r="F536" s="27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2:20" ht="15.75" customHeight="1" x14ac:dyDescent="0.2">
      <c r="B537" s="2"/>
      <c r="C537" s="27"/>
      <c r="D537" s="27"/>
      <c r="E537" s="27"/>
      <c r="F537" s="27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2:20" ht="15.75" customHeight="1" x14ac:dyDescent="0.2">
      <c r="B538" s="2"/>
      <c r="C538" s="27"/>
      <c r="D538" s="27"/>
      <c r="E538" s="27"/>
      <c r="F538" s="27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2:20" ht="15.75" customHeight="1" x14ac:dyDescent="0.2">
      <c r="B539" s="2"/>
      <c r="C539" s="27"/>
      <c r="D539" s="27"/>
      <c r="E539" s="27"/>
      <c r="F539" s="27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2:20" ht="15.75" customHeight="1" x14ac:dyDescent="0.2">
      <c r="B540" s="2"/>
      <c r="C540" s="27"/>
      <c r="D540" s="27"/>
      <c r="E540" s="27"/>
      <c r="F540" s="27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2:20" ht="15.75" customHeight="1" x14ac:dyDescent="0.2">
      <c r="B541" s="2"/>
      <c r="C541" s="27"/>
      <c r="D541" s="27"/>
      <c r="E541" s="27"/>
      <c r="F541" s="27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2:20" ht="15.75" customHeight="1" x14ac:dyDescent="0.2">
      <c r="B542" s="2"/>
      <c r="C542" s="27"/>
      <c r="D542" s="27"/>
      <c r="E542" s="27"/>
      <c r="F542" s="27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2:20" ht="15.75" customHeight="1" x14ac:dyDescent="0.2">
      <c r="B543" s="2"/>
      <c r="C543" s="27"/>
      <c r="D543" s="27"/>
      <c r="E543" s="27"/>
      <c r="F543" s="27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2:20" ht="15.75" customHeight="1" x14ac:dyDescent="0.2">
      <c r="B544" s="2"/>
      <c r="C544" s="27"/>
      <c r="D544" s="27"/>
      <c r="E544" s="27"/>
      <c r="F544" s="27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2:20" ht="15.75" customHeight="1" x14ac:dyDescent="0.2">
      <c r="B545" s="2"/>
      <c r="C545" s="27"/>
      <c r="D545" s="27"/>
      <c r="E545" s="27"/>
      <c r="F545" s="27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2:20" ht="15.75" customHeight="1" x14ac:dyDescent="0.2">
      <c r="B546" s="2"/>
      <c r="C546" s="27"/>
      <c r="D546" s="27"/>
      <c r="E546" s="27"/>
      <c r="F546" s="27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2:20" ht="15.75" customHeight="1" x14ac:dyDescent="0.2">
      <c r="B547" s="2"/>
      <c r="C547" s="27"/>
      <c r="D547" s="27"/>
      <c r="E547" s="27"/>
      <c r="F547" s="27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2:20" ht="15.75" customHeight="1" x14ac:dyDescent="0.2">
      <c r="B548" s="2"/>
      <c r="C548" s="27"/>
      <c r="D548" s="27"/>
      <c r="E548" s="27"/>
      <c r="F548" s="27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2:20" ht="15.75" customHeight="1" x14ac:dyDescent="0.2">
      <c r="B549" s="2"/>
      <c r="C549" s="27"/>
      <c r="D549" s="27"/>
      <c r="E549" s="27"/>
      <c r="F549" s="27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2:20" ht="15.75" customHeight="1" x14ac:dyDescent="0.2">
      <c r="B550" s="2"/>
      <c r="C550" s="27"/>
      <c r="D550" s="27"/>
      <c r="E550" s="27"/>
      <c r="F550" s="27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2:20" ht="15.75" customHeight="1" x14ac:dyDescent="0.2">
      <c r="B551" s="2"/>
      <c r="C551" s="27"/>
      <c r="D551" s="27"/>
      <c r="E551" s="27"/>
      <c r="F551" s="27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2:20" ht="15.75" customHeight="1" x14ac:dyDescent="0.2">
      <c r="B552" s="2"/>
      <c r="C552" s="27"/>
      <c r="D552" s="27"/>
      <c r="E552" s="27"/>
      <c r="F552" s="27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2:20" ht="15.75" customHeight="1" x14ac:dyDescent="0.2">
      <c r="B553" s="2"/>
      <c r="C553" s="27"/>
      <c r="D553" s="27"/>
      <c r="E553" s="27"/>
      <c r="F553" s="27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2:20" ht="15.75" customHeight="1" x14ac:dyDescent="0.2">
      <c r="B554" s="2"/>
      <c r="C554" s="27"/>
      <c r="D554" s="27"/>
      <c r="E554" s="27"/>
      <c r="F554" s="27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2:20" ht="15.75" customHeight="1" x14ac:dyDescent="0.2">
      <c r="B555" s="2"/>
      <c r="C555" s="27"/>
      <c r="D555" s="27"/>
      <c r="E555" s="27"/>
      <c r="F555" s="27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2:20" ht="15.75" customHeight="1" x14ac:dyDescent="0.2">
      <c r="B556" s="2"/>
      <c r="C556" s="27"/>
      <c r="D556" s="27"/>
      <c r="E556" s="27"/>
      <c r="F556" s="27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2:20" ht="15.75" customHeight="1" x14ac:dyDescent="0.2">
      <c r="B557" s="2"/>
      <c r="C557" s="27"/>
      <c r="D557" s="27"/>
      <c r="E557" s="27"/>
      <c r="F557" s="27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2:20" ht="15.75" customHeight="1" x14ac:dyDescent="0.2">
      <c r="B558" s="2"/>
      <c r="C558" s="27"/>
      <c r="D558" s="27"/>
      <c r="E558" s="27"/>
      <c r="F558" s="27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2:20" ht="15.75" customHeight="1" x14ac:dyDescent="0.2">
      <c r="B559" s="2"/>
      <c r="C559" s="27"/>
      <c r="D559" s="27"/>
      <c r="E559" s="27"/>
      <c r="F559" s="27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2:20" ht="15.75" customHeight="1" x14ac:dyDescent="0.2">
      <c r="B560" s="2"/>
      <c r="C560" s="27"/>
      <c r="D560" s="27"/>
      <c r="E560" s="27"/>
      <c r="F560" s="27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2:20" ht="15.75" customHeight="1" x14ac:dyDescent="0.2">
      <c r="B561" s="2"/>
      <c r="C561" s="27"/>
      <c r="D561" s="27"/>
      <c r="E561" s="27"/>
      <c r="F561" s="27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2:20" ht="15.75" customHeight="1" x14ac:dyDescent="0.2">
      <c r="B562" s="2"/>
      <c r="C562" s="27"/>
      <c r="D562" s="27"/>
      <c r="E562" s="27"/>
      <c r="F562" s="27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2:20" ht="15.75" customHeight="1" x14ac:dyDescent="0.2">
      <c r="B563" s="2"/>
      <c r="C563" s="27"/>
      <c r="D563" s="27"/>
      <c r="E563" s="27"/>
      <c r="F563" s="27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2:20" ht="15.75" customHeight="1" x14ac:dyDescent="0.2">
      <c r="B564" s="2"/>
      <c r="C564" s="27"/>
      <c r="D564" s="27"/>
      <c r="E564" s="27"/>
      <c r="F564" s="27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2:20" ht="15.75" customHeight="1" x14ac:dyDescent="0.2">
      <c r="B565" s="2"/>
      <c r="C565" s="27"/>
      <c r="D565" s="27"/>
      <c r="E565" s="27"/>
      <c r="F565" s="27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2:20" ht="15.75" customHeight="1" x14ac:dyDescent="0.2">
      <c r="B566" s="2"/>
      <c r="C566" s="27"/>
      <c r="D566" s="27"/>
      <c r="E566" s="27"/>
      <c r="F566" s="27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2:20" ht="15.75" customHeight="1" x14ac:dyDescent="0.2">
      <c r="B567" s="2"/>
      <c r="C567" s="27"/>
      <c r="D567" s="27"/>
      <c r="E567" s="27"/>
      <c r="F567" s="27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2:20" ht="15.75" customHeight="1" x14ac:dyDescent="0.2">
      <c r="B568" s="2"/>
      <c r="C568" s="27"/>
      <c r="D568" s="27"/>
      <c r="E568" s="27"/>
      <c r="F568" s="27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2:20" ht="15.75" customHeight="1" x14ac:dyDescent="0.2">
      <c r="B569" s="2"/>
      <c r="C569" s="27"/>
      <c r="D569" s="27"/>
      <c r="E569" s="27"/>
      <c r="F569" s="27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2:20" ht="15.75" customHeight="1" x14ac:dyDescent="0.2">
      <c r="B570" s="2"/>
      <c r="C570" s="27"/>
      <c r="D570" s="27"/>
      <c r="E570" s="27"/>
      <c r="F570" s="27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2:20" ht="15.75" customHeight="1" x14ac:dyDescent="0.2">
      <c r="B571" s="2"/>
      <c r="C571" s="27"/>
      <c r="D571" s="27"/>
      <c r="E571" s="27"/>
      <c r="F571" s="27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2:20" ht="15.75" customHeight="1" x14ac:dyDescent="0.2">
      <c r="B572" s="2"/>
      <c r="C572" s="27"/>
      <c r="D572" s="27"/>
      <c r="E572" s="27"/>
      <c r="F572" s="27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2:20" ht="15.75" customHeight="1" x14ac:dyDescent="0.2">
      <c r="B573" s="2"/>
      <c r="C573" s="27"/>
      <c r="D573" s="27"/>
      <c r="E573" s="27"/>
      <c r="F573" s="27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2:20" ht="15.75" customHeight="1" x14ac:dyDescent="0.2">
      <c r="B574" s="2"/>
      <c r="C574" s="27"/>
      <c r="D574" s="27"/>
      <c r="E574" s="27"/>
      <c r="F574" s="27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2:20" ht="15.75" customHeight="1" x14ac:dyDescent="0.2">
      <c r="B575" s="2"/>
      <c r="C575" s="27"/>
      <c r="D575" s="27"/>
      <c r="E575" s="27"/>
      <c r="F575" s="27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2:20" ht="15.75" customHeight="1" x14ac:dyDescent="0.2">
      <c r="B576" s="2"/>
      <c r="C576" s="27"/>
      <c r="D576" s="27"/>
      <c r="E576" s="27"/>
      <c r="F576" s="27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2:20" ht="15.75" customHeight="1" x14ac:dyDescent="0.2">
      <c r="B577" s="2"/>
      <c r="C577" s="27"/>
      <c r="D577" s="27"/>
      <c r="E577" s="27"/>
      <c r="F577" s="27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2:20" ht="15.75" customHeight="1" x14ac:dyDescent="0.2">
      <c r="B578" s="2"/>
      <c r="C578" s="27"/>
      <c r="D578" s="27"/>
      <c r="E578" s="27"/>
      <c r="F578" s="27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2:20" ht="15.75" customHeight="1" x14ac:dyDescent="0.2">
      <c r="B579" s="2"/>
      <c r="C579" s="27"/>
      <c r="D579" s="27"/>
      <c r="E579" s="27"/>
      <c r="F579" s="27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2:20" ht="15.75" customHeight="1" x14ac:dyDescent="0.2">
      <c r="B580" s="2"/>
      <c r="C580" s="27"/>
      <c r="D580" s="27"/>
      <c r="E580" s="27"/>
      <c r="F580" s="27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2:20" ht="15.75" customHeight="1" x14ac:dyDescent="0.2">
      <c r="B581" s="2"/>
      <c r="C581" s="27"/>
      <c r="D581" s="27"/>
      <c r="E581" s="27"/>
      <c r="F581" s="27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2:20" ht="15.75" customHeight="1" x14ac:dyDescent="0.2">
      <c r="B582" s="2"/>
      <c r="C582" s="27"/>
      <c r="D582" s="27"/>
      <c r="E582" s="27"/>
      <c r="F582" s="27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2:20" ht="15.75" customHeight="1" x14ac:dyDescent="0.2">
      <c r="B583" s="2"/>
      <c r="C583" s="27"/>
      <c r="D583" s="27"/>
      <c r="E583" s="27"/>
      <c r="F583" s="27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2:20" ht="15.75" customHeight="1" x14ac:dyDescent="0.2">
      <c r="B584" s="2"/>
      <c r="C584" s="27"/>
      <c r="D584" s="27"/>
      <c r="E584" s="27"/>
      <c r="F584" s="27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2:20" ht="15.75" customHeight="1" x14ac:dyDescent="0.2">
      <c r="B585" s="2"/>
      <c r="C585" s="27"/>
      <c r="D585" s="27"/>
      <c r="E585" s="27"/>
      <c r="F585" s="27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2:20" ht="15.75" customHeight="1" x14ac:dyDescent="0.2">
      <c r="B586" s="2"/>
      <c r="C586" s="27"/>
      <c r="D586" s="27"/>
      <c r="E586" s="27"/>
      <c r="F586" s="27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2:20" ht="15.75" customHeight="1" x14ac:dyDescent="0.2">
      <c r="B587" s="2"/>
      <c r="C587" s="27"/>
      <c r="D587" s="27"/>
      <c r="E587" s="27"/>
      <c r="F587" s="27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2:20" ht="15.75" customHeight="1" x14ac:dyDescent="0.2">
      <c r="B588" s="2"/>
      <c r="C588" s="27"/>
      <c r="D588" s="27"/>
      <c r="E588" s="27"/>
      <c r="F588" s="27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2:20" ht="15.75" customHeight="1" x14ac:dyDescent="0.2">
      <c r="B589" s="2"/>
      <c r="C589" s="27"/>
      <c r="D589" s="27"/>
      <c r="E589" s="27"/>
      <c r="F589" s="27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2:20" ht="15.75" customHeight="1" x14ac:dyDescent="0.2">
      <c r="B590" s="2"/>
      <c r="C590" s="27"/>
      <c r="D590" s="27"/>
      <c r="E590" s="27"/>
      <c r="F590" s="27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2:20" ht="15.75" customHeight="1" x14ac:dyDescent="0.2">
      <c r="B591" s="2"/>
      <c r="C591" s="27"/>
      <c r="D591" s="27"/>
      <c r="E591" s="27"/>
      <c r="F591" s="27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2:20" ht="15.75" customHeight="1" x14ac:dyDescent="0.2">
      <c r="B592" s="2"/>
      <c r="C592" s="27"/>
      <c r="D592" s="27"/>
      <c r="E592" s="27"/>
      <c r="F592" s="27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2:20" ht="15.75" customHeight="1" x14ac:dyDescent="0.2">
      <c r="B593" s="2"/>
      <c r="C593" s="27"/>
      <c r="D593" s="27"/>
      <c r="E593" s="27"/>
      <c r="F593" s="27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2:20" ht="15.75" customHeight="1" x14ac:dyDescent="0.2">
      <c r="B594" s="2"/>
      <c r="C594" s="27"/>
      <c r="D594" s="27"/>
      <c r="E594" s="27"/>
      <c r="F594" s="27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2:20" ht="15.75" customHeight="1" x14ac:dyDescent="0.2">
      <c r="B595" s="2"/>
      <c r="C595" s="27"/>
      <c r="D595" s="27"/>
      <c r="E595" s="27"/>
      <c r="F595" s="27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2:20" ht="15.75" customHeight="1" x14ac:dyDescent="0.2">
      <c r="B596" s="2"/>
      <c r="C596" s="27"/>
      <c r="D596" s="27"/>
      <c r="E596" s="27"/>
      <c r="F596" s="27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2:20" ht="15.75" customHeight="1" x14ac:dyDescent="0.2">
      <c r="B597" s="2"/>
      <c r="C597" s="27"/>
      <c r="D597" s="27"/>
      <c r="E597" s="27"/>
      <c r="F597" s="27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2:20" ht="15.75" customHeight="1" x14ac:dyDescent="0.2">
      <c r="B598" s="2"/>
      <c r="C598" s="27"/>
      <c r="D598" s="27"/>
      <c r="E598" s="27"/>
      <c r="F598" s="27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2:20" ht="15.75" customHeight="1" x14ac:dyDescent="0.2">
      <c r="B599" s="2"/>
      <c r="C599" s="27"/>
      <c r="D599" s="27"/>
      <c r="E599" s="27"/>
      <c r="F599" s="27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2:20" ht="15.75" customHeight="1" x14ac:dyDescent="0.2">
      <c r="B600" s="2"/>
      <c r="C600" s="27"/>
      <c r="D600" s="27"/>
      <c r="E600" s="27"/>
      <c r="F600" s="27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2:20" ht="15.75" customHeight="1" x14ac:dyDescent="0.2">
      <c r="B601" s="2"/>
      <c r="C601" s="27"/>
      <c r="D601" s="27"/>
      <c r="E601" s="27"/>
      <c r="F601" s="27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2:20" ht="15.75" customHeight="1" x14ac:dyDescent="0.2">
      <c r="B602" s="2"/>
      <c r="C602" s="27"/>
      <c r="D602" s="27"/>
      <c r="E602" s="27"/>
      <c r="F602" s="27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2:20" ht="15.75" customHeight="1" x14ac:dyDescent="0.2">
      <c r="B603" s="2"/>
      <c r="C603" s="27"/>
      <c r="D603" s="27"/>
      <c r="E603" s="27"/>
      <c r="F603" s="27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2:20" ht="15.75" customHeight="1" x14ac:dyDescent="0.2">
      <c r="B604" s="2"/>
      <c r="C604" s="27"/>
      <c r="D604" s="27"/>
      <c r="E604" s="27"/>
      <c r="F604" s="27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2:20" ht="15.75" customHeight="1" x14ac:dyDescent="0.2">
      <c r="B605" s="2"/>
      <c r="C605" s="27"/>
      <c r="D605" s="27"/>
      <c r="E605" s="27"/>
      <c r="F605" s="27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2:20" ht="15.75" customHeight="1" x14ac:dyDescent="0.2">
      <c r="B606" s="2"/>
      <c r="C606" s="27"/>
      <c r="D606" s="27"/>
      <c r="E606" s="27"/>
      <c r="F606" s="27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2:20" ht="15.75" customHeight="1" x14ac:dyDescent="0.2">
      <c r="B607" s="2"/>
      <c r="C607" s="27"/>
      <c r="D607" s="27"/>
      <c r="E607" s="27"/>
      <c r="F607" s="27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2:20" ht="15.75" customHeight="1" x14ac:dyDescent="0.2">
      <c r="B608" s="2"/>
      <c r="C608" s="27"/>
      <c r="D608" s="27"/>
      <c r="E608" s="27"/>
      <c r="F608" s="27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2:20" ht="15.75" customHeight="1" x14ac:dyDescent="0.2">
      <c r="B609" s="2"/>
      <c r="C609" s="27"/>
      <c r="D609" s="27"/>
      <c r="E609" s="27"/>
      <c r="F609" s="27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2:20" ht="15.75" customHeight="1" x14ac:dyDescent="0.2">
      <c r="B610" s="2"/>
      <c r="C610" s="27"/>
      <c r="D610" s="27"/>
      <c r="E610" s="27"/>
      <c r="F610" s="27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2:20" ht="15.75" customHeight="1" x14ac:dyDescent="0.2">
      <c r="B611" s="2"/>
      <c r="C611" s="27"/>
      <c r="D611" s="27"/>
      <c r="E611" s="27"/>
      <c r="F611" s="27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2:20" ht="15.75" customHeight="1" x14ac:dyDescent="0.2">
      <c r="B612" s="2"/>
      <c r="C612" s="27"/>
      <c r="D612" s="27"/>
      <c r="E612" s="27"/>
      <c r="F612" s="27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2:20" ht="15.75" customHeight="1" x14ac:dyDescent="0.2">
      <c r="B613" s="2"/>
      <c r="C613" s="27"/>
      <c r="D613" s="27"/>
      <c r="E613" s="27"/>
      <c r="F613" s="27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2:20" ht="15.75" customHeight="1" x14ac:dyDescent="0.2">
      <c r="B614" s="2"/>
      <c r="C614" s="27"/>
      <c r="D614" s="27"/>
      <c r="E614" s="27"/>
      <c r="F614" s="27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2:20" ht="15.75" customHeight="1" x14ac:dyDescent="0.2">
      <c r="B615" s="2"/>
      <c r="C615" s="27"/>
      <c r="D615" s="27"/>
      <c r="E615" s="27"/>
      <c r="F615" s="27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2:20" ht="15.75" customHeight="1" x14ac:dyDescent="0.2">
      <c r="B616" s="2"/>
      <c r="C616" s="27"/>
      <c r="D616" s="27"/>
      <c r="E616" s="27"/>
      <c r="F616" s="27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2:20" ht="15.75" customHeight="1" x14ac:dyDescent="0.2">
      <c r="B617" s="2"/>
      <c r="C617" s="27"/>
      <c r="D617" s="27"/>
      <c r="E617" s="27"/>
      <c r="F617" s="27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2:20" ht="15.75" customHeight="1" x14ac:dyDescent="0.2">
      <c r="B618" s="2"/>
      <c r="C618" s="27"/>
      <c r="D618" s="27"/>
      <c r="E618" s="27"/>
      <c r="F618" s="27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2:20" ht="15.75" customHeight="1" x14ac:dyDescent="0.2">
      <c r="B619" s="2"/>
      <c r="C619" s="27"/>
      <c r="D619" s="27"/>
      <c r="E619" s="27"/>
      <c r="F619" s="27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2:20" ht="15.75" customHeight="1" x14ac:dyDescent="0.2">
      <c r="B620" s="2"/>
      <c r="C620" s="27"/>
      <c r="D620" s="27"/>
      <c r="E620" s="27"/>
      <c r="F620" s="27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2:20" ht="15.75" customHeight="1" x14ac:dyDescent="0.2">
      <c r="B621" s="2"/>
      <c r="C621" s="27"/>
      <c r="D621" s="27"/>
      <c r="E621" s="27"/>
      <c r="F621" s="27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2:20" ht="15.75" customHeight="1" x14ac:dyDescent="0.2">
      <c r="B622" s="2"/>
      <c r="C622" s="27"/>
      <c r="D622" s="27"/>
      <c r="E622" s="27"/>
      <c r="F622" s="27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2:20" ht="15.75" customHeight="1" x14ac:dyDescent="0.2">
      <c r="B623" s="2"/>
      <c r="C623" s="27"/>
      <c r="D623" s="27"/>
      <c r="E623" s="27"/>
      <c r="F623" s="27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2:20" ht="15.75" customHeight="1" x14ac:dyDescent="0.2">
      <c r="B624" s="2"/>
      <c r="C624" s="27"/>
      <c r="D624" s="27"/>
      <c r="E624" s="27"/>
      <c r="F624" s="27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2:20" ht="15.75" customHeight="1" x14ac:dyDescent="0.2">
      <c r="B625" s="2"/>
      <c r="C625" s="27"/>
      <c r="D625" s="27"/>
      <c r="E625" s="27"/>
      <c r="F625" s="27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2:20" ht="15.75" customHeight="1" x14ac:dyDescent="0.2">
      <c r="B626" s="2"/>
      <c r="C626" s="27"/>
      <c r="D626" s="27"/>
      <c r="E626" s="27"/>
      <c r="F626" s="27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2:20" ht="15.75" customHeight="1" x14ac:dyDescent="0.2">
      <c r="B627" s="2"/>
      <c r="C627" s="27"/>
      <c r="D627" s="27"/>
      <c r="E627" s="27"/>
      <c r="F627" s="27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2:20" ht="15.75" customHeight="1" x14ac:dyDescent="0.2">
      <c r="B628" s="2"/>
      <c r="C628" s="27"/>
      <c r="D628" s="27"/>
      <c r="E628" s="27"/>
      <c r="F628" s="27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2:20" ht="15.75" customHeight="1" x14ac:dyDescent="0.2">
      <c r="B629" s="2"/>
      <c r="C629" s="27"/>
      <c r="D629" s="27"/>
      <c r="E629" s="27"/>
      <c r="F629" s="27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2:20" ht="15.75" customHeight="1" x14ac:dyDescent="0.2">
      <c r="B630" s="2"/>
      <c r="C630" s="27"/>
      <c r="D630" s="27"/>
      <c r="E630" s="27"/>
      <c r="F630" s="27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2:20" ht="15.75" customHeight="1" x14ac:dyDescent="0.2">
      <c r="B631" s="2"/>
      <c r="C631" s="27"/>
      <c r="D631" s="27"/>
      <c r="E631" s="27"/>
      <c r="F631" s="27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2:20" ht="15.75" customHeight="1" x14ac:dyDescent="0.2">
      <c r="B632" s="2"/>
      <c r="C632" s="27"/>
      <c r="D632" s="27"/>
      <c r="E632" s="27"/>
      <c r="F632" s="27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2:20" ht="15.75" customHeight="1" x14ac:dyDescent="0.2">
      <c r="B633" s="2"/>
      <c r="C633" s="27"/>
      <c r="D633" s="27"/>
      <c r="E633" s="27"/>
      <c r="F633" s="27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2:20" ht="15.75" customHeight="1" x14ac:dyDescent="0.2">
      <c r="B634" s="2"/>
      <c r="C634" s="27"/>
      <c r="D634" s="27"/>
      <c r="E634" s="27"/>
      <c r="F634" s="27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2:20" ht="15.75" customHeight="1" x14ac:dyDescent="0.2">
      <c r="B635" s="2"/>
      <c r="C635" s="27"/>
      <c r="D635" s="27"/>
      <c r="E635" s="27"/>
      <c r="F635" s="27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2:20" ht="15.75" customHeight="1" x14ac:dyDescent="0.2">
      <c r="B636" s="2"/>
      <c r="C636" s="27"/>
      <c r="D636" s="27"/>
      <c r="E636" s="27"/>
      <c r="F636" s="27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2:20" ht="15.75" customHeight="1" x14ac:dyDescent="0.2">
      <c r="B637" s="2"/>
      <c r="C637" s="27"/>
      <c r="D637" s="27"/>
      <c r="E637" s="27"/>
      <c r="F637" s="27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2:20" ht="15.75" customHeight="1" x14ac:dyDescent="0.2">
      <c r="B638" s="2"/>
      <c r="C638" s="27"/>
      <c r="D638" s="27"/>
      <c r="E638" s="27"/>
      <c r="F638" s="27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2:20" ht="15.75" customHeight="1" x14ac:dyDescent="0.2">
      <c r="B639" s="2"/>
      <c r="C639" s="27"/>
      <c r="D639" s="27"/>
      <c r="E639" s="27"/>
      <c r="F639" s="27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2:2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</sheetData>
  <mergeCells count="2">
    <mergeCell ref="A4:F4"/>
    <mergeCell ref="A5:F5"/>
  </mergeCells>
  <phoneticPr fontId="14" type="noConversion"/>
  <pageMargins left="0.47244094488188981" right="0.15748031496062992" top="0.15748031496062992" bottom="0.15748031496062992" header="0.15748031496062992" footer="0.15748031496062992"/>
  <pageSetup paperSize="9" scale="7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65"/>
  <sheetViews>
    <sheetView zoomScale="90" zoomScaleNormal="90" workbookViewId="0">
      <selection activeCell="A10" sqref="A10:A12"/>
    </sheetView>
  </sheetViews>
  <sheetFormatPr defaultRowHeight="12.75" x14ac:dyDescent="0.2"/>
  <cols>
    <col min="1" max="1" width="21.85546875" customWidth="1"/>
    <col min="2" max="2" width="13.42578125" customWidth="1"/>
    <col min="3" max="3" width="10.5703125" customWidth="1"/>
    <col min="4" max="4" width="9.140625" customWidth="1"/>
    <col min="5" max="5" width="10.7109375" customWidth="1"/>
    <col min="6" max="6" width="8.42578125" bestFit="1" customWidth="1"/>
    <col min="7" max="7" width="11.85546875" customWidth="1"/>
    <col min="8" max="8" width="10.140625" customWidth="1"/>
    <col min="9" max="9" width="9.140625" customWidth="1"/>
    <col min="10" max="10" width="10" style="91" customWidth="1"/>
    <col min="11" max="11" width="10.5703125" style="91" customWidth="1"/>
    <col min="12" max="12" width="10.85546875" style="91" customWidth="1"/>
    <col min="13" max="13" width="10.7109375" style="91" customWidth="1"/>
    <col min="14" max="14" width="12.28515625" style="91" customWidth="1"/>
    <col min="15" max="15" width="11" style="91" hidden="1" customWidth="1"/>
    <col min="16" max="17" width="12.7109375" customWidth="1"/>
    <col min="18" max="18" width="10.28515625" customWidth="1"/>
  </cols>
  <sheetData>
    <row r="1" spans="1:18" x14ac:dyDescent="0.2">
      <c r="A1" s="52"/>
      <c r="B1" s="52"/>
      <c r="C1" s="52"/>
      <c r="D1" s="52"/>
      <c r="E1" s="52"/>
      <c r="F1" s="52"/>
      <c r="G1" s="52"/>
      <c r="H1" s="52"/>
      <c r="I1" s="52"/>
      <c r="J1" s="132"/>
      <c r="K1" s="132"/>
      <c r="L1" s="132"/>
      <c r="M1" s="132"/>
      <c r="N1" s="81" t="s">
        <v>725</v>
      </c>
    </row>
    <row r="2" spans="1:18" x14ac:dyDescent="0.2">
      <c r="A2" s="52"/>
      <c r="B2" s="52"/>
      <c r="C2" s="52"/>
      <c r="D2" s="52"/>
      <c r="E2" s="52"/>
      <c r="F2" s="52"/>
      <c r="G2" s="52"/>
      <c r="H2" s="52"/>
      <c r="I2" s="52"/>
      <c r="J2" s="132"/>
      <c r="K2" s="132"/>
      <c r="L2" s="132"/>
      <c r="M2" s="132"/>
      <c r="N2" s="404" t="str">
        <f>'1.Bev-kiad.'!F2</f>
        <v>a 12/2026.(X.2.) önkormányzati rendelethez</v>
      </c>
    </row>
    <row r="3" spans="1:18" x14ac:dyDescent="0.2">
      <c r="A3" s="52"/>
      <c r="B3" s="52"/>
      <c r="C3" s="52"/>
      <c r="D3" s="52"/>
      <c r="E3" s="52"/>
      <c r="F3" s="52"/>
      <c r="G3" s="52"/>
      <c r="H3" s="52"/>
      <c r="I3" s="52"/>
      <c r="J3" s="132"/>
      <c r="K3" s="132"/>
      <c r="L3" s="132"/>
      <c r="M3" s="132"/>
      <c r="N3" s="132"/>
      <c r="O3" s="171"/>
    </row>
    <row r="4" spans="1:18" ht="16.5" customHeight="1" x14ac:dyDescent="0.2">
      <c r="A4" s="877" t="s">
        <v>105</v>
      </c>
      <c r="B4" s="874"/>
      <c r="C4" s="874"/>
      <c r="D4" s="874"/>
      <c r="E4" s="874"/>
      <c r="F4" s="874"/>
      <c r="G4" s="874"/>
      <c r="H4" s="874"/>
      <c r="I4" s="874"/>
      <c r="J4" s="874"/>
      <c r="K4" s="874"/>
      <c r="L4" s="874"/>
      <c r="M4" s="874"/>
      <c r="N4" s="874"/>
      <c r="O4" s="874"/>
    </row>
    <row r="5" spans="1:18" ht="30.75" customHeight="1" x14ac:dyDescent="0.2">
      <c r="A5" s="886" t="s">
        <v>1080</v>
      </c>
      <c r="B5" s="873"/>
      <c r="C5" s="873"/>
      <c r="D5" s="873"/>
      <c r="E5" s="873"/>
      <c r="F5" s="873"/>
      <c r="G5" s="873"/>
      <c r="H5" s="873"/>
      <c r="I5" s="873"/>
      <c r="J5" s="873"/>
      <c r="K5" s="873"/>
      <c r="L5" s="873"/>
      <c r="M5" s="873"/>
      <c r="N5" s="873"/>
      <c r="O5" s="873"/>
      <c r="P5" s="133"/>
    </row>
    <row r="6" spans="1:18" ht="12" customHeight="1" x14ac:dyDescent="0.2">
      <c r="A6" s="873"/>
      <c r="B6" s="873"/>
      <c r="C6" s="873"/>
      <c r="D6" s="873"/>
      <c r="E6" s="873"/>
      <c r="F6" s="873"/>
      <c r="G6" s="873"/>
      <c r="H6" s="873"/>
      <c r="I6" s="873"/>
      <c r="J6" s="873"/>
      <c r="K6" s="873"/>
      <c r="L6" s="873"/>
      <c r="M6" s="873"/>
      <c r="N6" s="873"/>
      <c r="O6" s="873"/>
    </row>
    <row r="7" spans="1:18" ht="12.95" customHeight="1" x14ac:dyDescent="0.2">
      <c r="A7" s="3"/>
      <c r="B7" s="3"/>
      <c r="C7" s="3"/>
      <c r="D7" s="3"/>
      <c r="E7" s="3"/>
      <c r="F7" s="3"/>
      <c r="G7" s="3"/>
      <c r="H7" s="3"/>
      <c r="I7" s="3"/>
      <c r="J7" s="83"/>
      <c r="K7" s="83"/>
      <c r="L7" s="83"/>
      <c r="M7" s="83"/>
      <c r="N7" s="81" t="s">
        <v>0</v>
      </c>
    </row>
    <row r="8" spans="1:18" ht="13.5" hidden="1" customHeight="1" x14ac:dyDescent="0.2">
      <c r="B8" s="73"/>
      <c r="C8" s="73"/>
      <c r="D8" s="73"/>
      <c r="E8" s="73"/>
      <c r="F8" s="73"/>
      <c r="G8" s="73"/>
      <c r="H8" s="73"/>
      <c r="I8" s="73"/>
      <c r="J8" s="90"/>
      <c r="K8" s="90"/>
      <c r="L8" s="90"/>
      <c r="M8" s="90"/>
      <c r="N8" s="90"/>
      <c r="O8" s="90"/>
    </row>
    <row r="9" spans="1:18" ht="13.5" thickBot="1" x14ac:dyDescent="0.25">
      <c r="B9" s="73"/>
      <c r="C9" s="73"/>
      <c r="D9" s="73"/>
      <c r="E9" s="73"/>
      <c r="F9" s="73"/>
      <c r="G9" s="73"/>
      <c r="H9" s="73"/>
      <c r="I9" s="73"/>
      <c r="J9" s="90"/>
      <c r="K9" s="90"/>
      <c r="L9" s="90"/>
      <c r="M9" s="90"/>
      <c r="N9" s="90"/>
      <c r="O9" s="90"/>
    </row>
    <row r="10" spans="1:18" ht="43.5" customHeight="1" x14ac:dyDescent="0.2">
      <c r="A10" s="887" t="s">
        <v>95</v>
      </c>
      <c r="B10" s="890" t="s">
        <v>96</v>
      </c>
      <c r="C10" s="890" t="s">
        <v>97</v>
      </c>
      <c r="D10" s="891" t="s">
        <v>104</v>
      </c>
      <c r="E10" s="890" t="s">
        <v>98</v>
      </c>
      <c r="F10" s="291"/>
      <c r="G10" s="891" t="s">
        <v>615</v>
      </c>
      <c r="H10" s="894" t="s">
        <v>99</v>
      </c>
      <c r="I10" s="895"/>
      <c r="J10" s="895"/>
      <c r="K10" s="896"/>
      <c r="L10" s="891" t="s">
        <v>476</v>
      </c>
      <c r="M10" s="897" t="s">
        <v>1081</v>
      </c>
      <c r="N10" s="897" t="s">
        <v>1082</v>
      </c>
      <c r="O10" s="900" t="s">
        <v>343</v>
      </c>
    </row>
    <row r="11" spans="1:18" ht="51" customHeight="1" x14ac:dyDescent="0.2">
      <c r="A11" s="888"/>
      <c r="B11" s="884"/>
      <c r="C11" s="884"/>
      <c r="D11" s="892"/>
      <c r="E11" s="884"/>
      <c r="F11" s="168" t="s">
        <v>326</v>
      </c>
      <c r="G11" s="892"/>
      <c r="H11" s="882" t="s">
        <v>101</v>
      </c>
      <c r="I11" s="883"/>
      <c r="J11" s="884" t="s">
        <v>100</v>
      </c>
      <c r="K11" s="884" t="s">
        <v>327</v>
      </c>
      <c r="L11" s="892"/>
      <c r="M11" s="898"/>
      <c r="N11" s="898"/>
      <c r="O11" s="901"/>
    </row>
    <row r="12" spans="1:18" ht="41.25" customHeight="1" thickBot="1" x14ac:dyDescent="0.25">
      <c r="A12" s="889"/>
      <c r="B12" s="885"/>
      <c r="C12" s="885"/>
      <c r="D12" s="893"/>
      <c r="E12" s="885"/>
      <c r="F12" s="292"/>
      <c r="G12" s="893"/>
      <c r="H12" s="293" t="s">
        <v>102</v>
      </c>
      <c r="I12" s="293" t="s">
        <v>103</v>
      </c>
      <c r="J12" s="885"/>
      <c r="K12" s="885"/>
      <c r="L12" s="893"/>
      <c r="M12" s="899"/>
      <c r="N12" s="899"/>
      <c r="O12" s="902"/>
    </row>
    <row r="13" spans="1:18" ht="25.5" x14ac:dyDescent="0.2">
      <c r="A13" s="288" t="s">
        <v>421</v>
      </c>
      <c r="B13" s="294" t="s">
        <v>422</v>
      </c>
      <c r="C13" s="76">
        <v>950695</v>
      </c>
      <c r="D13" s="137" t="s">
        <v>423</v>
      </c>
      <c r="E13" s="76">
        <v>950695</v>
      </c>
      <c r="F13" s="76">
        <v>0</v>
      </c>
      <c r="G13" s="76">
        <v>935695</v>
      </c>
      <c r="H13" s="76">
        <v>935695</v>
      </c>
      <c r="I13" s="12">
        <v>0</v>
      </c>
      <c r="J13" s="76">
        <v>0</v>
      </c>
      <c r="K13" s="76">
        <v>935695</v>
      </c>
      <c r="L13" s="76">
        <v>0</v>
      </c>
      <c r="M13" s="76">
        <v>106845</v>
      </c>
      <c r="N13" s="76">
        <v>106845</v>
      </c>
      <c r="O13" s="482">
        <v>0</v>
      </c>
    </row>
    <row r="14" spans="1:18" ht="38.25" x14ac:dyDescent="0.2">
      <c r="A14" s="19" t="s">
        <v>669</v>
      </c>
      <c r="B14" s="294" t="s">
        <v>722</v>
      </c>
      <c r="C14" s="76">
        <v>238522</v>
      </c>
      <c r="D14" s="137" t="s">
        <v>423</v>
      </c>
      <c r="E14" s="76">
        <v>238522</v>
      </c>
      <c r="F14" s="76">
        <v>8885</v>
      </c>
      <c r="G14" s="76">
        <v>227589</v>
      </c>
      <c r="H14" s="76">
        <v>227589</v>
      </c>
      <c r="I14" s="12">
        <v>0</v>
      </c>
      <c r="J14" s="76">
        <v>0</v>
      </c>
      <c r="K14" s="76">
        <v>227589</v>
      </c>
      <c r="L14" s="76">
        <v>0</v>
      </c>
      <c r="M14" s="76">
        <f>'3.felh'!D76+'8.Önk.'!X124+'8.Önk.'!X125+'8.Önk.'!X126</f>
        <v>93913</v>
      </c>
      <c r="N14" s="30">
        <v>8885</v>
      </c>
      <c r="O14" s="483" t="s">
        <v>62</v>
      </c>
      <c r="Q14" s="73"/>
      <c r="R14" s="73"/>
    </row>
    <row r="15" spans="1:18" ht="36.75" thickBot="1" x14ac:dyDescent="0.25">
      <c r="A15" s="19" t="s">
        <v>720</v>
      </c>
      <c r="B15" s="294" t="s">
        <v>721</v>
      </c>
      <c r="C15" s="76">
        <v>708662</v>
      </c>
      <c r="D15" s="137" t="s">
        <v>423</v>
      </c>
      <c r="E15" s="76">
        <v>708662</v>
      </c>
      <c r="F15" s="76">
        <f>I15+J15</f>
        <v>222827</v>
      </c>
      <c r="G15" s="76">
        <v>708662</v>
      </c>
      <c r="H15" s="76">
        <v>708662</v>
      </c>
      <c r="I15" s="76">
        <f>186525+33867</f>
        <v>220392</v>
      </c>
      <c r="J15" s="76">
        <v>2435</v>
      </c>
      <c r="K15" s="76">
        <f>SUM(H15:J15)</f>
        <v>931489</v>
      </c>
      <c r="L15" s="76">
        <v>0</v>
      </c>
      <c r="M15" s="76">
        <f>'3.felh'!D51+'8.Önk.'!D27+344+'8.Önk.'!X128+'8.Önk.'!X129+'8.Önk.'!X130+'8.Önk.'!X131+'8.Önk.'!X132+'8.Önk.'!BG126</f>
        <v>748528</v>
      </c>
      <c r="N15" s="76">
        <f>'8.Önk.'!BG126+'8.Önk.'!Q128+'8.Önk.'!Q129+'8.Önk.'!Q130+'8.Önk.'!Q131+'8.Önk.'!Q132</f>
        <v>158437</v>
      </c>
      <c r="O15" s="486">
        <v>0.23</v>
      </c>
    </row>
    <row r="16" spans="1:18" ht="19.5" customHeight="1" thickBot="1" x14ac:dyDescent="0.25">
      <c r="A16" s="134" t="s">
        <v>66</v>
      </c>
      <c r="B16" s="135"/>
      <c r="C16" s="136">
        <f>SUM(C13:C15)</f>
        <v>1897879</v>
      </c>
      <c r="D16" s="135"/>
      <c r="E16" s="136">
        <f>SUM(E13:E15)</f>
        <v>1897879</v>
      </c>
      <c r="F16" s="136">
        <f>SUM(F13:F15)</f>
        <v>231712</v>
      </c>
      <c r="G16" s="173">
        <f>SUM(E16:F16)</f>
        <v>2129591</v>
      </c>
      <c r="H16" s="136">
        <f>SUM(H13:H15)</f>
        <v>1871946</v>
      </c>
      <c r="I16" s="136">
        <f>SUM(I13:I15)</f>
        <v>220392</v>
      </c>
      <c r="J16" s="136">
        <f>SUM(J13:J15)</f>
        <v>2435</v>
      </c>
      <c r="K16" s="136">
        <f>SUM(K13:K15)</f>
        <v>2094773</v>
      </c>
      <c r="L16" s="136"/>
      <c r="M16" s="173">
        <f>SUM(M13:M15)</f>
        <v>949286</v>
      </c>
      <c r="N16" s="173">
        <f>SUM(N13:N15)</f>
        <v>274167</v>
      </c>
      <c r="O16" s="484"/>
    </row>
    <row r="17" spans="2:15" ht="12.95" customHeight="1" x14ac:dyDescent="0.2">
      <c r="B17" s="73"/>
      <c r="C17" s="73"/>
      <c r="D17" s="73"/>
      <c r="E17" s="73"/>
      <c r="F17" s="73"/>
      <c r="G17" s="73"/>
      <c r="H17" s="73"/>
      <c r="I17" s="73"/>
      <c r="J17" s="90"/>
      <c r="K17" s="90"/>
      <c r="L17" s="90"/>
      <c r="M17" s="90"/>
      <c r="N17" s="90"/>
      <c r="O17" s="90"/>
    </row>
    <row r="18" spans="2:15" ht="12.95" hidden="1" customHeight="1" x14ac:dyDescent="0.2">
      <c r="B18" s="73"/>
      <c r="C18" s="73"/>
      <c r="D18" s="73"/>
      <c r="E18" s="73"/>
      <c r="F18" s="73"/>
      <c r="G18" s="73"/>
      <c r="H18" s="73"/>
      <c r="I18" s="73"/>
      <c r="J18" s="90"/>
      <c r="K18" s="90"/>
      <c r="L18" s="90"/>
      <c r="M18" s="90"/>
      <c r="N18" s="90"/>
      <c r="O18" s="90"/>
    </row>
    <row r="19" spans="2:15" ht="12.95" hidden="1" customHeight="1" x14ac:dyDescent="0.2">
      <c r="B19" s="73"/>
      <c r="C19" s="73"/>
      <c r="D19" s="73"/>
      <c r="E19" s="73"/>
      <c r="F19" s="73"/>
      <c r="G19" s="73"/>
      <c r="H19" s="73"/>
      <c r="I19" s="73"/>
      <c r="J19" s="90"/>
      <c r="K19" s="90">
        <v>929053</v>
      </c>
      <c r="L19" s="90"/>
      <c r="M19" s="90"/>
      <c r="N19" s="90"/>
      <c r="O19" s="90"/>
    </row>
    <row r="20" spans="2:15" ht="12.95" hidden="1" customHeight="1" x14ac:dyDescent="0.2">
      <c r="B20" s="73"/>
      <c r="C20" s="73"/>
      <c r="D20" s="73"/>
      <c r="E20" s="73"/>
      <c r="F20" s="73"/>
      <c r="G20" s="73"/>
      <c r="H20" s="73"/>
      <c r="I20" s="73"/>
      <c r="J20" s="90"/>
      <c r="K20" s="90">
        <f>K15-K19</f>
        <v>2436</v>
      </c>
      <c r="L20" s="90"/>
      <c r="M20" s="90"/>
      <c r="N20" s="90"/>
      <c r="O20" s="90"/>
    </row>
    <row r="21" spans="2:15" ht="12.95" hidden="1" customHeight="1" x14ac:dyDescent="0.2">
      <c r="B21" s="73"/>
      <c r="C21" s="73"/>
      <c r="D21" s="73"/>
      <c r="E21" s="73"/>
      <c r="F21" s="73"/>
      <c r="G21" s="73"/>
      <c r="H21" s="73"/>
      <c r="I21" s="73"/>
      <c r="J21" s="90"/>
      <c r="K21" s="90">
        <f>K20+12573</f>
        <v>15009</v>
      </c>
      <c r="L21" s="90"/>
      <c r="M21" s="90"/>
      <c r="N21" s="90"/>
      <c r="O21" s="90"/>
    </row>
    <row r="22" spans="2:15" ht="12.95" hidden="1" customHeight="1" x14ac:dyDescent="0.2">
      <c r="B22" s="73"/>
      <c r="C22" s="73"/>
      <c r="D22" s="73"/>
      <c r="E22" s="73"/>
      <c r="F22" s="73"/>
      <c r="G22" s="73"/>
      <c r="H22" s="73"/>
      <c r="I22" s="73"/>
      <c r="J22" s="90"/>
      <c r="K22" s="90">
        <f>K21+3564</f>
        <v>18573</v>
      </c>
      <c r="L22" s="90"/>
      <c r="M22" s="90"/>
      <c r="N22" s="90"/>
      <c r="O22" s="90"/>
    </row>
    <row r="23" spans="2:15" ht="12.95" hidden="1" customHeight="1" x14ac:dyDescent="0.2">
      <c r="B23" s="73"/>
      <c r="C23" s="73"/>
      <c r="D23" s="73"/>
      <c r="E23" s="73"/>
      <c r="F23" s="73"/>
      <c r="G23" s="73"/>
      <c r="H23" s="73"/>
      <c r="I23" s="73"/>
      <c r="J23" s="90"/>
      <c r="K23" s="90">
        <f>K22+6985</f>
        <v>25558</v>
      </c>
      <c r="L23" s="90"/>
      <c r="M23" s="90"/>
      <c r="N23" s="90"/>
      <c r="O23" s="90"/>
    </row>
    <row r="24" spans="2:15" ht="12.95" customHeight="1" x14ac:dyDescent="0.2">
      <c r="B24" s="73"/>
      <c r="C24" s="73"/>
      <c r="D24" s="73"/>
      <c r="E24" s="73"/>
      <c r="F24" s="73"/>
      <c r="G24" s="73"/>
      <c r="H24" s="73"/>
      <c r="I24" s="73"/>
      <c r="J24" s="90"/>
      <c r="K24" s="90"/>
      <c r="L24" s="90"/>
      <c r="M24" s="90"/>
      <c r="N24" s="90"/>
      <c r="O24" s="90"/>
    </row>
    <row r="25" spans="2:15" ht="12.95" customHeight="1" x14ac:dyDescent="0.2">
      <c r="B25" s="73"/>
      <c r="C25" s="73"/>
      <c r="D25" s="73"/>
      <c r="E25" s="73"/>
      <c r="F25" s="73"/>
      <c r="G25" s="73"/>
      <c r="H25" s="73"/>
      <c r="I25" s="73"/>
      <c r="J25" s="90"/>
      <c r="K25" s="90"/>
      <c r="L25" s="90"/>
      <c r="M25" s="90"/>
      <c r="N25" s="90"/>
      <c r="O25" s="90"/>
    </row>
    <row r="26" spans="2:15" ht="12.95" customHeight="1" x14ac:dyDescent="0.2">
      <c r="B26" s="73"/>
      <c r="C26" s="73"/>
      <c r="D26" s="73"/>
      <c r="E26" s="73"/>
      <c r="F26" s="73"/>
      <c r="G26" s="73"/>
      <c r="H26" s="73"/>
      <c r="I26" s="73"/>
      <c r="J26" s="90"/>
      <c r="K26" s="90"/>
      <c r="L26" s="90"/>
      <c r="M26" s="90"/>
      <c r="N26" s="90"/>
      <c r="O26" s="90"/>
    </row>
    <row r="27" spans="2:15" ht="12.95" customHeight="1" x14ac:dyDescent="0.2">
      <c r="B27" s="73"/>
      <c r="C27" s="73"/>
      <c r="D27" s="73"/>
      <c r="E27" s="73"/>
      <c r="F27" s="73"/>
      <c r="G27" s="73"/>
      <c r="H27" s="73"/>
      <c r="I27" s="73"/>
      <c r="J27" s="90"/>
      <c r="K27" s="90"/>
      <c r="L27" s="90"/>
      <c r="M27" s="90"/>
      <c r="N27" s="90"/>
      <c r="O27" s="90"/>
    </row>
    <row r="28" spans="2:15" ht="12.95" customHeight="1" x14ac:dyDescent="0.2">
      <c r="B28" s="73"/>
      <c r="C28" s="73"/>
      <c r="D28" s="73"/>
      <c r="E28" s="73"/>
      <c r="F28" s="73"/>
      <c r="G28" s="73"/>
      <c r="H28" s="73"/>
      <c r="I28" s="73"/>
      <c r="J28" s="90"/>
      <c r="K28" s="90"/>
      <c r="L28" s="90"/>
      <c r="M28" s="90"/>
      <c r="N28" s="90"/>
      <c r="O28" s="90"/>
    </row>
    <row r="29" spans="2:15" ht="12.95" customHeight="1" x14ac:dyDescent="0.2">
      <c r="B29" s="73"/>
      <c r="C29" s="73"/>
      <c r="D29" s="73"/>
      <c r="E29" s="73"/>
      <c r="F29" s="73"/>
      <c r="G29" s="73"/>
      <c r="H29" s="73"/>
      <c r="I29" s="73"/>
      <c r="J29" s="90"/>
      <c r="K29" s="90"/>
      <c r="L29" s="90"/>
      <c r="M29" s="90"/>
      <c r="N29" s="90"/>
      <c r="O29" s="90"/>
    </row>
    <row r="30" spans="2:15" ht="12.95" customHeight="1" x14ac:dyDescent="0.2">
      <c r="B30" s="73"/>
      <c r="C30" s="73"/>
      <c r="D30" s="73"/>
      <c r="E30" s="73"/>
      <c r="F30" s="73"/>
      <c r="G30" s="73"/>
      <c r="H30" s="73"/>
      <c r="I30" s="73"/>
      <c r="J30" s="90"/>
      <c r="K30" s="90"/>
      <c r="L30" s="90"/>
      <c r="M30" s="90"/>
      <c r="N30" s="90"/>
      <c r="O30" s="90"/>
    </row>
    <row r="31" spans="2:15" ht="12.95" customHeight="1" x14ac:dyDescent="0.2">
      <c r="B31" s="73"/>
      <c r="C31" s="73"/>
      <c r="D31" s="73"/>
      <c r="E31" s="73"/>
      <c r="F31" s="73"/>
      <c r="G31" s="73"/>
      <c r="H31" s="73"/>
      <c r="I31" s="73"/>
      <c r="J31" s="90"/>
      <c r="K31" s="90"/>
      <c r="L31" s="90"/>
      <c r="M31" s="90"/>
      <c r="N31" s="90"/>
      <c r="O31" s="90"/>
    </row>
    <row r="32" spans="2:15" ht="12.95" customHeight="1" x14ac:dyDescent="0.2">
      <c r="B32" s="73"/>
      <c r="C32" s="73"/>
      <c r="D32" s="73"/>
      <c r="E32" s="73"/>
      <c r="F32" s="73"/>
      <c r="G32" s="73"/>
      <c r="H32" s="73"/>
      <c r="I32" s="73"/>
      <c r="J32" s="90"/>
      <c r="K32" s="90"/>
      <c r="L32" s="90"/>
      <c r="M32" s="90"/>
      <c r="N32" s="90"/>
      <c r="O32" s="90"/>
    </row>
    <row r="33" spans="2:15" ht="12.95" customHeight="1" x14ac:dyDescent="0.2">
      <c r="B33" s="73"/>
      <c r="C33" s="73"/>
      <c r="D33" s="73"/>
      <c r="E33" s="73"/>
      <c r="F33" s="73"/>
      <c r="G33" s="73"/>
      <c r="H33" s="73"/>
      <c r="I33" s="73"/>
      <c r="J33" s="90"/>
      <c r="K33" s="90"/>
      <c r="L33" s="90"/>
      <c r="M33" s="90"/>
      <c r="N33" s="90"/>
      <c r="O33" s="90"/>
    </row>
    <row r="34" spans="2:15" ht="12.95" customHeight="1" x14ac:dyDescent="0.2">
      <c r="B34" s="73"/>
      <c r="C34" s="73"/>
      <c r="D34" s="73"/>
      <c r="E34" s="73"/>
      <c r="F34" s="73"/>
      <c r="G34" s="73"/>
      <c r="H34" s="73"/>
      <c r="I34" s="73"/>
      <c r="J34" s="90"/>
      <c r="K34" s="90"/>
      <c r="L34" s="90"/>
      <c r="M34" s="90"/>
      <c r="N34" s="90"/>
      <c r="O34" s="90"/>
    </row>
    <row r="35" spans="2:15" ht="12.95" customHeight="1" x14ac:dyDescent="0.2">
      <c r="B35" s="73"/>
      <c r="C35" s="73"/>
      <c r="D35" s="73"/>
      <c r="E35" s="73"/>
      <c r="F35" s="73"/>
      <c r="G35" s="73"/>
      <c r="H35" s="73"/>
      <c r="I35" s="73"/>
      <c r="J35" s="90"/>
      <c r="K35" s="90"/>
      <c r="L35" s="90"/>
      <c r="M35" s="90"/>
      <c r="N35" s="90"/>
      <c r="O35" s="90"/>
    </row>
    <row r="36" spans="2:15" ht="12.95" customHeight="1" x14ac:dyDescent="0.2">
      <c r="B36" s="73"/>
      <c r="C36" s="73"/>
      <c r="D36" s="73"/>
      <c r="E36" s="73"/>
      <c r="F36" s="73"/>
      <c r="G36" s="73"/>
      <c r="H36" s="73"/>
      <c r="I36" s="73"/>
      <c r="J36" s="90"/>
      <c r="K36" s="90"/>
      <c r="L36" s="90"/>
      <c r="M36" s="90"/>
      <c r="N36" s="90"/>
      <c r="O36" s="90"/>
    </row>
    <row r="37" spans="2:15" ht="12.95" customHeight="1" x14ac:dyDescent="0.2">
      <c r="B37" s="73"/>
      <c r="C37" s="73"/>
      <c r="D37" s="73"/>
      <c r="E37" s="73"/>
      <c r="F37" s="73"/>
      <c r="G37" s="73"/>
      <c r="H37" s="73"/>
      <c r="I37" s="73"/>
      <c r="J37" s="90"/>
      <c r="K37" s="90"/>
      <c r="L37" s="90"/>
      <c r="M37" s="90"/>
      <c r="N37" s="90"/>
      <c r="O37" s="90"/>
    </row>
    <row r="38" spans="2:15" ht="12.95" customHeight="1" x14ac:dyDescent="0.2">
      <c r="B38" s="73"/>
      <c r="C38" s="73"/>
      <c r="D38" s="73"/>
      <c r="E38" s="73"/>
      <c r="F38" s="73"/>
      <c r="G38" s="73"/>
      <c r="H38" s="73"/>
      <c r="I38" s="73"/>
      <c r="J38" s="90"/>
      <c r="K38" s="90"/>
      <c r="L38" s="90"/>
      <c r="M38" s="90"/>
      <c r="N38" s="90"/>
      <c r="O38" s="90"/>
    </row>
    <row r="39" spans="2:15" ht="12.95" customHeight="1" x14ac:dyDescent="0.2">
      <c r="B39" s="73"/>
      <c r="C39" s="73"/>
      <c r="D39" s="73"/>
      <c r="E39" s="73"/>
      <c r="F39" s="73"/>
      <c r="G39" s="73"/>
      <c r="H39" s="73"/>
      <c r="I39" s="73"/>
      <c r="J39" s="90"/>
      <c r="K39" s="90"/>
      <c r="L39" s="90"/>
      <c r="M39" s="90"/>
      <c r="N39" s="90"/>
      <c r="O39" s="90"/>
    </row>
    <row r="40" spans="2:15" ht="12.95" customHeight="1" x14ac:dyDescent="0.2">
      <c r="B40" s="73"/>
      <c r="C40" s="73"/>
      <c r="D40" s="73"/>
      <c r="E40" s="73"/>
      <c r="F40" s="73"/>
      <c r="G40" s="73"/>
      <c r="H40" s="73"/>
      <c r="I40" s="73"/>
      <c r="J40" s="90"/>
      <c r="K40" s="90"/>
      <c r="L40" s="90"/>
      <c r="M40" s="90"/>
      <c r="N40" s="90"/>
      <c r="O40" s="90"/>
    </row>
    <row r="41" spans="2:15" ht="12.95" customHeight="1" x14ac:dyDescent="0.2">
      <c r="B41" s="73"/>
      <c r="C41" s="73"/>
      <c r="D41" s="73"/>
      <c r="E41" s="73"/>
      <c r="F41" s="73"/>
      <c r="G41" s="73"/>
      <c r="H41" s="73"/>
      <c r="I41" s="73"/>
      <c r="J41" s="90"/>
      <c r="K41" s="90"/>
      <c r="L41" s="90"/>
      <c r="M41" s="90"/>
      <c r="N41" s="90"/>
      <c r="O41" s="90"/>
    </row>
    <row r="42" spans="2:15" ht="12.95" customHeight="1" x14ac:dyDescent="0.2">
      <c r="B42" s="73"/>
      <c r="C42" s="73"/>
      <c r="D42" s="73"/>
      <c r="E42" s="73"/>
      <c r="F42" s="73"/>
      <c r="G42" s="73"/>
      <c r="H42" s="73"/>
      <c r="I42" s="73"/>
      <c r="J42" s="90"/>
      <c r="K42" s="90"/>
      <c r="L42" s="90"/>
      <c r="M42" s="90"/>
      <c r="N42" s="90"/>
      <c r="O42" s="90"/>
    </row>
    <row r="43" spans="2:15" ht="12.95" customHeight="1" x14ac:dyDescent="0.2">
      <c r="B43" s="73"/>
      <c r="C43" s="73"/>
      <c r="D43" s="73"/>
      <c r="E43" s="73"/>
      <c r="F43" s="73"/>
      <c r="G43" s="73"/>
      <c r="H43" s="73"/>
      <c r="I43" s="73"/>
      <c r="J43" s="90"/>
      <c r="K43" s="90"/>
      <c r="L43" s="90"/>
      <c r="M43" s="90"/>
      <c r="N43" s="90"/>
      <c r="O43" s="90"/>
    </row>
    <row r="44" spans="2:15" ht="12.95" customHeight="1" x14ac:dyDescent="0.2">
      <c r="B44" s="73"/>
      <c r="C44" s="73"/>
      <c r="D44" s="73"/>
      <c r="E44" s="73"/>
      <c r="F44" s="73"/>
      <c r="G44" s="73"/>
      <c r="H44" s="73"/>
      <c r="I44" s="73"/>
      <c r="J44" s="90"/>
      <c r="K44" s="90"/>
      <c r="L44" s="90"/>
      <c r="M44" s="90"/>
      <c r="N44" s="90"/>
      <c r="O44" s="90"/>
    </row>
    <row r="45" spans="2:15" ht="12.95" customHeight="1" x14ac:dyDescent="0.2">
      <c r="B45" s="73"/>
      <c r="C45" s="73"/>
      <c r="D45" s="73"/>
      <c r="E45" s="73"/>
      <c r="F45" s="73"/>
      <c r="G45" s="73"/>
      <c r="H45" s="73"/>
      <c r="I45" s="73"/>
      <c r="J45" s="90"/>
      <c r="K45" s="90"/>
      <c r="L45" s="90"/>
      <c r="M45" s="90"/>
      <c r="N45" s="90"/>
      <c r="O45" s="90"/>
    </row>
    <row r="46" spans="2:15" ht="12.95" customHeight="1" x14ac:dyDescent="0.2">
      <c r="B46" s="73"/>
      <c r="C46" s="73"/>
      <c r="D46" s="73"/>
      <c r="E46" s="73"/>
      <c r="F46" s="73"/>
      <c r="G46" s="73"/>
      <c r="H46" s="73"/>
      <c r="I46" s="73"/>
      <c r="J46" s="90"/>
      <c r="K46" s="90"/>
      <c r="L46" s="90"/>
      <c r="M46" s="90"/>
      <c r="N46" s="90"/>
      <c r="O46" s="90"/>
    </row>
    <row r="47" spans="2:15" x14ac:dyDescent="0.2">
      <c r="B47" s="73"/>
      <c r="C47" s="73"/>
      <c r="D47" s="73"/>
      <c r="E47" s="73"/>
      <c r="F47" s="73"/>
      <c r="G47" s="73"/>
      <c r="H47" s="73"/>
      <c r="I47" s="73"/>
      <c r="J47" s="90"/>
      <c r="K47" s="90"/>
      <c r="L47" s="90"/>
      <c r="M47" s="90"/>
      <c r="N47" s="90"/>
      <c r="O47" s="90"/>
    </row>
    <row r="48" spans="2:15" x14ac:dyDescent="0.2">
      <c r="B48" s="73"/>
      <c r="C48" s="73"/>
      <c r="D48" s="73"/>
      <c r="E48" s="73"/>
      <c r="F48" s="73"/>
      <c r="G48" s="73"/>
      <c r="H48" s="73"/>
      <c r="I48" s="73"/>
      <c r="J48" s="90"/>
      <c r="K48" s="90"/>
      <c r="L48" s="90"/>
      <c r="M48" s="90"/>
      <c r="N48" s="90"/>
      <c r="O48" s="90"/>
    </row>
    <row r="49" spans="2:15" x14ac:dyDescent="0.2">
      <c r="B49" s="73"/>
      <c r="C49" s="73"/>
      <c r="D49" s="73"/>
      <c r="E49" s="73"/>
      <c r="F49" s="73"/>
      <c r="G49" s="73"/>
      <c r="H49" s="73"/>
      <c r="I49" s="73"/>
      <c r="J49" s="90"/>
      <c r="K49" s="90"/>
      <c r="L49" s="90"/>
      <c r="M49" s="90"/>
      <c r="N49" s="90"/>
      <c r="O49" s="90"/>
    </row>
    <row r="50" spans="2:15" x14ac:dyDescent="0.2">
      <c r="B50" s="73"/>
      <c r="C50" s="73"/>
      <c r="D50" s="73"/>
      <c r="E50" s="73"/>
      <c r="F50" s="73"/>
      <c r="G50" s="73"/>
      <c r="H50" s="73"/>
      <c r="I50" s="73"/>
      <c r="J50" s="90"/>
      <c r="K50" s="90"/>
      <c r="L50" s="90"/>
      <c r="M50" s="90"/>
      <c r="N50" s="90"/>
      <c r="O50" s="90"/>
    </row>
    <row r="51" spans="2:15" x14ac:dyDescent="0.2">
      <c r="B51" s="73"/>
      <c r="C51" s="73"/>
      <c r="D51" s="73"/>
      <c r="E51" s="73"/>
      <c r="F51" s="73"/>
      <c r="G51" s="73"/>
      <c r="H51" s="73"/>
      <c r="I51" s="73"/>
      <c r="J51" s="90"/>
      <c r="K51" s="90"/>
      <c r="L51" s="90"/>
      <c r="M51" s="90"/>
      <c r="N51" s="90"/>
      <c r="O51" s="90"/>
    </row>
    <row r="52" spans="2:15" x14ac:dyDescent="0.2">
      <c r="B52" s="73"/>
      <c r="C52" s="73"/>
      <c r="D52" s="73"/>
      <c r="E52" s="73"/>
      <c r="F52" s="73"/>
      <c r="G52" s="73"/>
      <c r="H52" s="73"/>
      <c r="I52" s="73"/>
      <c r="J52" s="90"/>
      <c r="K52" s="90"/>
      <c r="L52" s="90"/>
      <c r="M52" s="90"/>
      <c r="N52" s="90"/>
      <c r="O52" s="90"/>
    </row>
    <row r="53" spans="2:15" x14ac:dyDescent="0.2">
      <c r="B53" s="73"/>
      <c r="C53" s="73"/>
      <c r="D53" s="73"/>
      <c r="E53" s="73"/>
      <c r="F53" s="73"/>
      <c r="G53" s="73"/>
      <c r="H53" s="73"/>
      <c r="I53" s="73"/>
      <c r="J53" s="90"/>
      <c r="K53" s="90"/>
      <c r="L53" s="90"/>
      <c r="M53" s="90"/>
      <c r="N53" s="90"/>
      <c r="O53" s="90"/>
    </row>
    <row r="54" spans="2:15" x14ac:dyDescent="0.2">
      <c r="B54" s="73"/>
      <c r="C54" s="73"/>
      <c r="D54" s="73"/>
      <c r="E54" s="73"/>
      <c r="F54" s="73"/>
      <c r="G54" s="73"/>
      <c r="H54" s="73"/>
      <c r="I54" s="73"/>
      <c r="J54" s="90"/>
      <c r="K54" s="90"/>
      <c r="L54" s="90"/>
      <c r="M54" s="90"/>
      <c r="N54" s="90"/>
      <c r="O54" s="90"/>
    </row>
    <row r="55" spans="2:15" x14ac:dyDescent="0.2">
      <c r="B55" s="73"/>
      <c r="C55" s="73"/>
      <c r="D55" s="73"/>
      <c r="E55" s="73"/>
      <c r="F55" s="73"/>
      <c r="G55" s="73"/>
      <c r="H55" s="73"/>
      <c r="I55" s="73"/>
      <c r="J55" s="90"/>
      <c r="K55" s="90"/>
      <c r="L55" s="90"/>
      <c r="M55" s="90"/>
      <c r="N55" s="90"/>
      <c r="O55" s="90"/>
    </row>
    <row r="56" spans="2:15" x14ac:dyDescent="0.2">
      <c r="B56" s="73"/>
      <c r="C56" s="73"/>
      <c r="D56" s="73"/>
      <c r="E56" s="73"/>
      <c r="F56" s="73"/>
      <c r="G56" s="73"/>
      <c r="H56" s="73"/>
      <c r="I56" s="73"/>
      <c r="J56" s="90"/>
      <c r="K56" s="90"/>
      <c r="L56" s="90"/>
      <c r="M56" s="90"/>
      <c r="N56" s="90"/>
      <c r="O56" s="90"/>
    </row>
    <row r="57" spans="2:15" x14ac:dyDescent="0.2">
      <c r="B57" s="73"/>
      <c r="C57" s="73"/>
      <c r="D57" s="73"/>
      <c r="E57" s="73"/>
      <c r="F57" s="73"/>
      <c r="G57" s="73"/>
      <c r="H57" s="73"/>
      <c r="I57" s="73"/>
      <c r="J57" s="90"/>
      <c r="K57" s="90"/>
      <c r="L57" s="90"/>
      <c r="M57" s="90"/>
      <c r="N57" s="90"/>
      <c r="O57" s="90"/>
    </row>
    <row r="58" spans="2:15" x14ac:dyDescent="0.2">
      <c r="B58" s="73"/>
      <c r="C58" s="73"/>
      <c r="D58" s="73"/>
      <c r="E58" s="73"/>
      <c r="F58" s="73"/>
      <c r="G58" s="73"/>
      <c r="H58" s="73"/>
      <c r="I58" s="73"/>
      <c r="J58" s="90"/>
      <c r="K58" s="90"/>
      <c r="L58" s="90"/>
      <c r="M58" s="90"/>
      <c r="N58" s="90"/>
      <c r="O58" s="90"/>
    </row>
    <row r="59" spans="2:15" x14ac:dyDescent="0.2">
      <c r="B59" s="73"/>
      <c r="C59" s="73"/>
      <c r="D59" s="73"/>
      <c r="E59" s="73"/>
      <c r="F59" s="73"/>
      <c r="G59" s="73"/>
      <c r="H59" s="73"/>
      <c r="I59" s="73"/>
      <c r="J59" s="90"/>
      <c r="K59" s="90"/>
      <c r="L59" s="90"/>
      <c r="M59" s="90"/>
      <c r="N59" s="90"/>
      <c r="O59" s="90"/>
    </row>
    <row r="60" spans="2:15" x14ac:dyDescent="0.2">
      <c r="B60" s="73"/>
      <c r="C60" s="73"/>
      <c r="D60" s="73"/>
      <c r="E60" s="73"/>
      <c r="F60" s="73"/>
      <c r="G60" s="73"/>
      <c r="H60" s="73"/>
      <c r="I60" s="73"/>
      <c r="J60" s="90"/>
      <c r="K60" s="90"/>
      <c r="L60" s="90"/>
      <c r="M60" s="90"/>
      <c r="N60" s="90"/>
      <c r="O60" s="90"/>
    </row>
    <row r="61" spans="2:15" x14ac:dyDescent="0.2">
      <c r="B61" s="73"/>
      <c r="C61" s="73"/>
      <c r="D61" s="73"/>
      <c r="E61" s="73"/>
      <c r="F61" s="73"/>
      <c r="G61" s="73"/>
      <c r="H61" s="73"/>
      <c r="I61" s="73"/>
      <c r="J61" s="90"/>
      <c r="K61" s="90"/>
      <c r="L61" s="90"/>
      <c r="M61" s="90"/>
      <c r="N61" s="90"/>
      <c r="O61" s="90"/>
    </row>
    <row r="62" spans="2:15" x14ac:dyDescent="0.2">
      <c r="B62" s="73"/>
      <c r="C62" s="73"/>
      <c r="D62" s="73"/>
      <c r="E62" s="73"/>
      <c r="F62" s="73"/>
      <c r="G62" s="73"/>
      <c r="H62" s="73"/>
      <c r="I62" s="73"/>
      <c r="J62" s="90"/>
      <c r="K62" s="90"/>
      <c r="L62" s="90"/>
      <c r="M62" s="90"/>
      <c r="N62" s="90"/>
      <c r="O62" s="90"/>
    </row>
    <row r="63" spans="2:15" x14ac:dyDescent="0.2">
      <c r="B63" s="73"/>
      <c r="C63" s="73"/>
      <c r="D63" s="73"/>
      <c r="E63" s="73"/>
      <c r="F63" s="73"/>
      <c r="G63" s="73"/>
      <c r="H63" s="73"/>
      <c r="I63" s="73"/>
      <c r="J63" s="90"/>
      <c r="K63" s="90"/>
      <c r="L63" s="90"/>
      <c r="M63" s="90"/>
      <c r="N63" s="90"/>
      <c r="O63" s="90"/>
    </row>
    <row r="64" spans="2:15" x14ac:dyDescent="0.2">
      <c r="B64" s="73"/>
      <c r="C64" s="73"/>
      <c r="D64" s="73"/>
      <c r="E64" s="73"/>
      <c r="F64" s="73"/>
      <c r="G64" s="73"/>
      <c r="H64" s="73"/>
      <c r="I64" s="73"/>
      <c r="J64" s="90"/>
      <c r="K64" s="90"/>
      <c r="L64" s="90"/>
      <c r="M64" s="90"/>
      <c r="N64" s="90"/>
      <c r="O64" s="90"/>
    </row>
    <row r="65" spans="9:9" x14ac:dyDescent="0.2">
      <c r="I65" s="73"/>
    </row>
  </sheetData>
  <mergeCells count="17">
    <mergeCell ref="O10:O12"/>
    <mergeCell ref="H11:I11"/>
    <mergeCell ref="J11:J12"/>
    <mergeCell ref="K11:K12"/>
    <mergeCell ref="A4:O4"/>
    <mergeCell ref="A6:O6"/>
    <mergeCell ref="A5:O5"/>
    <mergeCell ref="A10:A12"/>
    <mergeCell ref="B10:B12"/>
    <mergeCell ref="C10:C12"/>
    <mergeCell ref="D10:D12"/>
    <mergeCell ref="E10:E12"/>
    <mergeCell ref="G10:G12"/>
    <mergeCell ref="H10:K10"/>
    <mergeCell ref="L10:L12"/>
    <mergeCell ref="M10:M12"/>
    <mergeCell ref="N10:N12"/>
  </mergeCells>
  <pageMargins left="0.41" right="0.17" top="0.31" bottom="1" header="0.19" footer="0.5"/>
  <pageSetup paperSize="9" scale="8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7"/>
  <sheetViews>
    <sheetView zoomScale="90" zoomScaleNormal="90" workbookViewId="0">
      <selection activeCell="J3" sqref="J3"/>
    </sheetView>
  </sheetViews>
  <sheetFormatPr defaultRowHeight="15" x14ac:dyDescent="0.25"/>
  <cols>
    <col min="1" max="1" width="6.140625" style="478" customWidth="1"/>
    <col min="2" max="2" width="61.7109375" style="384" customWidth="1"/>
    <col min="3" max="3" width="12.7109375" style="384" customWidth="1"/>
    <col min="4" max="4" width="13.28515625" style="384" customWidth="1"/>
    <col min="5" max="5" width="12.5703125" style="384" customWidth="1"/>
    <col min="6" max="6" width="6.28515625" style="478" customWidth="1"/>
    <col min="7" max="7" width="49.140625" style="384" customWidth="1"/>
    <col min="8" max="8" width="13.42578125" style="384" customWidth="1"/>
    <col min="9" max="9" width="13.140625" style="384" customWidth="1"/>
    <col min="10" max="10" width="13" style="384" customWidth="1"/>
    <col min="11" max="16384" width="9.140625" style="384"/>
  </cols>
  <sheetData>
    <row r="1" spans="1:10" x14ac:dyDescent="0.25">
      <c r="A1" s="473"/>
      <c r="B1" s="383"/>
      <c r="C1" s="383"/>
      <c r="D1" s="383"/>
      <c r="E1" s="383"/>
      <c r="F1" s="473"/>
      <c r="G1" s="383"/>
      <c r="H1" s="383"/>
      <c r="I1" s="383"/>
      <c r="J1" s="81" t="s">
        <v>618</v>
      </c>
    </row>
    <row r="2" spans="1:10" x14ac:dyDescent="0.25">
      <c r="A2" s="473"/>
      <c r="B2" s="383"/>
      <c r="C2" s="383"/>
      <c r="D2" s="383"/>
      <c r="E2" s="383"/>
      <c r="F2" s="473"/>
      <c r="G2" s="383"/>
      <c r="H2" s="383"/>
      <c r="I2" s="383"/>
      <c r="J2" s="385" t="str">
        <f>'1.Bev-kiad.'!F2</f>
        <v>a 12/2026.(X.2.) önkormányzati rendelethez</v>
      </c>
    </row>
    <row r="3" spans="1:10" x14ac:dyDescent="0.25">
      <c r="A3" s="473"/>
      <c r="B3" s="383"/>
      <c r="C3" s="383"/>
      <c r="D3" s="383"/>
      <c r="E3" s="383"/>
      <c r="F3" s="473"/>
      <c r="G3" s="383"/>
      <c r="H3" s="383"/>
      <c r="I3" s="383"/>
    </row>
    <row r="4" spans="1:10" ht="39" customHeight="1" x14ac:dyDescent="0.25">
      <c r="A4" s="473"/>
      <c r="B4" s="903" t="s">
        <v>1125</v>
      </c>
      <c r="C4" s="904"/>
      <c r="D4" s="904"/>
      <c r="E4" s="904"/>
      <c r="F4" s="904"/>
      <c r="G4" s="904"/>
      <c r="H4" s="904"/>
      <c r="I4" s="904"/>
      <c r="J4" s="385"/>
    </row>
    <row r="5" spans="1:10" x14ac:dyDescent="0.25">
      <c r="A5" s="473"/>
      <c r="B5" s="386"/>
      <c r="C5" s="386"/>
      <c r="D5" s="385"/>
      <c r="E5" s="385"/>
      <c r="F5" s="474"/>
      <c r="G5" s="387"/>
      <c r="H5" s="387"/>
      <c r="I5" s="387"/>
      <c r="J5" s="385" t="s">
        <v>0</v>
      </c>
    </row>
    <row r="6" spans="1:10" ht="41.25" customHeight="1" x14ac:dyDescent="0.25">
      <c r="A6" s="475"/>
      <c r="B6" s="472" t="s">
        <v>619</v>
      </c>
      <c r="C6" s="472" t="s">
        <v>693</v>
      </c>
      <c r="D6" s="472" t="s">
        <v>1132</v>
      </c>
      <c r="E6" s="472" t="s">
        <v>1131</v>
      </c>
      <c r="F6" s="475"/>
      <c r="G6" s="472" t="s">
        <v>620</v>
      </c>
      <c r="H6" s="472" t="str">
        <f>C6</f>
        <v>2026. évi eredeti előirányzat</v>
      </c>
      <c r="I6" s="472" t="str">
        <f>D6</f>
        <v>2025. évi várható teljesítés</v>
      </c>
      <c r="J6" s="472" t="str">
        <f>E6</f>
        <v>2024. évi
 teljesítés</v>
      </c>
    </row>
    <row r="7" spans="1:10" x14ac:dyDescent="0.25">
      <c r="A7" s="476"/>
      <c r="B7" s="388" t="s">
        <v>621</v>
      </c>
      <c r="C7" s="389">
        <f>SUM(C8+C14)</f>
        <v>2584205</v>
      </c>
      <c r="D7" s="389">
        <f t="shared" ref="D7:E7" si="0">SUM(D8+D14)</f>
        <v>1995619</v>
      </c>
      <c r="E7" s="389">
        <f t="shared" si="0"/>
        <v>1528173</v>
      </c>
      <c r="F7" s="476"/>
      <c r="G7" s="388" t="s">
        <v>622</v>
      </c>
      <c r="H7" s="389">
        <f>SUM(H8+H14)</f>
        <v>2958032</v>
      </c>
      <c r="I7" s="389">
        <f>SUM(I8+I14)</f>
        <v>1772361</v>
      </c>
      <c r="J7" s="389">
        <f>SUM(J8+J14)</f>
        <v>3011696</v>
      </c>
    </row>
    <row r="8" spans="1:10" x14ac:dyDescent="0.25">
      <c r="A8" s="476"/>
      <c r="B8" s="390" t="s">
        <v>623</v>
      </c>
      <c r="C8" s="391">
        <f>SUM(C9:C12)</f>
        <v>2017268</v>
      </c>
      <c r="D8" s="391">
        <f t="shared" ref="D8:E8" si="1">SUM(D9:D12)</f>
        <v>1589734</v>
      </c>
      <c r="E8" s="391">
        <f t="shared" si="1"/>
        <v>1316010</v>
      </c>
      <c r="F8" s="476"/>
      <c r="G8" s="390" t="s">
        <v>624</v>
      </c>
      <c r="H8" s="391">
        <f>SUM(H9:H13)</f>
        <v>1883794</v>
      </c>
      <c r="I8" s="391">
        <f>SUM(I9:I13)</f>
        <v>1411219</v>
      </c>
      <c r="J8" s="391">
        <f>SUM(J9:J13)</f>
        <v>1432802</v>
      </c>
    </row>
    <row r="9" spans="1:10" x14ac:dyDescent="0.25">
      <c r="A9" s="476" t="s">
        <v>110</v>
      </c>
      <c r="B9" s="393" t="s">
        <v>625</v>
      </c>
      <c r="C9" s="394">
        <f>'1.Bev-kiad.'!D10</f>
        <v>895072</v>
      </c>
      <c r="D9" s="394">
        <f>'1.Bev-kiad.'!C10</f>
        <v>769186</v>
      </c>
      <c r="E9" s="394">
        <v>695314</v>
      </c>
      <c r="F9" s="477" t="s">
        <v>205</v>
      </c>
      <c r="G9" s="393" t="s">
        <v>626</v>
      </c>
      <c r="H9" s="394">
        <f>'2.működés'!D125</f>
        <v>373342</v>
      </c>
      <c r="I9" s="394">
        <f>'1.Bev-kiad.'!C69</f>
        <v>308647</v>
      </c>
      <c r="J9" s="394">
        <v>275450</v>
      </c>
    </row>
    <row r="10" spans="1:10" ht="25.5" x14ac:dyDescent="0.25">
      <c r="A10" s="731" t="s">
        <v>130</v>
      </c>
      <c r="B10" s="393" t="s">
        <v>627</v>
      </c>
      <c r="C10" s="394">
        <f>'1.Bev-kiad.'!D23</f>
        <v>875000</v>
      </c>
      <c r="D10" s="394">
        <f>'1.Bev-kiad.'!C23</f>
        <v>738279</v>
      </c>
      <c r="E10" s="394">
        <v>544850</v>
      </c>
      <c r="F10" s="732" t="s">
        <v>206</v>
      </c>
      <c r="G10" s="395" t="s">
        <v>628</v>
      </c>
      <c r="H10" s="396">
        <f>'2.működés'!D128</f>
        <v>49611</v>
      </c>
      <c r="I10" s="394">
        <f>'1.Bev-kiad.'!C70</f>
        <v>38354</v>
      </c>
      <c r="J10" s="396">
        <v>34735</v>
      </c>
    </row>
    <row r="11" spans="1:10" x14ac:dyDescent="0.25">
      <c r="A11" s="476" t="s">
        <v>141</v>
      </c>
      <c r="B11" s="393" t="s">
        <v>629</v>
      </c>
      <c r="C11" s="394">
        <f>'1.Bev-kiad.'!D30</f>
        <v>217196</v>
      </c>
      <c r="D11" s="394">
        <f>'1.Bev-kiad.'!C30</f>
        <v>52464</v>
      </c>
      <c r="E11" s="394">
        <v>42353</v>
      </c>
      <c r="F11" s="477" t="s">
        <v>207</v>
      </c>
      <c r="G11" s="395" t="s">
        <v>630</v>
      </c>
      <c r="H11" s="396">
        <f>'2.működés'!D131</f>
        <v>622852</v>
      </c>
      <c r="I11" s="394">
        <f>'1.Bev-kiad.'!C71</f>
        <v>350568</v>
      </c>
      <c r="J11" s="396">
        <v>475680</v>
      </c>
    </row>
    <row r="12" spans="1:10" x14ac:dyDescent="0.25">
      <c r="A12" s="476" t="s">
        <v>179</v>
      </c>
      <c r="B12" s="393" t="s">
        <v>631</v>
      </c>
      <c r="C12" s="394">
        <f>'1.Bev-kiad.'!D47</f>
        <v>30000</v>
      </c>
      <c r="D12" s="394">
        <f>'1.Bev-kiad.'!C47</f>
        <v>29805</v>
      </c>
      <c r="E12" s="394">
        <v>33493</v>
      </c>
      <c r="F12" s="477" t="s">
        <v>208</v>
      </c>
      <c r="G12" s="395" t="s">
        <v>632</v>
      </c>
      <c r="H12" s="396">
        <f>'2.működés'!D134</f>
        <v>20000</v>
      </c>
      <c r="I12" s="394">
        <f>'1.Bev-kiad.'!C72</f>
        <v>6186</v>
      </c>
      <c r="J12" s="396">
        <v>17943</v>
      </c>
    </row>
    <row r="13" spans="1:10" x14ac:dyDescent="0.25">
      <c r="A13" s="476"/>
      <c r="B13" s="393"/>
      <c r="C13" s="397"/>
      <c r="D13" s="397"/>
      <c r="E13" s="397"/>
      <c r="F13" s="477" t="s">
        <v>209</v>
      </c>
      <c r="G13" s="395" t="s">
        <v>633</v>
      </c>
      <c r="H13" s="396">
        <f>'2.működés'!D135</f>
        <v>817989</v>
      </c>
      <c r="I13" s="394">
        <f>'1.Bev-kiad.'!C73</f>
        <v>707464</v>
      </c>
      <c r="J13" s="396">
        <v>628994</v>
      </c>
    </row>
    <row r="14" spans="1:10" x14ac:dyDescent="0.25">
      <c r="A14" s="476"/>
      <c r="B14" s="390" t="s">
        <v>634</v>
      </c>
      <c r="C14" s="391">
        <f>SUM(C15:C17)</f>
        <v>566937</v>
      </c>
      <c r="D14" s="391">
        <f t="shared" ref="D14:E14" si="2">SUM(D15:D17)</f>
        <v>405885</v>
      </c>
      <c r="E14" s="391">
        <f t="shared" si="2"/>
        <v>212163</v>
      </c>
      <c r="F14" s="477"/>
      <c r="G14" s="390" t="s">
        <v>635</v>
      </c>
      <c r="H14" s="391">
        <f>SUM(H15:H17)</f>
        <v>1074238</v>
      </c>
      <c r="I14" s="391">
        <f>SUM(I15:I17)</f>
        <v>361142</v>
      </c>
      <c r="J14" s="391">
        <f>SUM(J15:J17)</f>
        <v>1578894</v>
      </c>
    </row>
    <row r="15" spans="1:10" x14ac:dyDescent="0.25">
      <c r="A15" s="476" t="s">
        <v>121</v>
      </c>
      <c r="B15" s="393" t="s">
        <v>636</v>
      </c>
      <c r="C15" s="394">
        <f>'1.Bev-kiad.'!D17</f>
        <v>526642</v>
      </c>
      <c r="D15" s="394">
        <f>'1.Bev-kiad.'!C17</f>
        <v>394384</v>
      </c>
      <c r="E15" s="394">
        <v>93469</v>
      </c>
      <c r="F15" s="477" t="s">
        <v>240</v>
      </c>
      <c r="G15" s="393" t="s">
        <v>60</v>
      </c>
      <c r="H15" s="394">
        <f>'3.felh'!D47</f>
        <v>744562</v>
      </c>
      <c r="I15" s="394">
        <f>'1.Bev-kiad.'!C77</f>
        <v>188483</v>
      </c>
      <c r="J15" s="394">
        <v>206350</v>
      </c>
    </row>
    <row r="16" spans="1:10" x14ac:dyDescent="0.25">
      <c r="A16" s="476" t="s">
        <v>168</v>
      </c>
      <c r="B16" s="393" t="s">
        <v>637</v>
      </c>
      <c r="C16" s="394">
        <f>'1.Bev-kiad.'!D41</f>
        <v>30000</v>
      </c>
      <c r="D16" s="394">
        <f>'1.Bev-kiad.'!C41</f>
        <v>400</v>
      </c>
      <c r="E16" s="394">
        <v>98400</v>
      </c>
      <c r="F16" s="477" t="s">
        <v>316</v>
      </c>
      <c r="G16" s="393" t="s">
        <v>61</v>
      </c>
      <c r="H16" s="394">
        <f>'3.felh'!D74</f>
        <v>329676</v>
      </c>
      <c r="I16" s="394">
        <f>'1.Bev-kiad.'!C78</f>
        <v>172659</v>
      </c>
      <c r="J16" s="394">
        <v>522079</v>
      </c>
    </row>
    <row r="17" spans="1:10" x14ac:dyDescent="0.25">
      <c r="A17" s="476" t="s">
        <v>180</v>
      </c>
      <c r="B17" s="393" t="s">
        <v>638</v>
      </c>
      <c r="C17" s="394">
        <f>'1.Bev-kiad.'!D51</f>
        <v>10295</v>
      </c>
      <c r="D17" s="394">
        <f>'1.Bev-kiad.'!C51</f>
        <v>11101</v>
      </c>
      <c r="E17" s="394">
        <v>20294</v>
      </c>
      <c r="F17" s="477" t="s">
        <v>315</v>
      </c>
      <c r="G17" s="393" t="s">
        <v>639</v>
      </c>
      <c r="H17" s="394">
        <f>'3.felh'!D96</f>
        <v>0</v>
      </c>
      <c r="I17" s="394">
        <f>'1.Bev-kiad.'!C79</f>
        <v>0</v>
      </c>
      <c r="J17" s="394">
        <v>850465</v>
      </c>
    </row>
    <row r="18" spans="1:10" x14ac:dyDescent="0.25">
      <c r="A18" s="476" t="s">
        <v>434</v>
      </c>
      <c r="B18" s="398" t="s">
        <v>640</v>
      </c>
      <c r="C18" s="391">
        <f>SUM(C24+C19)</f>
        <v>495613</v>
      </c>
      <c r="D18" s="391">
        <f t="shared" ref="D18:E18" si="3">SUM(D24+D19)</f>
        <v>388229</v>
      </c>
      <c r="E18" s="391">
        <f t="shared" si="3"/>
        <v>1949167</v>
      </c>
      <c r="F18" s="477" t="s">
        <v>196</v>
      </c>
      <c r="G18" s="398" t="s">
        <v>641</v>
      </c>
      <c r="H18" s="391">
        <f>SUM(H19)</f>
        <v>121786</v>
      </c>
      <c r="I18" s="391">
        <f>SUM(I19)</f>
        <v>21664</v>
      </c>
      <c r="J18" s="391">
        <f>SUM(J19)</f>
        <v>104991</v>
      </c>
    </row>
    <row r="19" spans="1:10" x14ac:dyDescent="0.25">
      <c r="A19" s="476"/>
      <c r="B19" s="390" t="s">
        <v>642</v>
      </c>
      <c r="C19" s="391">
        <f>SUM(C20)</f>
        <v>495613</v>
      </c>
      <c r="D19" s="391">
        <f>SUM(D20+D23)</f>
        <v>388229</v>
      </c>
      <c r="E19" s="391">
        <f>SUM(E20)+E23</f>
        <v>1649581</v>
      </c>
      <c r="F19" s="477"/>
      <c r="G19" s="390" t="s">
        <v>643</v>
      </c>
      <c r="H19" s="391">
        <f>SUM(H20:H21)</f>
        <v>121786</v>
      </c>
      <c r="I19" s="391">
        <f>SUM(I20:I21)</f>
        <v>21664</v>
      </c>
      <c r="J19" s="391">
        <f>SUM(J20:J21)</f>
        <v>104991</v>
      </c>
    </row>
    <row r="20" spans="1:10" x14ac:dyDescent="0.25">
      <c r="A20" s="476"/>
      <c r="B20" s="393" t="s">
        <v>644</v>
      </c>
      <c r="C20" s="394">
        <f>SUM(C21:C22)</f>
        <v>495613</v>
      </c>
      <c r="D20" s="394">
        <f t="shared" ref="D20" si="4">SUM(D21:D22)</f>
        <v>360653</v>
      </c>
      <c r="E20" s="394">
        <f>SUM(E21:E22)</f>
        <v>1627918</v>
      </c>
      <c r="F20" s="477" t="s">
        <v>346</v>
      </c>
      <c r="G20" s="399" t="s">
        <v>350</v>
      </c>
      <c r="H20" s="400">
        <f>'2.működés'!D144</f>
        <v>27576</v>
      </c>
      <c r="I20" s="400">
        <f>'1.Bev-kiad.'!C86</f>
        <v>21664</v>
      </c>
      <c r="J20" s="400">
        <v>19597</v>
      </c>
    </row>
    <row r="21" spans="1:10" x14ac:dyDescent="0.25">
      <c r="A21" s="476"/>
      <c r="B21" s="401" t="s">
        <v>380</v>
      </c>
      <c r="C21" s="394">
        <f>'1.Bev-kiad.'!D58</f>
        <v>197190</v>
      </c>
      <c r="D21" s="394">
        <f>'1.Bev-kiad.'!C58</f>
        <v>321764</v>
      </c>
      <c r="E21" s="394">
        <v>706845</v>
      </c>
      <c r="F21" s="477" t="s">
        <v>752</v>
      </c>
      <c r="G21" s="402" t="s">
        <v>645</v>
      </c>
      <c r="H21" s="394">
        <f>'3.felh'!D106</f>
        <v>94210</v>
      </c>
      <c r="I21" s="394">
        <f>'1.Bev-kiad.'!C88</f>
        <v>0</v>
      </c>
      <c r="J21" s="394">
        <v>85394</v>
      </c>
    </row>
    <row r="22" spans="1:10" x14ac:dyDescent="0.25">
      <c r="A22" s="476"/>
      <c r="B22" s="401" t="s">
        <v>646</v>
      </c>
      <c r="C22" s="394">
        <f>'1.Bev-kiad.'!D59</f>
        <v>298423</v>
      </c>
      <c r="D22" s="394">
        <f>'1.Bev-kiad.'!C59</f>
        <v>38889</v>
      </c>
      <c r="E22" s="394">
        <v>921073</v>
      </c>
      <c r="F22" s="477"/>
      <c r="G22" s="390" t="s">
        <v>647</v>
      </c>
      <c r="H22" s="392">
        <v>0</v>
      </c>
      <c r="I22" s="391">
        <v>0</v>
      </c>
      <c r="J22" s="391">
        <v>0</v>
      </c>
    </row>
    <row r="23" spans="1:10" x14ac:dyDescent="0.25">
      <c r="A23" s="476"/>
      <c r="B23" s="397" t="s">
        <v>648</v>
      </c>
      <c r="C23" s="394">
        <v>0</v>
      </c>
      <c r="D23" s="403">
        <f>'1.Bev-kiad.'!C60</f>
        <v>27576</v>
      </c>
      <c r="E23" s="394">
        <v>21663</v>
      </c>
      <c r="F23" s="477"/>
      <c r="G23" s="390"/>
      <c r="H23" s="392"/>
      <c r="I23" s="391"/>
      <c r="J23" s="391"/>
    </row>
    <row r="24" spans="1:10" x14ac:dyDescent="0.25">
      <c r="A24" s="476"/>
      <c r="B24" s="390" t="s">
        <v>649</v>
      </c>
      <c r="C24" s="391">
        <f>'[4]1.Bev-kiad.'!C60</f>
        <v>0</v>
      </c>
      <c r="D24" s="391">
        <v>0</v>
      </c>
      <c r="E24" s="391">
        <v>299586</v>
      </c>
      <c r="F24" s="477"/>
      <c r="G24" s="390"/>
      <c r="H24" s="392"/>
      <c r="I24" s="391"/>
      <c r="J24" s="391"/>
    </row>
    <row r="25" spans="1:10" x14ac:dyDescent="0.25">
      <c r="A25" s="476"/>
      <c r="B25" s="388" t="s">
        <v>334</v>
      </c>
      <c r="C25" s="389">
        <f>SUM(C7+C18)</f>
        <v>3079818</v>
      </c>
      <c r="D25" s="389">
        <f t="shared" ref="D25:E25" si="5">SUM(D7+D18)</f>
        <v>2383848</v>
      </c>
      <c r="E25" s="389">
        <f t="shared" si="5"/>
        <v>3477340</v>
      </c>
      <c r="F25" s="476"/>
      <c r="G25" s="388" t="s">
        <v>51</v>
      </c>
      <c r="H25" s="389">
        <f>SUM(H7+H18)</f>
        <v>3079818</v>
      </c>
      <c r="I25" s="389">
        <f>SUM(I7+I18)</f>
        <v>1794025</v>
      </c>
      <c r="J25" s="389">
        <f>SUM(J7+J18)</f>
        <v>3116687</v>
      </c>
    </row>
    <row r="27" spans="1:10" x14ac:dyDescent="0.25">
      <c r="D27" s="487"/>
    </row>
  </sheetData>
  <mergeCells count="1">
    <mergeCell ref="B4:I4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H21"/>
  <sheetViews>
    <sheetView zoomScaleNormal="100" workbookViewId="0">
      <selection activeCell="B7" sqref="B7"/>
    </sheetView>
  </sheetViews>
  <sheetFormatPr defaultRowHeight="15" x14ac:dyDescent="0.25"/>
  <cols>
    <col min="1" max="1" width="4.140625" style="384" customWidth="1"/>
    <col min="2" max="2" width="6.140625" style="478" customWidth="1"/>
    <col min="3" max="3" width="43.5703125" style="384" customWidth="1"/>
    <col min="4" max="4" width="12.7109375" style="384" customWidth="1"/>
    <col min="5" max="5" width="13.28515625" style="384" customWidth="1"/>
    <col min="6" max="6" width="12.5703125" style="384" hidden="1" customWidth="1"/>
    <col min="7" max="7" width="12.28515625" style="384" hidden="1" customWidth="1"/>
    <col min="8" max="8" width="12.7109375" style="384" hidden="1" customWidth="1"/>
    <col min="9" max="16384" width="9.140625" style="384"/>
  </cols>
  <sheetData>
    <row r="1" spans="2:8" x14ac:dyDescent="0.25">
      <c r="B1" s="473"/>
      <c r="C1" s="383"/>
      <c r="E1" s="81" t="s">
        <v>1266</v>
      </c>
    </row>
    <row r="2" spans="2:8" x14ac:dyDescent="0.25">
      <c r="B2" s="473"/>
      <c r="C2" s="383"/>
      <c r="E2" s="385" t="str">
        <f>'1.Bev-kiad.'!F2</f>
        <v>a 12/2026.(X.2.) önkormányzati rendelethez</v>
      </c>
    </row>
    <row r="3" spans="2:8" x14ac:dyDescent="0.25">
      <c r="B3" s="473"/>
      <c r="C3" s="383"/>
      <c r="E3" s="385" t="s">
        <v>1146</v>
      </c>
      <c r="H3" s="385"/>
    </row>
    <row r="4" spans="2:8" ht="39" customHeight="1" x14ac:dyDescent="0.25">
      <c r="B4" s="903" t="s">
        <v>1029</v>
      </c>
      <c r="C4" s="903"/>
      <c r="D4" s="903"/>
      <c r="E4" s="903"/>
      <c r="F4" s="903"/>
      <c r="G4" s="903"/>
      <c r="H4" s="903"/>
    </row>
    <row r="5" spans="2:8" ht="14.25" customHeight="1" x14ac:dyDescent="0.25">
      <c r="B5" s="473"/>
      <c r="C5" s="504"/>
      <c r="D5" s="505"/>
      <c r="E5" s="505"/>
      <c r="F5" s="505"/>
    </row>
    <row r="6" spans="2:8" x14ac:dyDescent="0.25">
      <c r="B6" s="473"/>
      <c r="C6" s="386"/>
      <c r="E6" s="385" t="s">
        <v>0</v>
      </c>
    </row>
    <row r="7" spans="2:8" ht="38.25" x14ac:dyDescent="0.25">
      <c r="B7" s="475"/>
      <c r="C7" s="472" t="s">
        <v>1030</v>
      </c>
      <c r="D7" s="472" t="str">
        <f>'1.Bev-kiad.'!D8</f>
        <v xml:space="preserve">2026. évi eredeti előirányzat </v>
      </c>
      <c r="E7" s="472" t="str">
        <f>'1.Bev-kiad.'!F8</f>
        <v>Módosított előirányzat 2026.10.havi</v>
      </c>
      <c r="F7" s="472">
        <f>'1.Bev-kiad.'!H8</f>
        <v>0</v>
      </c>
      <c r="G7" s="472">
        <f>'1.Bev-kiad.'!J8</f>
        <v>0</v>
      </c>
      <c r="H7" s="472">
        <f>'1.Bev-kiad.'!L8</f>
        <v>0</v>
      </c>
    </row>
    <row r="8" spans="2:8" x14ac:dyDescent="0.25">
      <c r="B8" s="476"/>
      <c r="C8" s="388" t="s">
        <v>774</v>
      </c>
      <c r="D8" s="389">
        <f t="shared" ref="D8:E8" si="0">SUM(D9+D15)</f>
        <v>76000</v>
      </c>
      <c r="E8" s="389">
        <f t="shared" si="0"/>
        <v>161402</v>
      </c>
      <c r="F8" s="389">
        <f t="shared" ref="F8:G8" si="1">SUM(F9+F15)</f>
        <v>0</v>
      </c>
      <c r="G8" s="389">
        <f t="shared" si="1"/>
        <v>0</v>
      </c>
      <c r="H8" s="389">
        <f t="shared" ref="H8" si="2">SUM(H9+H15)</f>
        <v>0</v>
      </c>
    </row>
    <row r="9" spans="2:8" x14ac:dyDescent="0.25">
      <c r="B9" s="509">
        <v>1</v>
      </c>
      <c r="C9" s="390" t="s">
        <v>775</v>
      </c>
      <c r="D9" s="391">
        <f>'2.működés'!D137-D20</f>
        <v>76000</v>
      </c>
      <c r="E9" s="391">
        <f>'2.működés'!F137-E20-E21</f>
        <v>161402</v>
      </c>
      <c r="F9" s="391">
        <f>'2.működés'!H137-F20-F21</f>
        <v>0</v>
      </c>
      <c r="G9" s="391">
        <f>'2.működés'!J137-G20-G21</f>
        <v>0</v>
      </c>
      <c r="H9" s="391">
        <f>'2.működés'!L137-H20-H21</f>
        <v>0</v>
      </c>
    </row>
    <row r="10" spans="2:8" x14ac:dyDescent="0.25">
      <c r="B10" s="509"/>
      <c r="C10" s="393"/>
      <c r="D10" s="394"/>
      <c r="E10" s="394"/>
      <c r="F10" s="394"/>
      <c r="G10" s="394"/>
      <c r="H10" s="394"/>
    </row>
    <row r="11" spans="2:8" hidden="1" x14ac:dyDescent="0.25">
      <c r="B11" s="509"/>
      <c r="C11" s="393"/>
      <c r="D11" s="394"/>
      <c r="E11" s="394"/>
      <c r="F11" s="394"/>
      <c r="G11" s="394"/>
      <c r="H11" s="394"/>
    </row>
    <row r="12" spans="2:8" hidden="1" x14ac:dyDescent="0.25">
      <c r="B12" s="509"/>
      <c r="C12" s="393"/>
      <c r="D12" s="394"/>
      <c r="E12" s="394"/>
      <c r="F12" s="394"/>
      <c r="G12" s="394"/>
      <c r="H12" s="394"/>
    </row>
    <row r="13" spans="2:8" hidden="1" x14ac:dyDescent="0.25">
      <c r="B13" s="509"/>
      <c r="C13" s="393"/>
      <c r="D13" s="394"/>
      <c r="E13" s="394"/>
      <c r="F13" s="394"/>
      <c r="G13" s="394"/>
      <c r="H13" s="394"/>
    </row>
    <row r="14" spans="2:8" hidden="1" x14ac:dyDescent="0.25">
      <c r="B14" s="509"/>
      <c r="C14" s="393"/>
      <c r="D14" s="397"/>
      <c r="E14" s="397"/>
      <c r="F14" s="397"/>
      <c r="G14" s="397"/>
      <c r="H14" s="397"/>
    </row>
    <row r="15" spans="2:8" x14ac:dyDescent="0.25">
      <c r="B15" s="509">
        <v>2</v>
      </c>
      <c r="C15" s="390" t="s">
        <v>776</v>
      </c>
      <c r="D15" s="391">
        <f t="shared" ref="D15:E15" si="3">SUM(D16)+D19</f>
        <v>0</v>
      </c>
      <c r="E15" s="391">
        <f t="shared" si="3"/>
        <v>0</v>
      </c>
      <c r="F15" s="391">
        <f t="shared" ref="F15:G15" si="4">SUM(F16)+F19</f>
        <v>0</v>
      </c>
      <c r="G15" s="391">
        <f t="shared" si="4"/>
        <v>0</v>
      </c>
      <c r="H15" s="391">
        <f t="shared" ref="H15" si="5">SUM(H16)+H19</f>
        <v>0</v>
      </c>
    </row>
    <row r="16" spans="2:8" hidden="1" x14ac:dyDescent="0.25">
      <c r="B16" s="476"/>
      <c r="C16" s="510" t="s">
        <v>777</v>
      </c>
      <c r="D16" s="511">
        <f t="shared" ref="D16:H16" si="6">D17</f>
        <v>0</v>
      </c>
      <c r="E16" s="511">
        <f t="shared" si="6"/>
        <v>0</v>
      </c>
      <c r="F16" s="511">
        <f t="shared" si="6"/>
        <v>0</v>
      </c>
      <c r="G16" s="511">
        <f t="shared" si="6"/>
        <v>0</v>
      </c>
      <c r="H16" s="511">
        <f t="shared" si="6"/>
        <v>0</v>
      </c>
    </row>
    <row r="17" spans="2:8" hidden="1" x14ac:dyDescent="0.25">
      <c r="B17" s="476"/>
      <c r="C17" s="393" t="s">
        <v>778</v>
      </c>
      <c r="D17" s="394">
        <f>'3.felh'!D101</f>
        <v>0</v>
      </c>
      <c r="E17" s="394">
        <f>'3.felh'!F101</f>
        <v>0</v>
      </c>
      <c r="F17" s="394">
        <f>'3.felh'!H101</f>
        <v>0</v>
      </c>
      <c r="G17" s="394">
        <f>'3.felh'!J101</f>
        <v>0</v>
      </c>
      <c r="H17" s="394">
        <f>'3.felh'!K101</f>
        <v>0</v>
      </c>
    </row>
    <row r="18" spans="2:8" hidden="1" x14ac:dyDescent="0.25">
      <c r="B18" s="476"/>
      <c r="C18" s="393"/>
      <c r="D18" s="394"/>
      <c r="E18" s="394"/>
      <c r="F18" s="394"/>
      <c r="G18" s="394"/>
      <c r="H18" s="394"/>
    </row>
    <row r="19" spans="2:8" hidden="1" x14ac:dyDescent="0.25">
      <c r="B19" s="476"/>
      <c r="C19" s="510" t="s">
        <v>812</v>
      </c>
      <c r="D19" s="511">
        <f t="shared" ref="D19:E19" si="7">D20+D21</f>
        <v>0</v>
      </c>
      <c r="E19" s="511">
        <f t="shared" si="7"/>
        <v>0</v>
      </c>
      <c r="F19" s="511">
        <f t="shared" ref="F19:G19" si="8">F20+F21</f>
        <v>0</v>
      </c>
      <c r="G19" s="511">
        <f t="shared" si="8"/>
        <v>0</v>
      </c>
      <c r="H19" s="511">
        <f t="shared" ref="H19" si="9">H20+H21</f>
        <v>0</v>
      </c>
    </row>
    <row r="20" spans="2:8" x14ac:dyDescent="0.25">
      <c r="B20" s="476"/>
      <c r="C20" s="8"/>
      <c r="D20" s="394"/>
      <c r="E20" s="394">
        <v>0</v>
      </c>
      <c r="F20" s="394">
        <v>0</v>
      </c>
      <c r="G20" s="394">
        <v>0</v>
      </c>
      <c r="H20" s="394">
        <v>0</v>
      </c>
    </row>
    <row r="21" spans="2:8" hidden="1" x14ac:dyDescent="0.25">
      <c r="B21" s="476"/>
      <c r="C21" s="393"/>
      <c r="D21" s="394">
        <v>0</v>
      </c>
      <c r="E21" s="394">
        <v>0</v>
      </c>
      <c r="F21" s="394">
        <v>0</v>
      </c>
    </row>
  </sheetData>
  <mergeCells count="1">
    <mergeCell ref="B4:H4"/>
  </mergeCells>
  <pageMargins left="0.7" right="0.7" top="0.75" bottom="0.75" header="0.3" footer="0.3"/>
  <pageSetup paperSize="9" scale="10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J871"/>
  <sheetViews>
    <sheetView topLeftCell="B1" zoomScale="110" zoomScaleNormal="110" zoomScaleSheetLayoutView="70" workbookViewId="0">
      <selection activeCell="B7" sqref="B7:B8"/>
    </sheetView>
  </sheetViews>
  <sheetFormatPr defaultRowHeight="12.75" x14ac:dyDescent="0.2"/>
  <cols>
    <col min="1" max="1" width="0" hidden="1" customWidth="1"/>
    <col min="2" max="2" width="8" style="2" customWidth="1"/>
    <col min="3" max="3" width="80.85546875" customWidth="1"/>
    <col min="4" max="4" width="57" customWidth="1"/>
    <col min="5" max="5" width="16.42578125" customWidth="1"/>
    <col min="6" max="6" width="13" customWidth="1"/>
    <col min="7" max="7" width="13.42578125" style="35" customWidth="1"/>
    <col min="8" max="8" width="7.42578125" hidden="1" customWidth="1"/>
    <col min="9" max="9" width="17.85546875" customWidth="1"/>
    <col min="10" max="10" width="17" customWidth="1"/>
  </cols>
  <sheetData>
    <row r="1" spans="2:36" ht="16.5" customHeight="1" x14ac:dyDescent="0.3">
      <c r="B1" s="54"/>
      <c r="C1" s="32"/>
      <c r="D1" s="32"/>
      <c r="E1" s="32"/>
      <c r="F1" s="32"/>
      <c r="G1" s="55" t="s">
        <v>321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2:36" ht="13.5" customHeight="1" x14ac:dyDescent="0.3">
      <c r="B2" s="54"/>
      <c r="C2" s="32"/>
      <c r="D2" s="32"/>
      <c r="E2" s="32"/>
      <c r="F2" s="32"/>
      <c r="G2" s="55" t="str">
        <f>'1.Bev-kiad.'!F2</f>
        <v>a 12/2026.(X.2.) önkormányzati rendelethez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2:36" ht="13.5" customHeight="1" x14ac:dyDescent="0.3">
      <c r="B3" s="54"/>
      <c r="C3" s="32"/>
      <c r="D3" s="32"/>
      <c r="E3" s="32"/>
      <c r="F3" s="32"/>
      <c r="G3" s="55" t="s">
        <v>1147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2:36" ht="18.75" customHeight="1" x14ac:dyDescent="0.35">
      <c r="B4" s="54"/>
      <c r="C4" s="759" t="s">
        <v>23</v>
      </c>
      <c r="D4" s="759"/>
      <c r="E4" s="759"/>
      <c r="F4" s="759"/>
      <c r="G4" s="759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2:36" ht="18.75" customHeight="1" x14ac:dyDescent="0.35">
      <c r="B5" s="54"/>
      <c r="C5" s="759" t="s">
        <v>1134</v>
      </c>
      <c r="D5" s="759"/>
      <c r="E5" s="759"/>
      <c r="F5" s="759"/>
      <c r="G5" s="90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2:36" ht="13.5" thickBot="1" x14ac:dyDescent="0.25">
      <c r="B6" s="54"/>
      <c r="C6" s="1"/>
      <c r="D6" s="1"/>
      <c r="E6" s="1"/>
      <c r="F6" s="1"/>
      <c r="G6" s="55" t="s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2:36" ht="18.75" customHeight="1" thickBot="1" x14ac:dyDescent="0.25">
      <c r="B7" s="906" t="s">
        <v>108</v>
      </c>
      <c r="C7" s="908" t="s">
        <v>902</v>
      </c>
      <c r="D7" s="913" t="s">
        <v>924</v>
      </c>
      <c r="E7" s="910" t="s">
        <v>608</v>
      </c>
      <c r="F7" s="911"/>
      <c r="G7" s="9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2:36" ht="16.5" thickBot="1" x14ac:dyDescent="0.25">
      <c r="B8" s="907"/>
      <c r="C8" s="909"/>
      <c r="D8" s="914"/>
      <c r="E8" s="108" t="s">
        <v>40</v>
      </c>
      <c r="F8" s="43" t="s">
        <v>433</v>
      </c>
      <c r="G8" s="301" t="s">
        <v>43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2:36" ht="18.75" customHeight="1" x14ac:dyDescent="0.2">
      <c r="B9" s="302" t="s">
        <v>109</v>
      </c>
      <c r="C9" s="215" t="s">
        <v>301</v>
      </c>
      <c r="D9" s="215"/>
      <c r="E9" s="163">
        <f>SUM(E10+E39+E45+E50+E64+E67+E71)</f>
        <v>-79047</v>
      </c>
      <c r="F9" s="163">
        <f>SUM(F10+F39+F45+F50+F64+F67+F71)</f>
        <v>-1547</v>
      </c>
      <c r="G9" s="315">
        <f>SUM(G10+G39+G45+G50+G64+G67+G71)</f>
        <v>-80594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2:36" ht="15" x14ac:dyDescent="0.25">
      <c r="B10" s="303" t="s">
        <v>110</v>
      </c>
      <c r="C10" s="22" t="s">
        <v>210</v>
      </c>
      <c r="D10" s="22"/>
      <c r="E10" s="36">
        <f>SUM(E11:E38)</f>
        <v>10659</v>
      </c>
      <c r="F10" s="36">
        <f>SUM(F11:F38)</f>
        <v>-1572</v>
      </c>
      <c r="G10" s="316">
        <f>SUM(G11:G38)</f>
        <v>9087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2:36" ht="38.25" hidden="1" x14ac:dyDescent="0.2">
      <c r="B11" s="312" t="s">
        <v>199</v>
      </c>
      <c r="C11" s="661" t="s">
        <v>939</v>
      </c>
      <c r="D11" s="530" t="s">
        <v>940</v>
      </c>
      <c r="E11" s="157"/>
      <c r="F11" s="157"/>
      <c r="G11" s="358">
        <f>E11+F11</f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2:36" s="286" customFormat="1" ht="25.5" hidden="1" x14ac:dyDescent="0.2">
      <c r="B12" s="312" t="s">
        <v>199</v>
      </c>
      <c r="C12" s="525" t="s">
        <v>872</v>
      </c>
      <c r="D12" s="525"/>
      <c r="E12" s="157"/>
      <c r="F12" s="157"/>
      <c r="G12" s="358">
        <f>E12+F12</f>
        <v>0</v>
      </c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</row>
    <row r="13" spans="2:36" x14ac:dyDescent="0.2">
      <c r="B13" s="304" t="s">
        <v>199</v>
      </c>
      <c r="C13" s="364" t="s">
        <v>1205</v>
      </c>
      <c r="D13" s="662" t="s">
        <v>1206</v>
      </c>
      <c r="E13" s="13">
        <v>13589</v>
      </c>
      <c r="F13" s="13"/>
      <c r="G13" s="317">
        <f t="shared" ref="G13:G38" si="0">E13+F13</f>
        <v>13589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2:36" s="286" customFormat="1" ht="25.5" x14ac:dyDescent="0.2">
      <c r="B14" s="312" t="s">
        <v>200</v>
      </c>
      <c r="C14" s="139" t="s">
        <v>1209</v>
      </c>
      <c r="D14" s="665" t="s">
        <v>948</v>
      </c>
      <c r="E14" s="157">
        <v>5257</v>
      </c>
      <c r="F14" s="157"/>
      <c r="G14" s="358">
        <f t="shared" si="0"/>
        <v>5257</v>
      </c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</row>
    <row r="15" spans="2:36" x14ac:dyDescent="0.2">
      <c r="B15" s="304" t="s">
        <v>200</v>
      </c>
      <c r="C15" s="364" t="s">
        <v>1188</v>
      </c>
      <c r="D15" s="529" t="s">
        <v>1200</v>
      </c>
      <c r="E15" s="13">
        <v>404</v>
      </c>
      <c r="F15" s="13"/>
      <c r="G15" s="358">
        <f t="shared" si="0"/>
        <v>404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2:36" x14ac:dyDescent="0.2">
      <c r="B16" s="304" t="s">
        <v>200</v>
      </c>
      <c r="C16" s="364" t="s">
        <v>1201</v>
      </c>
      <c r="D16" s="529" t="s">
        <v>947</v>
      </c>
      <c r="E16" s="13">
        <v>841</v>
      </c>
      <c r="F16" s="13"/>
      <c r="G16" s="358">
        <f t="shared" si="0"/>
        <v>841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2:36" x14ac:dyDescent="0.2">
      <c r="B17" s="304" t="s">
        <v>786</v>
      </c>
      <c r="C17" s="364" t="s">
        <v>1190</v>
      </c>
      <c r="D17" s="529" t="s">
        <v>949</v>
      </c>
      <c r="E17" s="13">
        <v>-378</v>
      </c>
      <c r="F17" s="13"/>
      <c r="G17" s="358">
        <f t="shared" si="0"/>
        <v>-378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2:36" s="286" customFormat="1" ht="25.5" x14ac:dyDescent="0.2">
      <c r="B18" s="312" t="s">
        <v>201</v>
      </c>
      <c r="C18" s="661" t="s">
        <v>1194</v>
      </c>
      <c r="D18" s="530" t="s">
        <v>950</v>
      </c>
      <c r="E18" s="157">
        <v>6503</v>
      </c>
      <c r="F18" s="157"/>
      <c r="G18" s="358">
        <f t="shared" si="0"/>
        <v>6503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</row>
    <row r="19" spans="2:36" x14ac:dyDescent="0.2">
      <c r="B19" s="304" t="s">
        <v>201</v>
      </c>
      <c r="C19" s="364" t="s">
        <v>1198</v>
      </c>
      <c r="D19" s="529" t="s">
        <v>1199</v>
      </c>
      <c r="E19" s="13">
        <v>-61</v>
      </c>
      <c r="F19" s="13"/>
      <c r="G19" s="358">
        <f t="shared" si="0"/>
        <v>-61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2:36" x14ac:dyDescent="0.2">
      <c r="B20" s="304" t="s">
        <v>201</v>
      </c>
      <c r="C20" s="364" t="s">
        <v>1202</v>
      </c>
      <c r="D20" s="529" t="s">
        <v>947</v>
      </c>
      <c r="E20" s="13">
        <v>172</v>
      </c>
      <c r="F20" s="13"/>
      <c r="G20" s="358">
        <f t="shared" si="0"/>
        <v>172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2:36" hidden="1" x14ac:dyDescent="0.2">
      <c r="B21" s="304" t="s">
        <v>201</v>
      </c>
      <c r="C21" s="364" t="s">
        <v>673</v>
      </c>
      <c r="D21" s="529" t="s">
        <v>925</v>
      </c>
      <c r="E21" s="13"/>
      <c r="F21" s="13"/>
      <c r="G21" s="358">
        <f t="shared" si="0"/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2:36" hidden="1" x14ac:dyDescent="0.2">
      <c r="B22" s="304" t="s">
        <v>201</v>
      </c>
      <c r="C22" s="364" t="s">
        <v>596</v>
      </c>
      <c r="D22" s="529" t="s">
        <v>925</v>
      </c>
      <c r="E22" s="13"/>
      <c r="F22" s="13"/>
      <c r="G22" s="358">
        <f t="shared" si="0"/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2:36" hidden="1" x14ac:dyDescent="0.2">
      <c r="B23" s="304" t="s">
        <v>201</v>
      </c>
      <c r="C23" s="364" t="s">
        <v>582</v>
      </c>
      <c r="D23" s="529" t="s">
        <v>925</v>
      </c>
      <c r="E23" s="13"/>
      <c r="F23" s="13"/>
      <c r="G23" s="358">
        <f t="shared" si="0"/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2:36" hidden="1" x14ac:dyDescent="0.2">
      <c r="B24" s="312" t="s">
        <v>200</v>
      </c>
      <c r="C24" s="661" t="s">
        <v>986</v>
      </c>
      <c r="D24" s="529" t="s">
        <v>985</v>
      </c>
      <c r="E24" s="13"/>
      <c r="F24" s="13"/>
      <c r="G24" s="358">
        <f t="shared" si="0"/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2:36" x14ac:dyDescent="0.2">
      <c r="B25" s="304" t="s">
        <v>786</v>
      </c>
      <c r="C25" s="364" t="s">
        <v>1263</v>
      </c>
      <c r="D25" s="662" t="s">
        <v>951</v>
      </c>
      <c r="E25" s="13">
        <v>28483</v>
      </c>
      <c r="F25" s="13"/>
      <c r="G25" s="317">
        <f>E25+F25</f>
        <v>28483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2:36" x14ac:dyDescent="0.2">
      <c r="B26" s="304" t="s">
        <v>202</v>
      </c>
      <c r="C26" s="364" t="s">
        <v>877</v>
      </c>
      <c r="D26" s="662" t="s">
        <v>951</v>
      </c>
      <c r="E26" s="13">
        <v>26763</v>
      </c>
      <c r="F26" s="13"/>
      <c r="G26" s="317">
        <f>E26+F26</f>
        <v>26763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2:36" x14ac:dyDescent="0.2">
      <c r="B27" s="304" t="s">
        <v>202</v>
      </c>
      <c r="C27" s="364" t="s">
        <v>878</v>
      </c>
      <c r="D27" s="529" t="s">
        <v>951</v>
      </c>
      <c r="E27" s="13">
        <v>8666</v>
      </c>
      <c r="F27" s="13"/>
      <c r="G27" s="317">
        <f>E27+F27</f>
        <v>8666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2:36" s="286" customFormat="1" x14ac:dyDescent="0.2">
      <c r="B28" s="312" t="s">
        <v>203</v>
      </c>
      <c r="C28" s="525" t="s">
        <v>1210</v>
      </c>
      <c r="D28" s="529" t="s">
        <v>951</v>
      </c>
      <c r="E28" s="157">
        <v>-5257</v>
      </c>
      <c r="F28" s="157"/>
      <c r="G28" s="358">
        <f t="shared" si="0"/>
        <v>-5257</v>
      </c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</row>
    <row r="29" spans="2:36" x14ac:dyDescent="0.2">
      <c r="B29" s="304" t="s">
        <v>203</v>
      </c>
      <c r="C29" s="364" t="s">
        <v>1264</v>
      </c>
      <c r="D29" s="662" t="s">
        <v>951</v>
      </c>
      <c r="E29" s="13">
        <v>-28483</v>
      </c>
      <c r="F29" s="13"/>
      <c r="G29" s="317">
        <f t="shared" si="0"/>
        <v>-28483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2:36" x14ac:dyDescent="0.2">
      <c r="B30" s="304" t="s">
        <v>203</v>
      </c>
      <c r="C30" s="364" t="s">
        <v>879</v>
      </c>
      <c r="D30" s="662" t="s">
        <v>951</v>
      </c>
      <c r="E30" s="13">
        <v>-14862</v>
      </c>
      <c r="F30" s="13"/>
      <c r="G30" s="317">
        <f t="shared" si="0"/>
        <v>-14862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2:36" x14ac:dyDescent="0.2">
      <c r="B31" s="304" t="s">
        <v>203</v>
      </c>
      <c r="C31" s="364" t="s">
        <v>880</v>
      </c>
      <c r="D31" s="662" t="s">
        <v>951</v>
      </c>
      <c r="E31" s="13">
        <v>-8666</v>
      </c>
      <c r="F31" s="13"/>
      <c r="G31" s="317">
        <f t="shared" si="0"/>
        <v>-8666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2:36" x14ac:dyDescent="0.2">
      <c r="B32" s="304" t="s">
        <v>203</v>
      </c>
      <c r="C32" s="364" t="s">
        <v>881</v>
      </c>
      <c r="D32" s="662" t="s">
        <v>951</v>
      </c>
      <c r="E32" s="13">
        <v>-26763</v>
      </c>
      <c r="F32" s="13"/>
      <c r="G32" s="317">
        <f t="shared" ref="G32" si="1">E32+F32</f>
        <v>-26763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2:36" x14ac:dyDescent="0.2">
      <c r="B33" s="304" t="s">
        <v>203</v>
      </c>
      <c r="C33" s="364" t="s">
        <v>1281</v>
      </c>
      <c r="D33" s="530" t="s">
        <v>1278</v>
      </c>
      <c r="E33" s="13">
        <v>2898</v>
      </c>
      <c r="F33" s="13"/>
      <c r="G33" s="317">
        <f t="shared" si="0"/>
        <v>2898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2:36" hidden="1" x14ac:dyDescent="0.2">
      <c r="B34" s="304" t="s">
        <v>677</v>
      </c>
      <c r="C34" s="364" t="s">
        <v>804</v>
      </c>
      <c r="D34" s="662"/>
      <c r="E34" s="13"/>
      <c r="F34" s="13"/>
      <c r="G34" s="317">
        <f t="shared" si="0"/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2:36" ht="15" x14ac:dyDescent="0.25">
      <c r="B35" s="304" t="s">
        <v>1211</v>
      </c>
      <c r="C35" s="561" t="s">
        <v>1267</v>
      </c>
      <c r="D35" s="657" t="s">
        <v>1212</v>
      </c>
      <c r="E35" s="13">
        <v>1553</v>
      </c>
      <c r="F35" s="13"/>
      <c r="G35" s="317">
        <f>E35+F35</f>
        <v>1553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2:36" ht="13.5" hidden="1" customHeight="1" x14ac:dyDescent="0.2">
      <c r="B36" s="304" t="s">
        <v>115</v>
      </c>
      <c r="C36" s="8" t="s">
        <v>820</v>
      </c>
      <c r="D36" s="657"/>
      <c r="E36" s="13"/>
      <c r="F36" s="13"/>
      <c r="G36" s="317">
        <f>E36+F36</f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2:36" hidden="1" x14ac:dyDescent="0.2">
      <c r="B37" s="304" t="s">
        <v>115</v>
      </c>
      <c r="C37" s="8" t="s">
        <v>821</v>
      </c>
      <c r="D37" s="657"/>
      <c r="E37" s="13"/>
      <c r="F37" s="13"/>
      <c r="G37" s="317">
        <f>E37+F37</f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2:36" x14ac:dyDescent="0.2">
      <c r="B38" s="304" t="s">
        <v>115</v>
      </c>
      <c r="C38" s="8" t="s">
        <v>1162</v>
      </c>
      <c r="D38" s="657" t="s">
        <v>1268</v>
      </c>
      <c r="E38" s="13"/>
      <c r="F38" s="13">
        <v>-1572</v>
      </c>
      <c r="G38" s="317">
        <f t="shared" si="0"/>
        <v>-1572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2:36" ht="13.5" customHeight="1" x14ac:dyDescent="0.25">
      <c r="B39" s="303" t="s">
        <v>121</v>
      </c>
      <c r="C39" s="22" t="s">
        <v>211</v>
      </c>
      <c r="D39" s="663"/>
      <c r="E39" s="36">
        <f>SUM(E40:E44)</f>
        <v>22225</v>
      </c>
      <c r="F39" s="36">
        <f>SUM(F40:F44)</f>
        <v>0</v>
      </c>
      <c r="G39" s="316">
        <f>SUM(G40:G44)</f>
        <v>22225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2:36" s="286" customFormat="1" ht="25.5" x14ac:dyDescent="0.2">
      <c r="B40" s="312" t="s">
        <v>125</v>
      </c>
      <c r="C40" s="515" t="s">
        <v>1213</v>
      </c>
      <c r="D40" s="667" t="s">
        <v>947</v>
      </c>
      <c r="E40" s="157">
        <v>22225</v>
      </c>
      <c r="F40" s="157"/>
      <c r="G40" s="358">
        <f>E40+F40</f>
        <v>22225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</row>
    <row r="41" spans="2:36" hidden="1" x14ac:dyDescent="0.2">
      <c r="B41" s="304" t="s">
        <v>125</v>
      </c>
      <c r="C41" s="8" t="s">
        <v>650</v>
      </c>
      <c r="D41" s="657"/>
      <c r="E41" s="13"/>
      <c r="F41" s="13"/>
      <c r="G41" s="317">
        <f>E41+F41</f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2:36" hidden="1" x14ac:dyDescent="0.2">
      <c r="B42" s="304" t="s">
        <v>125</v>
      </c>
      <c r="C42" s="8" t="s">
        <v>652</v>
      </c>
      <c r="D42" s="657"/>
      <c r="E42" s="13"/>
      <c r="F42" s="13"/>
      <c r="G42" s="317">
        <f>E42+F42</f>
        <v>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2:36" hidden="1" x14ac:dyDescent="0.2">
      <c r="B43" s="304" t="s">
        <v>125</v>
      </c>
      <c r="C43" s="8" t="s">
        <v>653</v>
      </c>
      <c r="D43" s="657"/>
      <c r="E43" s="13"/>
      <c r="F43" s="13"/>
      <c r="G43" s="317">
        <f>E43+F43</f>
        <v>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2:36" hidden="1" x14ac:dyDescent="0.2">
      <c r="B44" s="304" t="s">
        <v>125</v>
      </c>
      <c r="C44" s="8" t="s">
        <v>657</v>
      </c>
      <c r="D44" s="657"/>
      <c r="E44" s="13"/>
      <c r="F44" s="13"/>
      <c r="G44" s="317">
        <f>E44+F44</f>
        <v>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2:36" ht="15" x14ac:dyDescent="0.25">
      <c r="B45" s="303" t="s">
        <v>130</v>
      </c>
      <c r="C45" s="22" t="s">
        <v>94</v>
      </c>
      <c r="D45" s="663"/>
      <c r="E45" s="40">
        <f>SUM(E46:E49)</f>
        <v>0</v>
      </c>
      <c r="F45" s="40">
        <f>SUM(F46:F49)</f>
        <v>0</v>
      </c>
      <c r="G45" s="318">
        <f>SUM(G46:G49)</f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2:36" x14ac:dyDescent="0.2">
      <c r="B46" s="304" t="s">
        <v>458</v>
      </c>
      <c r="C46" s="8" t="s">
        <v>510</v>
      </c>
      <c r="D46" s="529" t="s">
        <v>951</v>
      </c>
      <c r="E46" s="13">
        <v>20000</v>
      </c>
      <c r="F46" s="300"/>
      <c r="G46" s="317">
        <f>E46+F46</f>
        <v>20000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2:36" hidden="1" x14ac:dyDescent="0.2">
      <c r="B47" s="304" t="s">
        <v>494</v>
      </c>
      <c r="C47" s="8" t="s">
        <v>509</v>
      </c>
      <c r="D47" s="529" t="s">
        <v>951</v>
      </c>
      <c r="E47" s="13"/>
      <c r="F47" s="13"/>
      <c r="G47" s="317">
        <f>E47+F47</f>
        <v>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2:36" hidden="1" x14ac:dyDescent="0.2">
      <c r="B48" s="304" t="s">
        <v>495</v>
      </c>
      <c r="C48" s="8" t="s">
        <v>598</v>
      </c>
      <c r="D48" s="529" t="s">
        <v>951</v>
      </c>
      <c r="E48" s="13"/>
      <c r="F48" s="13"/>
      <c r="G48" s="317">
        <f>E48+F48</f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2:36" s="286" customFormat="1" x14ac:dyDescent="0.2">
      <c r="B49" s="312" t="s">
        <v>136</v>
      </c>
      <c r="C49" s="535" t="s">
        <v>1301</v>
      </c>
      <c r="D49" s="529" t="s">
        <v>951</v>
      </c>
      <c r="E49" s="157">
        <v>-20000</v>
      </c>
      <c r="F49" s="157"/>
      <c r="G49" s="358">
        <f>E49+F49</f>
        <v>-20000</v>
      </c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</row>
    <row r="50" spans="2:36" s="48" customFormat="1" ht="15" x14ac:dyDescent="0.25">
      <c r="B50" s="303" t="s">
        <v>141</v>
      </c>
      <c r="C50" s="22" t="s">
        <v>212</v>
      </c>
      <c r="D50" s="663"/>
      <c r="E50" s="40">
        <f>SUM(E51:E63)</f>
        <v>-141412</v>
      </c>
      <c r="F50" s="40">
        <f>SUM(F51:F63)</f>
        <v>25</v>
      </c>
      <c r="G50" s="318">
        <f>SUM(G51:G63)</f>
        <v>-141387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2:36" ht="13.5" customHeight="1" x14ac:dyDescent="0.2">
      <c r="B51" s="304" t="s">
        <v>144</v>
      </c>
      <c r="C51" s="8" t="s">
        <v>1269</v>
      </c>
      <c r="D51" s="529" t="s">
        <v>1219</v>
      </c>
      <c r="E51" s="13">
        <v>26</v>
      </c>
      <c r="F51" s="13"/>
      <c r="G51" s="317">
        <f t="shared" ref="G51:G62" si="2">E51+F51</f>
        <v>26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2:36" ht="13.5" customHeight="1" x14ac:dyDescent="0.2">
      <c r="B52" s="304" t="s">
        <v>145</v>
      </c>
      <c r="C52" s="8" t="s">
        <v>1220</v>
      </c>
      <c r="D52" s="529" t="s">
        <v>1219</v>
      </c>
      <c r="E52" s="13">
        <v>80</v>
      </c>
      <c r="F52" s="13"/>
      <c r="G52" s="317">
        <f t="shared" ref="G52" si="3">E52+F52</f>
        <v>80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2:36" ht="13.5" customHeight="1" x14ac:dyDescent="0.2">
      <c r="B53" s="304" t="s">
        <v>146</v>
      </c>
      <c r="C53" s="8" t="s">
        <v>1222</v>
      </c>
      <c r="D53" s="529" t="s">
        <v>1221</v>
      </c>
      <c r="E53" s="13">
        <v>2100</v>
      </c>
      <c r="F53" s="13"/>
      <c r="G53" s="317">
        <f t="shared" si="2"/>
        <v>2100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2:36" s="286" customFormat="1" ht="25.5" x14ac:dyDescent="0.2">
      <c r="B54" s="312" t="s">
        <v>146</v>
      </c>
      <c r="C54" s="535" t="s">
        <v>1181</v>
      </c>
      <c r="D54" s="529" t="s">
        <v>1223</v>
      </c>
      <c r="E54" s="157">
        <v>2838</v>
      </c>
      <c r="F54" s="157"/>
      <c r="G54" s="358">
        <f t="shared" si="2"/>
        <v>2838</v>
      </c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</row>
    <row r="55" spans="2:36" x14ac:dyDescent="0.2">
      <c r="B55" s="304" t="s">
        <v>147</v>
      </c>
      <c r="C55" s="19" t="s">
        <v>1224</v>
      </c>
      <c r="D55" s="529" t="s">
        <v>1221</v>
      </c>
      <c r="E55" s="13">
        <v>426</v>
      </c>
      <c r="F55" s="13"/>
      <c r="G55" s="317">
        <f t="shared" si="2"/>
        <v>426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2:36" x14ac:dyDescent="0.2">
      <c r="B56" s="304" t="s">
        <v>148</v>
      </c>
      <c r="C56" s="19" t="s">
        <v>674</v>
      </c>
      <c r="D56" s="529" t="s">
        <v>1192</v>
      </c>
      <c r="E56" s="13">
        <v>500</v>
      </c>
      <c r="F56" s="13"/>
      <c r="G56" s="317">
        <f t="shared" si="2"/>
        <v>500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2:36" ht="13.5" customHeight="1" x14ac:dyDescent="0.2">
      <c r="B57" s="304" t="s">
        <v>152</v>
      </c>
      <c r="C57" s="19" t="s">
        <v>981</v>
      </c>
      <c r="D57" s="529" t="s">
        <v>1191</v>
      </c>
      <c r="E57" s="13">
        <f>328+135+580</f>
        <v>1043</v>
      </c>
      <c r="F57" s="13"/>
      <c r="G57" s="317">
        <f t="shared" si="2"/>
        <v>1043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2:36" ht="13.5" customHeight="1" x14ac:dyDescent="0.2">
      <c r="B58" s="304" t="s">
        <v>154</v>
      </c>
      <c r="C58" s="19" t="s">
        <v>952</v>
      </c>
      <c r="D58" s="664" t="s">
        <v>953</v>
      </c>
      <c r="E58" s="13">
        <v>-148425</v>
      </c>
      <c r="F58" s="13"/>
      <c r="G58" s="317">
        <f t="shared" si="2"/>
        <v>-148425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2:36" hidden="1" x14ac:dyDescent="0.2">
      <c r="B59" s="304" t="s">
        <v>156</v>
      </c>
      <c r="C59" s="8" t="s">
        <v>788</v>
      </c>
      <c r="D59" s="657"/>
      <c r="E59" s="13"/>
      <c r="F59" s="13"/>
      <c r="G59" s="317">
        <f t="shared" si="2"/>
        <v>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2:36" s="286" customFormat="1" ht="25.5" hidden="1" x14ac:dyDescent="0.2">
      <c r="B60" s="312" t="s">
        <v>345</v>
      </c>
      <c r="C60" s="515" t="s">
        <v>927</v>
      </c>
      <c r="D60" s="530" t="s">
        <v>931</v>
      </c>
      <c r="E60" s="157"/>
      <c r="F60" s="157"/>
      <c r="G60" s="358">
        <f t="shared" si="2"/>
        <v>0</v>
      </c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</row>
    <row r="61" spans="2:36" ht="13.5" customHeight="1" x14ac:dyDescent="0.2">
      <c r="B61" s="304" t="s">
        <v>345</v>
      </c>
      <c r="C61" s="19" t="s">
        <v>1158</v>
      </c>
      <c r="D61" s="529" t="s">
        <v>1159</v>
      </c>
      <c r="E61" s="13"/>
      <c r="F61" s="13">
        <v>25</v>
      </c>
      <c r="G61" s="317">
        <f t="shared" si="2"/>
        <v>25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2:36" ht="13.5" hidden="1" customHeight="1" x14ac:dyDescent="0.2">
      <c r="B62" s="304" t="s">
        <v>345</v>
      </c>
      <c r="C62" s="19" t="s">
        <v>681</v>
      </c>
      <c r="D62" s="664"/>
      <c r="E62" s="13"/>
      <c r="F62" s="13"/>
      <c r="G62" s="317">
        <f t="shared" si="2"/>
        <v>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2:36" ht="13.5" hidden="1" customHeight="1" x14ac:dyDescent="0.2">
      <c r="B63" s="304"/>
      <c r="C63" s="19"/>
      <c r="D63" s="664"/>
      <c r="E63" s="13"/>
      <c r="F63" s="13"/>
      <c r="G63" s="317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2:36" ht="15" x14ac:dyDescent="0.25">
      <c r="B64" s="303" t="s">
        <v>168</v>
      </c>
      <c r="C64" s="22" t="s">
        <v>213</v>
      </c>
      <c r="D64" s="663"/>
      <c r="E64" s="40">
        <f>SUM(E65:E66)</f>
        <v>29481</v>
      </c>
      <c r="F64" s="40">
        <f>SUM(F65:F66)</f>
        <v>0</v>
      </c>
      <c r="G64" s="318">
        <f>SUM(G65:G66)</f>
        <v>29481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2:36" ht="13.5" customHeight="1" x14ac:dyDescent="0.2">
      <c r="B65" s="357" t="s">
        <v>170</v>
      </c>
      <c r="C65" s="19" t="s">
        <v>1185</v>
      </c>
      <c r="D65" s="664" t="s">
        <v>1186</v>
      </c>
      <c r="E65" s="157">
        <v>5000</v>
      </c>
      <c r="F65" s="157"/>
      <c r="G65" s="317">
        <f>E65+F65</f>
        <v>5000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2:36" ht="13.5" customHeight="1" x14ac:dyDescent="0.2">
      <c r="B66" s="357" t="s">
        <v>170</v>
      </c>
      <c r="C66" s="19" t="s">
        <v>1259</v>
      </c>
      <c r="D66" s="664" t="s">
        <v>1186</v>
      </c>
      <c r="E66" s="157">
        <v>24481</v>
      </c>
      <c r="F66" s="157"/>
      <c r="G66" s="317">
        <f>E66+F66</f>
        <v>24481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2:36" ht="15.75" customHeight="1" x14ac:dyDescent="0.25">
      <c r="B67" s="303" t="s">
        <v>179</v>
      </c>
      <c r="C67" s="22" t="s">
        <v>214</v>
      </c>
      <c r="D67" s="663"/>
      <c r="E67" s="40">
        <f>SUM(E68:E70)</f>
        <v>0</v>
      </c>
      <c r="F67" s="40">
        <f>SUM(F68:F70)</f>
        <v>0</v>
      </c>
      <c r="G67" s="318">
        <f>SUM(G68:G70)</f>
        <v>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2:36" s="286" customFormat="1" hidden="1" x14ac:dyDescent="0.2">
      <c r="B68" s="666" t="s">
        <v>352</v>
      </c>
      <c r="C68" s="535" t="s">
        <v>954</v>
      </c>
      <c r="D68" s="667" t="s">
        <v>955</v>
      </c>
      <c r="E68" s="157"/>
      <c r="F68" s="157"/>
      <c r="G68" s="358">
        <f>E68+F68</f>
        <v>0</v>
      </c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</row>
    <row r="69" spans="2:36" ht="13.5" hidden="1" customHeight="1" x14ac:dyDescent="0.2">
      <c r="B69" s="359" t="s">
        <v>352</v>
      </c>
      <c r="C69" s="8" t="s">
        <v>607</v>
      </c>
      <c r="D69" s="657"/>
      <c r="E69" s="13"/>
      <c r="F69" s="13"/>
      <c r="G69" s="317">
        <f>E69+F69</f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2:36" ht="13.5" hidden="1" customHeight="1" x14ac:dyDescent="0.2">
      <c r="B70" s="359" t="s">
        <v>606</v>
      </c>
      <c r="C70" s="8" t="s">
        <v>593</v>
      </c>
      <c r="D70" s="657"/>
      <c r="E70" s="13"/>
      <c r="F70" s="13"/>
      <c r="G70" s="317">
        <f>E70+F70</f>
        <v>0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2:36" ht="14.25" customHeight="1" x14ac:dyDescent="0.25">
      <c r="B71" s="303" t="s">
        <v>180</v>
      </c>
      <c r="C71" s="22" t="s">
        <v>215</v>
      </c>
      <c r="D71" s="663"/>
      <c r="E71" s="40">
        <f>SUM(E72:E72)</f>
        <v>0</v>
      </c>
      <c r="F71" s="40">
        <f>SUM(F72:F72)</f>
        <v>0</v>
      </c>
      <c r="G71" s="318">
        <f>SUM(G72:G72)</f>
        <v>0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2:36" ht="13.5" hidden="1" customHeight="1" x14ac:dyDescent="0.2">
      <c r="B72" s="304" t="s">
        <v>424</v>
      </c>
      <c r="C72" s="19" t="s">
        <v>790</v>
      </c>
      <c r="D72" s="664"/>
      <c r="E72" s="13"/>
      <c r="F72" s="13"/>
      <c r="G72" s="317">
        <f>E72+F72</f>
        <v>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2:36" ht="15" x14ac:dyDescent="0.25">
      <c r="B73" s="360" t="s">
        <v>434</v>
      </c>
      <c r="C73" s="177" t="s">
        <v>302</v>
      </c>
      <c r="D73" s="177"/>
      <c r="E73" s="40">
        <f>SUM(E74+E79)</f>
        <v>7455</v>
      </c>
      <c r="F73" s="40">
        <f>SUM(F74+F79)</f>
        <v>0</v>
      </c>
      <c r="G73" s="318">
        <f>SUM(G74+G79)</f>
        <v>7455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2:36" ht="15" x14ac:dyDescent="0.25">
      <c r="B74" s="360"/>
      <c r="C74" s="22" t="s">
        <v>435</v>
      </c>
      <c r="D74" s="663"/>
      <c r="E74" s="40">
        <f>SUM(E75+E78)</f>
        <v>7455</v>
      </c>
      <c r="F74" s="40">
        <f>SUM(F75+F78)</f>
        <v>0</v>
      </c>
      <c r="G74" s="318">
        <f>SUM(G75+G78)</f>
        <v>7455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2:36" ht="13.5" hidden="1" customHeight="1" x14ac:dyDescent="0.2">
      <c r="B75" s="304"/>
      <c r="C75" s="29" t="s">
        <v>436</v>
      </c>
      <c r="D75" s="29"/>
      <c r="E75" s="13">
        <f>E76+E77</f>
        <v>0</v>
      </c>
      <c r="F75" s="13">
        <f>F76+F77</f>
        <v>0</v>
      </c>
      <c r="G75" s="317">
        <f>G76+G77</f>
        <v>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2:36" s="308" customFormat="1" ht="13.5" hidden="1" customHeight="1" x14ac:dyDescent="0.2">
      <c r="B76" s="305"/>
      <c r="C76" s="306" t="s">
        <v>822</v>
      </c>
      <c r="D76" s="306"/>
      <c r="E76" s="184"/>
      <c r="F76" s="184"/>
      <c r="G76" s="319">
        <f>SUM(E76:F76)</f>
        <v>0</v>
      </c>
      <c r="H76" s="307"/>
      <c r="I76" s="307"/>
      <c r="J76" s="307"/>
      <c r="K76" s="307"/>
      <c r="L76" s="307"/>
      <c r="M76" s="307"/>
      <c r="N76" s="307"/>
      <c r="O76" s="307"/>
      <c r="P76" s="307"/>
      <c r="Q76" s="307"/>
      <c r="R76" s="307"/>
      <c r="S76" s="307"/>
      <c r="T76" s="307"/>
      <c r="U76" s="307"/>
      <c r="V76" s="307"/>
      <c r="W76" s="307"/>
      <c r="X76" s="307"/>
      <c r="Y76" s="307"/>
      <c r="Z76" s="307"/>
      <c r="AA76" s="307"/>
      <c r="AB76" s="307"/>
      <c r="AC76" s="307"/>
      <c r="AD76" s="307"/>
      <c r="AE76" s="307"/>
      <c r="AF76" s="307"/>
      <c r="AG76" s="307"/>
      <c r="AH76" s="307"/>
      <c r="AI76" s="307"/>
      <c r="AJ76" s="307"/>
    </row>
    <row r="77" spans="2:36" s="308" customFormat="1" ht="13.5" hidden="1" customHeight="1" x14ac:dyDescent="0.2">
      <c r="B77" s="305"/>
      <c r="C77" s="306" t="s">
        <v>823</v>
      </c>
      <c r="D77" s="306"/>
      <c r="E77" s="184">
        <v>0</v>
      </c>
      <c r="F77" s="184"/>
      <c r="G77" s="319">
        <f>SUM(E77:F77)</f>
        <v>0</v>
      </c>
      <c r="H77" s="307"/>
      <c r="I77" s="307"/>
      <c r="J77" s="307"/>
      <c r="K77" s="307"/>
      <c r="L77" s="307"/>
      <c r="M77" s="307"/>
      <c r="N77" s="307"/>
      <c r="O77" s="307"/>
      <c r="P77" s="307"/>
      <c r="Q77" s="307"/>
      <c r="R77" s="307"/>
      <c r="S77" s="307"/>
      <c r="T77" s="307"/>
      <c r="U77" s="307"/>
      <c r="V77" s="307"/>
      <c r="W77" s="307"/>
      <c r="X77" s="307"/>
      <c r="Y77" s="307"/>
      <c r="Z77" s="307"/>
      <c r="AA77" s="307"/>
      <c r="AB77" s="307"/>
      <c r="AC77" s="307"/>
      <c r="AD77" s="307"/>
      <c r="AE77" s="307"/>
      <c r="AF77" s="307"/>
      <c r="AG77" s="307"/>
      <c r="AH77" s="307"/>
      <c r="AI77" s="307"/>
      <c r="AJ77" s="307"/>
    </row>
    <row r="78" spans="2:36" s="308" customFormat="1" ht="13.5" customHeight="1" x14ac:dyDescent="0.2">
      <c r="B78" s="304" t="s">
        <v>1270</v>
      </c>
      <c r="C78" s="29" t="s">
        <v>1241</v>
      </c>
      <c r="D78" s="667" t="s">
        <v>1242</v>
      </c>
      <c r="E78" s="13">
        <v>7455</v>
      </c>
      <c r="F78" s="13">
        <v>0</v>
      </c>
      <c r="G78" s="317">
        <f>E78+F78</f>
        <v>7455</v>
      </c>
      <c r="H78" s="307"/>
      <c r="I78" s="307"/>
      <c r="J78" s="307"/>
      <c r="K78" s="307"/>
      <c r="L78" s="307"/>
      <c r="M78" s="307"/>
      <c r="N78" s="307"/>
      <c r="O78" s="307"/>
      <c r="P78" s="307"/>
      <c r="Q78" s="307"/>
      <c r="R78" s="307"/>
      <c r="S78" s="307"/>
      <c r="T78" s="307"/>
      <c r="U78" s="307"/>
      <c r="V78" s="307"/>
      <c r="W78" s="307"/>
      <c r="X78" s="307"/>
      <c r="Y78" s="307"/>
      <c r="Z78" s="307"/>
      <c r="AA78" s="307"/>
      <c r="AB78" s="307"/>
      <c r="AC78" s="307"/>
      <c r="AD78" s="307"/>
      <c r="AE78" s="307"/>
      <c r="AF78" s="307"/>
      <c r="AG78" s="307"/>
      <c r="AH78" s="307"/>
      <c r="AI78" s="307"/>
      <c r="AJ78" s="307"/>
    </row>
    <row r="79" spans="2:36" ht="15.75" thickBot="1" x14ac:dyDescent="0.3">
      <c r="B79" s="304"/>
      <c r="C79" s="22" t="s">
        <v>438</v>
      </c>
      <c r="D79" s="22"/>
      <c r="E79" s="40">
        <f>SUM(E80:E80)</f>
        <v>0</v>
      </c>
      <c r="F79" s="40">
        <f>SUM(F80:F80)</f>
        <v>0</v>
      </c>
      <c r="G79" s="318">
        <f>SUM(G80:G80)</f>
        <v>0</v>
      </c>
      <c r="H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2:36" ht="13.5" hidden="1" customHeight="1" thickBot="1" x14ac:dyDescent="0.25">
      <c r="B80" s="309"/>
      <c r="C80" s="8" t="s">
        <v>604</v>
      </c>
      <c r="D80" s="12"/>
      <c r="E80" s="76"/>
      <c r="F80" s="12"/>
      <c r="G80" s="317">
        <f>E80+F80</f>
        <v>0</v>
      </c>
      <c r="H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2:36" ht="20.25" thickBot="1" x14ac:dyDescent="0.4">
      <c r="B81" s="310"/>
      <c r="C81" s="45" t="s">
        <v>929</v>
      </c>
      <c r="D81" s="527"/>
      <c r="E81" s="311">
        <f>SUM(E9+E73)</f>
        <v>-71592</v>
      </c>
      <c r="F81" s="311">
        <f>SUM(F9+F73)</f>
        <v>-1547</v>
      </c>
      <c r="G81" s="46">
        <f>SUM(G9+G73)</f>
        <v>-73139</v>
      </c>
      <c r="H81" s="7">
        <f>G81-G210</f>
        <v>0</v>
      </c>
      <c r="I81" s="73"/>
      <c r="K81" s="7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2:36" ht="15.75" x14ac:dyDescent="0.25">
      <c r="B82" s="302" t="s">
        <v>439</v>
      </c>
      <c r="C82" s="214" t="s">
        <v>303</v>
      </c>
      <c r="D82" s="214"/>
      <c r="E82" s="164">
        <f>SUM(E83+E183)</f>
        <v>-79047</v>
      </c>
      <c r="F82" s="164">
        <f>SUM(F83+F183)</f>
        <v>-1547</v>
      </c>
      <c r="G82" s="320">
        <f>SUM(G83+G183)</f>
        <v>-80594</v>
      </c>
      <c r="H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2:36" ht="15" x14ac:dyDescent="0.25">
      <c r="B83" s="303" t="s">
        <v>194</v>
      </c>
      <c r="C83" s="22" t="s">
        <v>8</v>
      </c>
      <c r="D83" s="22"/>
      <c r="E83" s="36">
        <f>SUM(E84:E182)</f>
        <v>-48717</v>
      </c>
      <c r="F83" s="36">
        <f>SUM(F84:F182)</f>
        <v>-1547</v>
      </c>
      <c r="G83" s="316">
        <f>SUM(G84:G182)</f>
        <v>-50264</v>
      </c>
      <c r="H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2:36" ht="13.5" customHeight="1" x14ac:dyDescent="0.2">
      <c r="B84" s="304" t="s">
        <v>440</v>
      </c>
      <c r="C84" s="8" t="s">
        <v>1163</v>
      </c>
      <c r="D84" s="657" t="s">
        <v>956</v>
      </c>
      <c r="E84" s="157"/>
      <c r="F84" s="157">
        <v>-2270</v>
      </c>
      <c r="G84" s="317">
        <f t="shared" ref="G84:G182" si="4">E84+F84</f>
        <v>-2270</v>
      </c>
      <c r="H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2:36" ht="13.5" customHeight="1" x14ac:dyDescent="0.2">
      <c r="B85" s="304" t="s">
        <v>1150</v>
      </c>
      <c r="C85" s="8" t="s">
        <v>1167</v>
      </c>
      <c r="D85" s="657" t="s">
        <v>956</v>
      </c>
      <c r="E85" s="157"/>
      <c r="F85" s="157">
        <v>2795</v>
      </c>
      <c r="G85" s="317">
        <f t="shared" si="4"/>
        <v>2795</v>
      </c>
      <c r="H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2:36" ht="13.5" customHeight="1" x14ac:dyDescent="0.2">
      <c r="B86" s="304" t="s">
        <v>493</v>
      </c>
      <c r="C86" s="8" t="s">
        <v>1168</v>
      </c>
      <c r="D86" s="657" t="s">
        <v>1164</v>
      </c>
      <c r="E86" s="157"/>
      <c r="F86" s="157">
        <v>-1572</v>
      </c>
      <c r="G86" s="317">
        <f t="shared" si="4"/>
        <v>-1572</v>
      </c>
      <c r="H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2:36" ht="13.5" customHeight="1" x14ac:dyDescent="0.2">
      <c r="B87" s="304" t="s">
        <v>493</v>
      </c>
      <c r="C87" s="8" t="s">
        <v>1169</v>
      </c>
      <c r="D87" s="529" t="s">
        <v>956</v>
      </c>
      <c r="E87" s="157"/>
      <c r="F87" s="157">
        <f>-2795-133</f>
        <v>-2928</v>
      </c>
      <c r="G87" s="317">
        <f t="shared" si="4"/>
        <v>-2928</v>
      </c>
      <c r="H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2:36" ht="13.5" customHeight="1" x14ac:dyDescent="0.2">
      <c r="B88" s="304" t="s">
        <v>676</v>
      </c>
      <c r="C88" s="8" t="s">
        <v>1170</v>
      </c>
      <c r="D88" s="529" t="s">
        <v>956</v>
      </c>
      <c r="E88" s="157"/>
      <c r="F88" s="157">
        <f>133+100</f>
        <v>233</v>
      </c>
      <c r="G88" s="317">
        <f t="shared" si="4"/>
        <v>233</v>
      </c>
      <c r="H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2:36" ht="13.5" hidden="1" customHeight="1" x14ac:dyDescent="0.2">
      <c r="B89" s="304" t="s">
        <v>461</v>
      </c>
      <c r="C89" s="8" t="s">
        <v>899</v>
      </c>
      <c r="D89" s="529" t="s">
        <v>956</v>
      </c>
      <c r="E89" s="157"/>
      <c r="F89" s="157"/>
      <c r="G89" s="317">
        <f t="shared" si="4"/>
        <v>0</v>
      </c>
      <c r="H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2:36" ht="13.5" hidden="1" customHeight="1" x14ac:dyDescent="0.2">
      <c r="B90" s="304" t="s">
        <v>457</v>
      </c>
      <c r="C90" s="8" t="s">
        <v>978</v>
      </c>
      <c r="D90" s="529" t="s">
        <v>956</v>
      </c>
      <c r="E90" s="157"/>
      <c r="F90" s="157"/>
      <c r="G90" s="317">
        <f t="shared" si="4"/>
        <v>0</v>
      </c>
      <c r="H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2:36" hidden="1" x14ac:dyDescent="0.2">
      <c r="B91" s="304" t="s">
        <v>583</v>
      </c>
      <c r="C91" s="8" t="s">
        <v>977</v>
      </c>
      <c r="D91" s="529" t="s">
        <v>956</v>
      </c>
      <c r="E91" s="157"/>
      <c r="F91" s="157"/>
      <c r="G91" s="317">
        <f t="shared" si="4"/>
        <v>0</v>
      </c>
      <c r="H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2:36" hidden="1" x14ac:dyDescent="0.2">
      <c r="B92" s="304" t="s">
        <v>460</v>
      </c>
      <c r="C92" s="8" t="s">
        <v>656</v>
      </c>
      <c r="D92" s="529" t="s">
        <v>956</v>
      </c>
      <c r="E92" s="157"/>
      <c r="F92" s="157"/>
      <c r="G92" s="317">
        <f t="shared" si="4"/>
        <v>0</v>
      </c>
      <c r="H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2:36" hidden="1" x14ac:dyDescent="0.2">
      <c r="B93" s="304" t="s">
        <v>460</v>
      </c>
      <c r="C93" s="8" t="s">
        <v>979</v>
      </c>
      <c r="D93" s="529" t="s">
        <v>956</v>
      </c>
      <c r="E93" s="157"/>
      <c r="F93" s="157"/>
      <c r="G93" s="317">
        <f t="shared" si="4"/>
        <v>0</v>
      </c>
      <c r="H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2:36" hidden="1" x14ac:dyDescent="0.2">
      <c r="B94" s="304" t="s">
        <v>441</v>
      </c>
      <c r="C94" s="8" t="s">
        <v>882</v>
      </c>
      <c r="D94" s="529" t="s">
        <v>956</v>
      </c>
      <c r="E94" s="157"/>
      <c r="F94" s="157"/>
      <c r="G94" s="317">
        <f t="shared" si="4"/>
        <v>0</v>
      </c>
      <c r="H94" s="2"/>
      <c r="J94" s="7"/>
      <c r="K94" s="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2:36" x14ac:dyDescent="0.2">
      <c r="B95" s="304" t="s">
        <v>441</v>
      </c>
      <c r="C95" s="8" t="s">
        <v>1171</v>
      </c>
      <c r="D95" s="529" t="s">
        <v>956</v>
      </c>
      <c r="E95" s="157"/>
      <c r="F95" s="157">
        <v>-100</v>
      </c>
      <c r="G95" s="317">
        <f t="shared" si="4"/>
        <v>-100</v>
      </c>
      <c r="H95" s="2"/>
      <c r="J95" s="7"/>
      <c r="K95" s="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2:36" hidden="1" x14ac:dyDescent="0.2">
      <c r="B96" s="304" t="s">
        <v>441</v>
      </c>
      <c r="C96" s="8" t="s">
        <v>684</v>
      </c>
      <c r="D96" s="529" t="s">
        <v>956</v>
      </c>
      <c r="E96" s="157"/>
      <c r="F96" s="157"/>
      <c r="G96" s="317">
        <f t="shared" si="4"/>
        <v>0</v>
      </c>
      <c r="H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2:36" hidden="1" x14ac:dyDescent="0.2">
      <c r="B97" s="304" t="s">
        <v>441</v>
      </c>
      <c r="C97" s="8" t="s">
        <v>680</v>
      </c>
      <c r="D97" s="529" t="s">
        <v>956</v>
      </c>
      <c r="E97" s="157"/>
      <c r="F97" s="157"/>
      <c r="G97" s="317">
        <f t="shared" si="4"/>
        <v>0</v>
      </c>
      <c r="H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2:36" hidden="1" x14ac:dyDescent="0.2">
      <c r="B98" s="304" t="s">
        <v>441</v>
      </c>
      <c r="C98" s="8" t="s">
        <v>594</v>
      </c>
      <c r="D98" s="529" t="s">
        <v>956</v>
      </c>
      <c r="E98" s="157"/>
      <c r="F98" s="157"/>
      <c r="G98" s="317">
        <f t="shared" si="4"/>
        <v>0</v>
      </c>
      <c r="H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2:36" hidden="1" x14ac:dyDescent="0.2">
      <c r="B99" s="304" t="s">
        <v>583</v>
      </c>
      <c r="C99" s="8" t="s">
        <v>883</v>
      </c>
      <c r="D99" s="529" t="s">
        <v>956</v>
      </c>
      <c r="E99" s="157"/>
      <c r="F99" s="157"/>
      <c r="G99" s="317">
        <f t="shared" si="4"/>
        <v>0</v>
      </c>
      <c r="H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2:36" hidden="1" x14ac:dyDescent="0.2">
      <c r="B100" s="304" t="s">
        <v>583</v>
      </c>
      <c r="C100" s="8" t="s">
        <v>884</v>
      </c>
      <c r="D100" s="529" t="s">
        <v>956</v>
      </c>
      <c r="E100" s="157"/>
      <c r="F100" s="157"/>
      <c r="G100" s="317">
        <f t="shared" si="4"/>
        <v>0</v>
      </c>
      <c r="H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2:36" hidden="1" x14ac:dyDescent="0.2">
      <c r="B101" s="304" t="s">
        <v>583</v>
      </c>
      <c r="C101" s="8" t="s">
        <v>898</v>
      </c>
      <c r="D101" s="529" t="s">
        <v>956</v>
      </c>
      <c r="E101" s="157"/>
      <c r="F101" s="157"/>
      <c r="G101" s="317">
        <f t="shared" si="4"/>
        <v>0</v>
      </c>
      <c r="H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2:36" x14ac:dyDescent="0.2">
      <c r="B102" s="304" t="s">
        <v>583</v>
      </c>
      <c r="C102" s="8" t="s">
        <v>885</v>
      </c>
      <c r="D102" s="529" t="s">
        <v>1207</v>
      </c>
      <c r="E102" s="157">
        <v>-1726</v>
      </c>
      <c r="F102" s="157"/>
      <c r="G102" s="317">
        <f t="shared" si="4"/>
        <v>-1726</v>
      </c>
      <c r="H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2:36" x14ac:dyDescent="0.2">
      <c r="B103" s="304" t="s">
        <v>442</v>
      </c>
      <c r="C103" s="8" t="s">
        <v>1165</v>
      </c>
      <c r="D103" s="529" t="s">
        <v>956</v>
      </c>
      <c r="E103" s="157"/>
      <c r="F103" s="157">
        <f>2270+1900</f>
        <v>4170</v>
      </c>
      <c r="G103" s="317">
        <f t="shared" si="4"/>
        <v>4170</v>
      </c>
      <c r="H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2:36" x14ac:dyDescent="0.2">
      <c r="B104" s="304" t="s">
        <v>442</v>
      </c>
      <c r="C104" s="8" t="s">
        <v>1166</v>
      </c>
      <c r="D104" s="529" t="s">
        <v>956</v>
      </c>
      <c r="E104" s="157"/>
      <c r="F104" s="157">
        <v>-1900</v>
      </c>
      <c r="G104" s="317">
        <f t="shared" si="4"/>
        <v>-1900</v>
      </c>
      <c r="H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2:36" x14ac:dyDescent="0.2">
      <c r="B105" s="304" t="s">
        <v>442</v>
      </c>
      <c r="C105" s="8" t="s">
        <v>1236</v>
      </c>
      <c r="D105" s="529" t="s">
        <v>956</v>
      </c>
      <c r="E105" s="157">
        <v>2100</v>
      </c>
      <c r="F105" s="157"/>
      <c r="G105" s="317">
        <f t="shared" si="4"/>
        <v>2100</v>
      </c>
      <c r="H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2:36" s="286" customFormat="1" ht="51" hidden="1" x14ac:dyDescent="0.2">
      <c r="B106" s="312" t="s">
        <v>453</v>
      </c>
      <c r="C106" s="535" t="s">
        <v>943</v>
      </c>
      <c r="D106" s="530" t="s">
        <v>957</v>
      </c>
      <c r="E106" s="157"/>
      <c r="F106" s="157"/>
      <c r="G106" s="358">
        <f t="shared" si="4"/>
        <v>0</v>
      </c>
      <c r="H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</row>
    <row r="107" spans="2:36" hidden="1" x14ac:dyDescent="0.2">
      <c r="B107" s="304" t="s">
        <v>453</v>
      </c>
      <c r="C107" s="8" t="s">
        <v>803</v>
      </c>
      <c r="D107" s="529" t="s">
        <v>956</v>
      </c>
      <c r="E107" s="157"/>
      <c r="F107" s="157"/>
      <c r="G107" s="317">
        <f t="shared" si="4"/>
        <v>0</v>
      </c>
      <c r="H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2:36" x14ac:dyDescent="0.2">
      <c r="B108" s="304" t="s">
        <v>206</v>
      </c>
      <c r="C108" s="8" t="s">
        <v>507</v>
      </c>
      <c r="D108" s="529" t="s">
        <v>1208</v>
      </c>
      <c r="E108" s="157">
        <v>-175</v>
      </c>
      <c r="F108" s="157"/>
      <c r="G108" s="317">
        <f t="shared" si="4"/>
        <v>-175</v>
      </c>
      <c r="H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2:36" ht="12" customHeight="1" x14ac:dyDescent="0.2">
      <c r="B109" s="304" t="s">
        <v>206</v>
      </c>
      <c r="C109" s="8" t="s">
        <v>1235</v>
      </c>
      <c r="D109" s="529" t="s">
        <v>956</v>
      </c>
      <c r="E109" s="157">
        <v>245</v>
      </c>
      <c r="F109" s="157"/>
      <c r="G109" s="317">
        <f t="shared" si="4"/>
        <v>245</v>
      </c>
      <c r="H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2:36" ht="12" customHeight="1" x14ac:dyDescent="0.2">
      <c r="B110" s="304" t="s">
        <v>586</v>
      </c>
      <c r="C110" s="8" t="s">
        <v>1304</v>
      </c>
      <c r="D110" s="529" t="s">
        <v>956</v>
      </c>
      <c r="E110" s="157">
        <v>5</v>
      </c>
      <c r="F110" s="157"/>
      <c r="G110" s="317">
        <f t="shared" si="4"/>
        <v>5</v>
      </c>
      <c r="H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2:36" s="286" customFormat="1" ht="12" customHeight="1" x14ac:dyDescent="0.2">
      <c r="B111" s="312" t="s">
        <v>506</v>
      </c>
      <c r="C111" s="535" t="s">
        <v>1280</v>
      </c>
      <c r="D111" s="530" t="s">
        <v>1279</v>
      </c>
      <c r="E111" s="157">
        <v>3036</v>
      </c>
      <c r="F111" s="157"/>
      <c r="G111" s="358">
        <f t="shared" si="4"/>
        <v>3036</v>
      </c>
      <c r="H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</row>
    <row r="112" spans="2:36" hidden="1" x14ac:dyDescent="0.2">
      <c r="B112" s="304" t="s">
        <v>506</v>
      </c>
      <c r="C112" s="8" t="s">
        <v>887</v>
      </c>
      <c r="D112" s="529" t="s">
        <v>953</v>
      </c>
      <c r="E112" s="157"/>
      <c r="F112" s="157"/>
      <c r="G112" s="317">
        <f t="shared" si="4"/>
        <v>0</v>
      </c>
      <c r="H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2:36" hidden="1" x14ac:dyDescent="0.2">
      <c r="B113" s="304" t="s">
        <v>506</v>
      </c>
      <c r="C113" s="8" t="s">
        <v>686</v>
      </c>
      <c r="D113" s="529" t="s">
        <v>953</v>
      </c>
      <c r="E113" s="157"/>
      <c r="F113" s="157"/>
      <c r="G113" s="317">
        <f t="shared" si="4"/>
        <v>0</v>
      </c>
      <c r="H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2:36" hidden="1" x14ac:dyDescent="0.2">
      <c r="B114" s="304" t="s">
        <v>506</v>
      </c>
      <c r="C114" s="8" t="s">
        <v>688</v>
      </c>
      <c r="D114" s="529" t="s">
        <v>953</v>
      </c>
      <c r="E114" s="157"/>
      <c r="F114" s="157"/>
      <c r="G114" s="317">
        <f t="shared" si="4"/>
        <v>0</v>
      </c>
      <c r="H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2:36" hidden="1" x14ac:dyDescent="0.2">
      <c r="B115" s="304" t="s">
        <v>506</v>
      </c>
      <c r="C115" s="8" t="s">
        <v>799</v>
      </c>
      <c r="D115" s="529" t="s">
        <v>953</v>
      </c>
      <c r="E115" s="157"/>
      <c r="F115" s="157"/>
      <c r="G115" s="317">
        <f t="shared" si="4"/>
        <v>0</v>
      </c>
      <c r="H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2:36" hidden="1" x14ac:dyDescent="0.2">
      <c r="B116" s="304" t="s">
        <v>506</v>
      </c>
      <c r="C116" s="8" t="s">
        <v>798</v>
      </c>
      <c r="D116" s="529" t="s">
        <v>953</v>
      </c>
      <c r="E116" s="157"/>
      <c r="F116" s="157"/>
      <c r="G116" s="317">
        <f t="shared" si="4"/>
        <v>0</v>
      </c>
      <c r="H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2:36" hidden="1" x14ac:dyDescent="0.2">
      <c r="B117" s="304" t="s">
        <v>664</v>
      </c>
      <c r="C117" s="8" t="s">
        <v>890</v>
      </c>
      <c r="D117" s="529" t="s">
        <v>953</v>
      </c>
      <c r="E117" s="157"/>
      <c r="F117" s="157"/>
      <c r="G117" s="317">
        <f t="shared" si="4"/>
        <v>0</v>
      </c>
      <c r="H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2:36" hidden="1" x14ac:dyDescent="0.2">
      <c r="B118" s="304" t="s">
        <v>664</v>
      </c>
      <c r="C118" s="8" t="s">
        <v>801</v>
      </c>
      <c r="D118" s="529" t="s">
        <v>953</v>
      </c>
      <c r="E118" s="157"/>
      <c r="F118" s="157"/>
      <c r="G118" s="317">
        <f t="shared" si="4"/>
        <v>0</v>
      </c>
      <c r="H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2:36" hidden="1" x14ac:dyDescent="0.2">
      <c r="B119" s="304" t="s">
        <v>587</v>
      </c>
      <c r="C119" s="8" t="s">
        <v>800</v>
      </c>
      <c r="D119" s="529" t="s">
        <v>953</v>
      </c>
      <c r="E119" s="157"/>
      <c r="F119" s="157"/>
      <c r="G119" s="317">
        <f t="shared" si="4"/>
        <v>0</v>
      </c>
      <c r="H119" s="2"/>
      <c r="J119" s="7"/>
      <c r="K119" s="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2:36" hidden="1" x14ac:dyDescent="0.2">
      <c r="B120" s="304" t="s">
        <v>808</v>
      </c>
      <c r="C120" s="8" t="s">
        <v>959</v>
      </c>
      <c r="D120" s="529" t="s">
        <v>960</v>
      </c>
      <c r="E120" s="157"/>
      <c r="F120" s="157"/>
      <c r="G120" s="317">
        <f t="shared" si="4"/>
        <v>0</v>
      </c>
      <c r="H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2:36" hidden="1" x14ac:dyDescent="0.2">
      <c r="B121" s="304" t="s">
        <v>584</v>
      </c>
      <c r="C121" s="8" t="s">
        <v>787</v>
      </c>
      <c r="D121" s="8"/>
      <c r="E121" s="157"/>
      <c r="F121" s="157"/>
      <c r="G121" s="317">
        <f t="shared" si="4"/>
        <v>0</v>
      </c>
      <c r="H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2:36" x14ac:dyDescent="0.2">
      <c r="B122" s="304" t="s">
        <v>584</v>
      </c>
      <c r="C122" s="8" t="s">
        <v>280</v>
      </c>
      <c r="D122" s="657" t="s">
        <v>1193</v>
      </c>
      <c r="E122" s="157">
        <v>1000</v>
      </c>
      <c r="F122" s="157"/>
      <c r="G122" s="317">
        <f t="shared" si="4"/>
        <v>1000</v>
      </c>
      <c r="H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2:36" hidden="1" x14ac:dyDescent="0.2">
      <c r="B123" s="304" t="s">
        <v>659</v>
      </c>
      <c r="C123" s="8" t="s">
        <v>896</v>
      </c>
      <c r="D123" s="8"/>
      <c r="E123" s="157"/>
      <c r="F123" s="157"/>
      <c r="G123" s="317">
        <f t="shared" si="4"/>
        <v>0</v>
      </c>
      <c r="H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2:36" x14ac:dyDescent="0.2">
      <c r="B124" s="304" t="s">
        <v>659</v>
      </c>
      <c r="C124" s="8" t="s">
        <v>1244</v>
      </c>
      <c r="D124" s="529" t="s">
        <v>956</v>
      </c>
      <c r="E124" s="157">
        <v>800</v>
      </c>
      <c r="F124" s="157"/>
      <c r="G124" s="317">
        <f t="shared" si="4"/>
        <v>800</v>
      </c>
      <c r="H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2:36" hidden="1" x14ac:dyDescent="0.2">
      <c r="B125" s="304" t="s">
        <v>588</v>
      </c>
      <c r="C125" s="8" t="s">
        <v>809</v>
      </c>
      <c r="D125" s="8"/>
      <c r="E125" s="157"/>
      <c r="F125" s="157"/>
      <c r="G125" s="317">
        <f t="shared" si="4"/>
        <v>0</v>
      </c>
      <c r="H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2:36" x14ac:dyDescent="0.2">
      <c r="B126" s="304" t="s">
        <v>588</v>
      </c>
      <c r="C126" s="8" t="s">
        <v>1160</v>
      </c>
      <c r="D126" s="529" t="s">
        <v>956</v>
      </c>
      <c r="E126" s="157"/>
      <c r="F126" s="157">
        <f>25+165</f>
        <v>190</v>
      </c>
      <c r="G126" s="317">
        <f t="shared" si="4"/>
        <v>190</v>
      </c>
      <c r="H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2:36" x14ac:dyDescent="0.2">
      <c r="B127" s="304" t="s">
        <v>588</v>
      </c>
      <c r="C127" s="8" t="s">
        <v>1217</v>
      </c>
      <c r="D127" s="657" t="s">
        <v>1218</v>
      </c>
      <c r="E127" s="157">
        <v>395</v>
      </c>
      <c r="F127" s="157"/>
      <c r="G127" s="317">
        <f t="shared" si="4"/>
        <v>395</v>
      </c>
      <c r="H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2:36" ht="25.5" hidden="1" x14ac:dyDescent="0.2">
      <c r="B128" s="312" t="s">
        <v>588</v>
      </c>
      <c r="C128" s="19" t="s">
        <v>807</v>
      </c>
      <c r="D128" s="19"/>
      <c r="E128" s="157"/>
      <c r="F128" s="157"/>
      <c r="G128" s="358">
        <f t="shared" si="4"/>
        <v>0</v>
      </c>
      <c r="H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2:36" ht="25.5" hidden="1" x14ac:dyDescent="0.2">
      <c r="B129" s="312" t="s">
        <v>588</v>
      </c>
      <c r="C129" s="19" t="s">
        <v>897</v>
      </c>
      <c r="D129" s="19"/>
      <c r="E129" s="157"/>
      <c r="F129" s="157"/>
      <c r="G129" s="358">
        <f t="shared" si="4"/>
        <v>0</v>
      </c>
      <c r="H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2:36" x14ac:dyDescent="0.2">
      <c r="B130" s="312" t="s">
        <v>601</v>
      </c>
      <c r="C130" s="19" t="s">
        <v>1180</v>
      </c>
      <c r="D130" s="529" t="s">
        <v>958</v>
      </c>
      <c r="E130" s="157">
        <v>2580</v>
      </c>
      <c r="F130" s="157"/>
      <c r="G130" s="358">
        <f t="shared" si="4"/>
        <v>2580</v>
      </c>
      <c r="H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2:36" s="286" customFormat="1" x14ac:dyDescent="0.2">
      <c r="B131" s="312" t="s">
        <v>588</v>
      </c>
      <c r="C131" s="515" t="s">
        <v>1228</v>
      </c>
      <c r="D131" s="529" t="s">
        <v>1227</v>
      </c>
      <c r="E131" s="157">
        <v>-778</v>
      </c>
      <c r="F131" s="157"/>
      <c r="G131" s="358">
        <f t="shared" si="4"/>
        <v>-778</v>
      </c>
      <c r="H131" s="66"/>
      <c r="J131" s="66"/>
      <c r="K131" s="66"/>
      <c r="L131" s="66"/>
      <c r="M131" s="66"/>
      <c r="N131" s="66"/>
      <c r="O131" s="66"/>
      <c r="P131" s="66"/>
      <c r="Q131" s="66"/>
      <c r="R131" s="66"/>
      <c r="S131" s="66"/>
      <c r="T131" s="66"/>
      <c r="U131" s="66"/>
      <c r="V131" s="66"/>
      <c r="W131" s="66"/>
      <c r="X131" s="66"/>
      <c r="Y131" s="66"/>
      <c r="Z131" s="66"/>
      <c r="AA131" s="66"/>
      <c r="AB131" s="66"/>
      <c r="AC131" s="66"/>
      <c r="AD131" s="66"/>
      <c r="AE131" s="66"/>
      <c r="AF131" s="66"/>
      <c r="AG131" s="66"/>
      <c r="AH131" s="66"/>
      <c r="AI131" s="66"/>
      <c r="AJ131" s="66"/>
    </row>
    <row r="132" spans="2:36" x14ac:dyDescent="0.2">
      <c r="B132" s="304" t="s">
        <v>444</v>
      </c>
      <c r="C132" s="8" t="s">
        <v>1161</v>
      </c>
      <c r="D132" s="529" t="s">
        <v>956</v>
      </c>
      <c r="E132" s="157"/>
      <c r="F132" s="157">
        <v>-165</v>
      </c>
      <c r="G132" s="317">
        <f t="shared" si="4"/>
        <v>-165</v>
      </c>
      <c r="H132" s="2"/>
      <c r="J132" s="7"/>
      <c r="K132" s="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2:36" s="286" customFormat="1" ht="38.25" x14ac:dyDescent="0.2">
      <c r="B133" s="312" t="s">
        <v>444</v>
      </c>
      <c r="C133" s="535" t="s">
        <v>1176</v>
      </c>
      <c r="D133" s="530" t="s">
        <v>1177</v>
      </c>
      <c r="E133" s="157">
        <v>2228</v>
      </c>
      <c r="F133" s="157"/>
      <c r="G133" s="358">
        <f t="shared" si="4"/>
        <v>2228</v>
      </c>
      <c r="H133" s="66"/>
      <c r="J133" s="66"/>
      <c r="K133" s="66"/>
      <c r="L133" s="66"/>
      <c r="M133" s="66"/>
      <c r="N133" s="66"/>
      <c r="O133" s="66"/>
      <c r="P133" s="66"/>
      <c r="Q133" s="66"/>
      <c r="R133" s="66"/>
      <c r="S133" s="66"/>
      <c r="T133" s="66"/>
      <c r="U133" s="66"/>
      <c r="V133" s="66"/>
      <c r="W133" s="66"/>
      <c r="X133" s="66"/>
      <c r="Y133" s="66"/>
      <c r="Z133" s="66"/>
      <c r="AA133" s="66"/>
      <c r="AB133" s="66"/>
      <c r="AC133" s="66"/>
      <c r="AD133" s="66"/>
      <c r="AE133" s="66"/>
      <c r="AF133" s="66"/>
      <c r="AG133" s="66"/>
      <c r="AH133" s="66"/>
      <c r="AI133" s="66"/>
      <c r="AJ133" s="66"/>
    </row>
    <row r="134" spans="2:36" hidden="1" x14ac:dyDescent="0.2">
      <c r="B134" s="304" t="s">
        <v>444</v>
      </c>
      <c r="C134" s="8" t="s">
        <v>816</v>
      </c>
      <c r="D134" s="529" t="s">
        <v>956</v>
      </c>
      <c r="E134" s="157"/>
      <c r="F134" s="157"/>
      <c r="G134" s="317">
        <f t="shared" si="4"/>
        <v>0</v>
      </c>
      <c r="H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2:36" hidden="1" x14ac:dyDescent="0.2">
      <c r="B135" s="304" t="s">
        <v>444</v>
      </c>
      <c r="C135" s="8" t="s">
        <v>815</v>
      </c>
      <c r="D135" s="529" t="s">
        <v>956</v>
      </c>
      <c r="E135" s="157"/>
      <c r="F135" s="157"/>
      <c r="G135" s="317">
        <f t="shared" si="4"/>
        <v>0</v>
      </c>
      <c r="H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2:36" s="286" customFormat="1" ht="25.5" x14ac:dyDescent="0.2">
      <c r="B136" s="312" t="s">
        <v>444</v>
      </c>
      <c r="C136" s="535" t="s">
        <v>1178</v>
      </c>
      <c r="D136" s="530" t="s">
        <v>1179</v>
      </c>
      <c r="E136" s="157">
        <v>2200</v>
      </c>
      <c r="F136" s="157"/>
      <c r="G136" s="358">
        <f t="shared" si="4"/>
        <v>2200</v>
      </c>
      <c r="H136" s="66"/>
      <c r="J136" s="66"/>
      <c r="K136" s="66"/>
      <c r="L136" s="66"/>
      <c r="M136" s="66"/>
      <c r="N136" s="66"/>
      <c r="O136" s="66"/>
      <c r="P136" s="66"/>
      <c r="Q136" s="66"/>
      <c r="R136" s="66"/>
      <c r="S136" s="66"/>
      <c r="T136" s="66"/>
      <c r="U136" s="66"/>
      <c r="V136" s="66"/>
      <c r="W136" s="66"/>
      <c r="X136" s="66"/>
      <c r="Y136" s="66"/>
      <c r="Z136" s="66"/>
      <c r="AA136" s="66"/>
      <c r="AB136" s="66"/>
      <c r="AC136" s="66"/>
      <c r="AD136" s="66"/>
      <c r="AE136" s="66"/>
      <c r="AF136" s="66"/>
      <c r="AG136" s="66"/>
      <c r="AH136" s="66"/>
      <c r="AI136" s="66"/>
      <c r="AJ136" s="66"/>
    </row>
    <row r="137" spans="2:36" x14ac:dyDescent="0.2">
      <c r="B137" s="304" t="s">
        <v>444</v>
      </c>
      <c r="C137" s="8" t="s">
        <v>1261</v>
      </c>
      <c r="D137" s="529" t="s">
        <v>1187</v>
      </c>
      <c r="E137" s="157">
        <v>1400</v>
      </c>
      <c r="F137" s="157"/>
      <c r="G137" s="317">
        <f t="shared" si="4"/>
        <v>1400</v>
      </c>
      <c r="H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2:36" x14ac:dyDescent="0.2">
      <c r="B138" s="304" t="s">
        <v>444</v>
      </c>
      <c r="C138" s="8" t="s">
        <v>1238</v>
      </c>
      <c r="D138" s="529" t="s">
        <v>956</v>
      </c>
      <c r="E138" s="157">
        <v>-2100</v>
      </c>
      <c r="F138" s="157"/>
      <c r="G138" s="317">
        <f t="shared" ref="G138" si="5">E138+F138</f>
        <v>-2100</v>
      </c>
      <c r="H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2:36" x14ac:dyDescent="0.2">
      <c r="B139" s="304" t="s">
        <v>444</v>
      </c>
      <c r="C139" s="8" t="s">
        <v>1300</v>
      </c>
      <c r="D139" s="529" t="s">
        <v>956</v>
      </c>
      <c r="E139" s="157">
        <v>1500</v>
      </c>
      <c r="F139" s="157"/>
      <c r="G139" s="317">
        <f t="shared" si="4"/>
        <v>1500</v>
      </c>
      <c r="H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2:36" hidden="1" x14ac:dyDescent="0.2">
      <c r="B140" s="304" t="s">
        <v>444</v>
      </c>
      <c r="C140" s="8" t="s">
        <v>679</v>
      </c>
      <c r="D140" s="529" t="s">
        <v>956</v>
      </c>
      <c r="E140" s="157"/>
      <c r="F140" s="157"/>
      <c r="G140" s="317">
        <f t="shared" si="4"/>
        <v>0</v>
      </c>
      <c r="H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2:36" hidden="1" x14ac:dyDescent="0.2">
      <c r="B141" s="304" t="s">
        <v>444</v>
      </c>
      <c r="C141" s="8" t="s">
        <v>685</v>
      </c>
      <c r="D141" s="529" t="s">
        <v>956</v>
      </c>
      <c r="E141" s="157"/>
      <c r="F141" s="157"/>
      <c r="G141" s="317">
        <f t="shared" si="4"/>
        <v>0</v>
      </c>
      <c r="H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2:36" hidden="1" x14ac:dyDescent="0.2">
      <c r="B142" s="304" t="s">
        <v>444</v>
      </c>
      <c r="C142" s="8" t="s">
        <v>687</v>
      </c>
      <c r="D142" s="529" t="s">
        <v>956</v>
      </c>
      <c r="E142" s="157"/>
      <c r="F142" s="157"/>
      <c r="G142" s="317">
        <f t="shared" si="4"/>
        <v>0</v>
      </c>
      <c r="H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2:36" hidden="1" x14ac:dyDescent="0.2">
      <c r="B143" s="304" t="s">
        <v>444</v>
      </c>
      <c r="C143" s="8" t="s">
        <v>666</v>
      </c>
      <c r="D143" s="529" t="s">
        <v>956</v>
      </c>
      <c r="E143" s="157"/>
      <c r="F143" s="157"/>
      <c r="G143" s="317">
        <f t="shared" si="4"/>
        <v>0</v>
      </c>
      <c r="H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2:36" s="286" customFormat="1" ht="25.5" hidden="1" x14ac:dyDescent="0.2">
      <c r="B144" s="312" t="s">
        <v>445</v>
      </c>
      <c r="C144" s="535" t="s">
        <v>944</v>
      </c>
      <c r="D144" s="667" t="s">
        <v>961</v>
      </c>
      <c r="E144" s="157"/>
      <c r="F144" s="157"/>
      <c r="G144" s="358">
        <f t="shared" si="4"/>
        <v>0</v>
      </c>
      <c r="H144" s="66"/>
      <c r="J144" s="66"/>
      <c r="K144" s="66"/>
      <c r="L144" s="66"/>
      <c r="M144" s="66"/>
      <c r="N144" s="66"/>
      <c r="O144" s="66"/>
      <c r="P144" s="66"/>
      <c r="Q144" s="66"/>
      <c r="R144" s="66"/>
      <c r="S144" s="66"/>
      <c r="T144" s="66"/>
      <c r="U144" s="66"/>
      <c r="V144" s="66"/>
      <c r="W144" s="66"/>
      <c r="X144" s="66"/>
      <c r="Y144" s="66"/>
      <c r="Z144" s="66"/>
      <c r="AA144" s="66"/>
      <c r="AB144" s="66"/>
      <c r="AC144" s="66"/>
      <c r="AD144" s="66"/>
      <c r="AE144" s="66"/>
      <c r="AF144" s="66"/>
      <c r="AG144" s="66"/>
      <c r="AH144" s="66"/>
      <c r="AI144" s="66"/>
      <c r="AJ144" s="66"/>
    </row>
    <row r="145" spans="2:36" x14ac:dyDescent="0.2">
      <c r="B145" s="304" t="s">
        <v>445</v>
      </c>
      <c r="C145" s="8" t="s">
        <v>1172</v>
      </c>
      <c r="D145" s="657" t="s">
        <v>1173</v>
      </c>
      <c r="E145" s="157">
        <v>300</v>
      </c>
      <c r="F145" s="157"/>
      <c r="G145" s="317">
        <f t="shared" si="4"/>
        <v>300</v>
      </c>
      <c r="H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2:36" s="286" customFormat="1" ht="25.5" x14ac:dyDescent="0.2">
      <c r="B146" s="312" t="s">
        <v>445</v>
      </c>
      <c r="C146" s="515" t="s">
        <v>1232</v>
      </c>
      <c r="D146" s="530" t="s">
        <v>1233</v>
      </c>
      <c r="E146" s="157">
        <f>675+406+861</f>
        <v>1942</v>
      </c>
      <c r="F146" s="157"/>
      <c r="G146" s="358">
        <f t="shared" si="4"/>
        <v>1942</v>
      </c>
      <c r="H146" s="66"/>
      <c r="J146" s="66"/>
      <c r="K146" s="66"/>
      <c r="L146" s="66"/>
      <c r="M146" s="66"/>
      <c r="N146" s="66"/>
      <c r="O146" s="66"/>
      <c r="P146" s="66"/>
      <c r="Q146" s="66"/>
      <c r="R146" s="66"/>
      <c r="S146" s="66"/>
      <c r="T146" s="66"/>
      <c r="U146" s="66"/>
      <c r="V146" s="66"/>
      <c r="W146" s="66"/>
      <c r="X146" s="66"/>
      <c r="Y146" s="66"/>
      <c r="Z146" s="66"/>
      <c r="AA146" s="66"/>
      <c r="AB146" s="66"/>
      <c r="AC146" s="66"/>
      <c r="AD146" s="66"/>
      <c r="AE146" s="66"/>
      <c r="AF146" s="66"/>
      <c r="AG146" s="66"/>
      <c r="AH146" s="66"/>
      <c r="AI146" s="66"/>
      <c r="AJ146" s="66"/>
    </row>
    <row r="147" spans="2:36" s="286" customFormat="1" ht="25.5" x14ac:dyDescent="0.2">
      <c r="B147" s="312" t="s">
        <v>445</v>
      </c>
      <c r="C147" s="515" t="s">
        <v>1273</v>
      </c>
      <c r="D147" s="530" t="s">
        <v>1272</v>
      </c>
      <c r="E147" s="157">
        <f>1294+1338</f>
        <v>2632</v>
      </c>
      <c r="F147" s="157"/>
      <c r="G147" s="358">
        <f t="shared" si="4"/>
        <v>2632</v>
      </c>
      <c r="H147" s="66"/>
      <c r="J147" s="66"/>
      <c r="K147" s="66"/>
      <c r="L147" s="66"/>
      <c r="M147" s="66"/>
      <c r="N147" s="66"/>
      <c r="O147" s="66"/>
      <c r="P147" s="66"/>
      <c r="Q147" s="66"/>
      <c r="R147" s="66"/>
      <c r="S147" s="66"/>
      <c r="T147" s="66"/>
      <c r="U147" s="66"/>
      <c r="V147" s="66"/>
      <c r="W147" s="66"/>
      <c r="X147" s="66"/>
      <c r="Y147" s="66"/>
      <c r="Z147" s="66"/>
      <c r="AA147" s="66"/>
      <c r="AB147" s="66"/>
      <c r="AC147" s="66"/>
      <c r="AD147" s="66"/>
      <c r="AE147" s="66"/>
      <c r="AF147" s="66"/>
      <c r="AG147" s="66"/>
      <c r="AH147" s="66"/>
      <c r="AI147" s="66"/>
      <c r="AJ147" s="66"/>
    </row>
    <row r="148" spans="2:36" s="286" customFormat="1" ht="25.5" x14ac:dyDescent="0.2">
      <c r="B148" s="312" t="s">
        <v>445</v>
      </c>
      <c r="C148" s="535" t="s">
        <v>1225</v>
      </c>
      <c r="D148" s="530" t="s">
        <v>1226</v>
      </c>
      <c r="E148" s="157">
        <v>580</v>
      </c>
      <c r="F148" s="157"/>
      <c r="G148" s="358">
        <f t="shared" si="4"/>
        <v>580</v>
      </c>
      <c r="H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</row>
    <row r="149" spans="2:36" x14ac:dyDescent="0.2">
      <c r="B149" s="304" t="s">
        <v>445</v>
      </c>
      <c r="C149" s="8" t="s">
        <v>1245</v>
      </c>
      <c r="D149" s="529" t="s">
        <v>956</v>
      </c>
      <c r="E149" s="157">
        <v>-800</v>
      </c>
      <c r="F149" s="157"/>
      <c r="G149" s="317">
        <f t="shared" si="4"/>
        <v>-800</v>
      </c>
      <c r="H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2:36" x14ac:dyDescent="0.2">
      <c r="B150" s="304" t="s">
        <v>445</v>
      </c>
      <c r="C150" s="8" t="s">
        <v>1282</v>
      </c>
      <c r="D150" s="530" t="s">
        <v>1279</v>
      </c>
      <c r="E150" s="157">
        <v>720</v>
      </c>
      <c r="F150" s="157"/>
      <c r="G150" s="317">
        <f t="shared" si="4"/>
        <v>720</v>
      </c>
      <c r="H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2:36" s="286" customFormat="1" x14ac:dyDescent="0.2">
      <c r="B151" s="312" t="s">
        <v>445</v>
      </c>
      <c r="C151" s="535" t="s">
        <v>1299</v>
      </c>
      <c r="D151" s="529" t="s">
        <v>956</v>
      </c>
      <c r="E151" s="157">
        <v>1569</v>
      </c>
      <c r="F151" s="157"/>
      <c r="G151" s="358">
        <f t="shared" si="4"/>
        <v>1569</v>
      </c>
      <c r="H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66"/>
      <c r="AI151" s="66"/>
      <c r="AJ151" s="66"/>
    </row>
    <row r="152" spans="2:36" hidden="1" x14ac:dyDescent="0.2">
      <c r="B152" s="304" t="s">
        <v>445</v>
      </c>
      <c r="C152" s="8" t="s">
        <v>980</v>
      </c>
      <c r="D152" s="529" t="s">
        <v>956</v>
      </c>
      <c r="E152" s="157"/>
      <c r="F152" s="157"/>
      <c r="G152" s="317">
        <f t="shared" si="4"/>
        <v>0</v>
      </c>
      <c r="H152" s="2"/>
      <c r="J152" s="7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2:36" hidden="1" x14ac:dyDescent="0.2">
      <c r="B153" s="304" t="s">
        <v>445</v>
      </c>
      <c r="C153" s="8" t="s">
        <v>921</v>
      </c>
      <c r="D153" s="529" t="s">
        <v>956</v>
      </c>
      <c r="E153" s="157"/>
      <c r="F153" s="157"/>
      <c r="G153" s="317">
        <f t="shared" si="4"/>
        <v>0</v>
      </c>
      <c r="H153" s="2"/>
      <c r="J153" s="7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2:36" hidden="1" x14ac:dyDescent="0.2">
      <c r="B154" s="304" t="s">
        <v>511</v>
      </c>
      <c r="C154" s="8" t="s">
        <v>945</v>
      </c>
      <c r="D154" s="529" t="s">
        <v>956</v>
      </c>
      <c r="E154" s="157"/>
      <c r="F154" s="157"/>
      <c r="G154" s="317">
        <f t="shared" si="4"/>
        <v>0</v>
      </c>
      <c r="H154" s="2"/>
      <c r="J154" s="7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2:36" s="286" customFormat="1" x14ac:dyDescent="0.2">
      <c r="B155" s="312" t="s">
        <v>446</v>
      </c>
      <c r="C155" s="535" t="s">
        <v>1174</v>
      </c>
      <c r="D155" s="529" t="s">
        <v>1175</v>
      </c>
      <c r="E155" s="157">
        <f>81+594+378+270+182+110+232+346-5</f>
        <v>2188</v>
      </c>
      <c r="F155" s="157"/>
      <c r="G155" s="358">
        <f t="shared" si="4"/>
        <v>2188</v>
      </c>
      <c r="H155" s="66"/>
      <c r="J155" s="366"/>
      <c r="K155" s="66"/>
      <c r="L155" s="668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</row>
    <row r="156" spans="2:36" s="286" customFormat="1" x14ac:dyDescent="0.2">
      <c r="B156" s="312" t="s">
        <v>446</v>
      </c>
      <c r="C156" s="535" t="s">
        <v>1237</v>
      </c>
      <c r="D156" s="529" t="s">
        <v>956</v>
      </c>
      <c r="E156" s="157">
        <v>-245</v>
      </c>
      <c r="F156" s="157"/>
      <c r="G156" s="358">
        <f t="shared" si="4"/>
        <v>-245</v>
      </c>
      <c r="H156" s="66"/>
      <c r="J156" s="366"/>
      <c r="K156" s="66"/>
      <c r="L156" s="668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</row>
    <row r="157" spans="2:36" x14ac:dyDescent="0.2">
      <c r="B157" s="304" t="s">
        <v>447</v>
      </c>
      <c r="C157" s="8" t="s">
        <v>1216</v>
      </c>
      <c r="D157" s="529" t="s">
        <v>956</v>
      </c>
      <c r="E157" s="157">
        <v>-395</v>
      </c>
      <c r="F157" s="157"/>
      <c r="G157" s="317">
        <f t="shared" si="4"/>
        <v>-395</v>
      </c>
      <c r="H157" s="2"/>
      <c r="J157" s="2"/>
      <c r="K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2:36" ht="12.75" customHeight="1" x14ac:dyDescent="0.2">
      <c r="B158" s="304" t="s">
        <v>459</v>
      </c>
      <c r="C158" s="8" t="s">
        <v>1230</v>
      </c>
      <c r="D158" s="664" t="s">
        <v>962</v>
      </c>
      <c r="E158" s="157">
        <v>-19625</v>
      </c>
      <c r="F158" s="157"/>
      <c r="G158" s="317">
        <f t="shared" si="4"/>
        <v>-19625</v>
      </c>
      <c r="H158" s="2"/>
      <c r="J158" s="2"/>
      <c r="K158" s="2"/>
      <c r="L158" s="669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2:36" x14ac:dyDescent="0.2">
      <c r="B159" s="304" t="s">
        <v>459</v>
      </c>
      <c r="C159" s="8" t="s">
        <v>1239</v>
      </c>
      <c r="D159" s="664" t="s">
        <v>953</v>
      </c>
      <c r="E159" s="157">
        <v>-148425</v>
      </c>
      <c r="F159" s="157"/>
      <c r="G159" s="317">
        <f t="shared" si="4"/>
        <v>-148425</v>
      </c>
      <c r="H159" s="2"/>
      <c r="J159" s="2"/>
      <c r="K159" s="2"/>
      <c r="L159" s="66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2:36" ht="12.75" hidden="1" customHeight="1" x14ac:dyDescent="0.2">
      <c r="B160" s="304" t="s">
        <v>965</v>
      </c>
      <c r="C160" s="8" t="s">
        <v>967</v>
      </c>
      <c r="D160" s="664" t="s">
        <v>962</v>
      </c>
      <c r="E160" s="157"/>
      <c r="F160" s="157"/>
      <c r="G160" s="317">
        <f t="shared" si="4"/>
        <v>0</v>
      </c>
      <c r="H160" s="2"/>
      <c r="I160" s="2"/>
      <c r="J160" s="2"/>
      <c r="K160" s="2"/>
      <c r="L160" s="66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2:36" hidden="1" x14ac:dyDescent="0.2">
      <c r="B161" s="304" t="s">
        <v>585</v>
      </c>
      <c r="C161" s="8" t="s">
        <v>946</v>
      </c>
      <c r="D161" s="664" t="s">
        <v>962</v>
      </c>
      <c r="E161" s="157"/>
      <c r="F161" s="157"/>
      <c r="G161" s="317">
        <f t="shared" si="4"/>
        <v>0</v>
      </c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2:36" ht="25.5" hidden="1" x14ac:dyDescent="0.2">
      <c r="B162" s="312" t="s">
        <v>873</v>
      </c>
      <c r="C162" s="515" t="s">
        <v>889</v>
      </c>
      <c r="D162" s="515"/>
      <c r="E162" s="157"/>
      <c r="F162" s="157"/>
      <c r="G162" s="358">
        <f t="shared" si="4"/>
        <v>0</v>
      </c>
      <c r="H162" s="2"/>
      <c r="I162" s="7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2:36" x14ac:dyDescent="0.2">
      <c r="B163" s="312" t="s">
        <v>448</v>
      </c>
      <c r="C163" s="15" t="s">
        <v>1189</v>
      </c>
      <c r="D163" s="529" t="s">
        <v>963</v>
      </c>
      <c r="E163" s="157">
        <v>404</v>
      </c>
      <c r="F163" s="157"/>
      <c r="G163" s="317">
        <f t="shared" si="4"/>
        <v>404</v>
      </c>
      <c r="H163" s="2"/>
      <c r="I163" s="7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2:36" ht="25.5" hidden="1" x14ac:dyDescent="0.2">
      <c r="B164" s="312" t="s">
        <v>448</v>
      </c>
      <c r="C164" s="15" t="s">
        <v>987</v>
      </c>
      <c r="D164" s="665" t="s">
        <v>988</v>
      </c>
      <c r="E164" s="157"/>
      <c r="F164" s="157"/>
      <c r="G164" s="358">
        <f t="shared" si="4"/>
        <v>0</v>
      </c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2:36" hidden="1" x14ac:dyDescent="0.2">
      <c r="B165" s="312" t="s">
        <v>448</v>
      </c>
      <c r="C165" s="19" t="s">
        <v>941</v>
      </c>
      <c r="D165" s="664" t="s">
        <v>953</v>
      </c>
      <c r="E165" s="157"/>
      <c r="F165" s="157"/>
      <c r="G165" s="317">
        <f t="shared" si="4"/>
        <v>0</v>
      </c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2:36" s="286" customFormat="1" x14ac:dyDescent="0.2">
      <c r="B166" s="312" t="s">
        <v>448</v>
      </c>
      <c r="C166" s="15" t="s">
        <v>1195</v>
      </c>
      <c r="D166" s="667" t="s">
        <v>964</v>
      </c>
      <c r="E166" s="157">
        <v>6503</v>
      </c>
      <c r="F166" s="157"/>
      <c r="G166" s="358">
        <f t="shared" si="4"/>
        <v>6503</v>
      </c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66"/>
      <c r="T166" s="66"/>
      <c r="U166" s="66"/>
      <c r="V166" s="66"/>
      <c r="W166" s="66"/>
      <c r="X166" s="66"/>
      <c r="Y166" s="66"/>
      <c r="Z166" s="66"/>
      <c r="AA166" s="66"/>
      <c r="AB166" s="66"/>
      <c r="AC166" s="66"/>
      <c r="AD166" s="66"/>
      <c r="AE166" s="66"/>
      <c r="AF166" s="66"/>
      <c r="AG166" s="66"/>
      <c r="AH166" s="66"/>
      <c r="AI166" s="66"/>
      <c r="AJ166" s="66"/>
    </row>
    <row r="167" spans="2:36" x14ac:dyDescent="0.2">
      <c r="B167" s="312" t="s">
        <v>448</v>
      </c>
      <c r="C167" s="19" t="s">
        <v>1203</v>
      </c>
      <c r="D167" s="530" t="s">
        <v>1204</v>
      </c>
      <c r="E167" s="157">
        <v>1013</v>
      </c>
      <c r="F167" s="157"/>
      <c r="G167" s="358">
        <f t="shared" si="4"/>
        <v>1013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2:36" x14ac:dyDescent="0.2">
      <c r="B168" s="312" t="s">
        <v>448</v>
      </c>
      <c r="C168" s="8" t="s">
        <v>1196</v>
      </c>
      <c r="D168" s="752" t="s">
        <v>1197</v>
      </c>
      <c r="E168" s="157">
        <v>-61</v>
      </c>
      <c r="F168" s="157"/>
      <c r="G168" s="317">
        <f t="shared" si="4"/>
        <v>-61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2:36" hidden="1" x14ac:dyDescent="0.2">
      <c r="B169" s="312" t="s">
        <v>448</v>
      </c>
      <c r="C169" s="15" t="s">
        <v>662</v>
      </c>
      <c r="D169" s="15"/>
      <c r="E169" s="157"/>
      <c r="F169" s="157"/>
      <c r="G169" s="317">
        <f t="shared" si="4"/>
        <v>0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2:36" hidden="1" x14ac:dyDescent="0.2">
      <c r="B170" s="312" t="s">
        <v>448</v>
      </c>
      <c r="C170" s="15" t="s">
        <v>597</v>
      </c>
      <c r="D170" s="15"/>
      <c r="E170" s="157"/>
      <c r="F170" s="157"/>
      <c r="G170" s="317">
        <f t="shared" si="4"/>
        <v>0</v>
      </c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2:36" ht="12" hidden="1" customHeight="1" x14ac:dyDescent="0.2">
      <c r="B171" s="312" t="s">
        <v>448</v>
      </c>
      <c r="C171" s="15" t="s">
        <v>581</v>
      </c>
      <c r="D171" s="15"/>
      <c r="E171" s="13"/>
      <c r="F171" s="13"/>
      <c r="G171" s="317">
        <f t="shared" si="4"/>
        <v>0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2:36" ht="12" hidden="1" customHeight="1" x14ac:dyDescent="0.2">
      <c r="B172" s="312" t="s">
        <v>448</v>
      </c>
      <c r="C172" s="8" t="s">
        <v>496</v>
      </c>
      <c r="D172" s="8"/>
      <c r="E172" s="13"/>
      <c r="F172" s="13"/>
      <c r="G172" s="317">
        <f t="shared" si="4"/>
        <v>0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2:36" ht="12" hidden="1" customHeight="1" x14ac:dyDescent="0.2">
      <c r="B173" s="312" t="s">
        <v>448</v>
      </c>
      <c r="C173" s="8" t="s">
        <v>508</v>
      </c>
      <c r="D173" s="8"/>
      <c r="E173" s="13"/>
      <c r="F173" s="13"/>
      <c r="G173" s="317">
        <f t="shared" si="4"/>
        <v>0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2:36" ht="12" hidden="1" customHeight="1" x14ac:dyDescent="0.2">
      <c r="B174" s="312" t="s">
        <v>448</v>
      </c>
      <c r="C174" s="8" t="s">
        <v>789</v>
      </c>
      <c r="D174" s="8"/>
      <c r="E174" s="13"/>
      <c r="F174" s="13"/>
      <c r="G174" s="317">
        <f t="shared" si="4"/>
        <v>0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2:36" s="286" customFormat="1" ht="25.5" x14ac:dyDescent="0.2">
      <c r="B175" s="312" t="s">
        <v>449</v>
      </c>
      <c r="C175" s="15" t="s">
        <v>1182</v>
      </c>
      <c r="D175" s="530" t="s">
        <v>1215</v>
      </c>
      <c r="E175" s="157">
        <v>901</v>
      </c>
      <c r="F175" s="157"/>
      <c r="G175" s="358">
        <f t="shared" si="4"/>
        <v>901</v>
      </c>
      <c r="H175" s="66"/>
      <c r="I175" s="66"/>
      <c r="J175" s="66"/>
      <c r="K175" s="66"/>
      <c r="L175" s="66"/>
      <c r="M175" s="66"/>
      <c r="N175" s="66"/>
      <c r="O175" s="66"/>
      <c r="P175" s="66"/>
      <c r="Q175" s="66"/>
      <c r="R175" s="66"/>
      <c r="S175" s="66"/>
      <c r="T175" s="66"/>
      <c r="U175" s="66"/>
      <c r="V175" s="66"/>
      <c r="W175" s="66"/>
      <c r="X175" s="66"/>
      <c r="Y175" s="66"/>
      <c r="Z175" s="66"/>
      <c r="AA175" s="66"/>
      <c r="AB175" s="66"/>
      <c r="AC175" s="66"/>
      <c r="AD175" s="66"/>
      <c r="AE175" s="66"/>
      <c r="AF175" s="66"/>
      <c r="AG175" s="66"/>
      <c r="AH175" s="66"/>
      <c r="AI175" s="66"/>
      <c r="AJ175" s="66"/>
    </row>
    <row r="176" spans="2:36" x14ac:dyDescent="0.2">
      <c r="B176" s="304" t="s">
        <v>449</v>
      </c>
      <c r="C176" s="15" t="s">
        <v>1183</v>
      </c>
      <c r="D176" s="529" t="s">
        <v>1184</v>
      </c>
      <c r="E176" s="13">
        <v>3970</v>
      </c>
      <c r="F176" s="13"/>
      <c r="G176" s="317">
        <f t="shared" si="4"/>
        <v>3970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2:36" hidden="1" x14ac:dyDescent="0.2">
      <c r="B177" s="304" t="s">
        <v>449</v>
      </c>
      <c r="C177" s="8" t="s">
        <v>901</v>
      </c>
      <c r="D177" s="529" t="s">
        <v>926</v>
      </c>
      <c r="E177" s="13"/>
      <c r="F177" s="13"/>
      <c r="G177" s="317">
        <f t="shared" si="4"/>
        <v>0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2:36" hidden="1" x14ac:dyDescent="0.2">
      <c r="B178" s="304" t="s">
        <v>449</v>
      </c>
      <c r="C178" s="20" t="s">
        <v>810</v>
      </c>
      <c r="D178" s="20"/>
      <c r="E178" s="13"/>
      <c r="F178" s="13"/>
      <c r="G178" s="317">
        <f t="shared" si="4"/>
        <v>0</v>
      </c>
      <c r="H178" s="2"/>
      <c r="I178" s="7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2:36" ht="13.5" customHeight="1" x14ac:dyDescent="0.2">
      <c r="B179" s="304" t="s">
        <v>450</v>
      </c>
      <c r="C179" s="8" t="s">
        <v>603</v>
      </c>
      <c r="D179" s="529" t="s">
        <v>966</v>
      </c>
      <c r="E179" s="13">
        <f>-381-2228-2794+586-901-3970+5000+24481-1778-1013+628+1553+67423-1204</f>
        <v>85402</v>
      </c>
      <c r="F179" s="13"/>
      <c r="G179" s="317">
        <f t="shared" si="4"/>
        <v>85402</v>
      </c>
      <c r="H179" s="2"/>
      <c r="I179" s="7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2:36" ht="13.5" hidden="1" customHeight="1" x14ac:dyDescent="0.2">
      <c r="B180" s="304" t="s">
        <v>450</v>
      </c>
      <c r="C180" s="8" t="s">
        <v>871</v>
      </c>
      <c r="D180" s="8"/>
      <c r="E180" s="13">
        <v>0</v>
      </c>
      <c r="F180" s="13"/>
      <c r="G180" s="317">
        <f t="shared" si="4"/>
        <v>0</v>
      </c>
      <c r="H180" s="2"/>
      <c r="I180" s="7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2:36" ht="13.5" hidden="1" customHeight="1" x14ac:dyDescent="0.2">
      <c r="B181" s="304" t="s">
        <v>450</v>
      </c>
      <c r="C181" s="8" t="s">
        <v>814</v>
      </c>
      <c r="D181" s="8"/>
      <c r="E181" s="13"/>
      <c r="F181" s="13"/>
      <c r="G181" s="317">
        <f t="shared" si="4"/>
        <v>0</v>
      </c>
      <c r="H181" s="2"/>
      <c r="I181" s="7">
        <f>G179+G180+G181</f>
        <v>85402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2:36" ht="13.5" hidden="1" customHeight="1" x14ac:dyDescent="0.2">
      <c r="B182" s="304" t="s">
        <v>450</v>
      </c>
      <c r="C182" s="8" t="s">
        <v>813</v>
      </c>
      <c r="D182" s="8"/>
      <c r="E182" s="13"/>
      <c r="F182" s="13"/>
      <c r="G182" s="317">
        <f t="shared" si="4"/>
        <v>0</v>
      </c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2:36" ht="15" x14ac:dyDescent="0.25">
      <c r="B183" s="303" t="s">
        <v>928</v>
      </c>
      <c r="C183" s="22" t="s">
        <v>216</v>
      </c>
      <c r="D183" s="22"/>
      <c r="E183" s="40">
        <f>SUM(E184:E203)+E206+E207</f>
        <v>-30330</v>
      </c>
      <c r="F183" s="40">
        <f>SUM(F184:F203)+F206</f>
        <v>0</v>
      </c>
      <c r="G183" s="318">
        <f>SUM(G184:G203)+G206+G207</f>
        <v>-30330</v>
      </c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2:36" s="286" customFormat="1" hidden="1" x14ac:dyDescent="0.2">
      <c r="B184" s="312" t="s">
        <v>240</v>
      </c>
      <c r="C184" s="8" t="s">
        <v>976</v>
      </c>
      <c r="D184" s="529" t="s">
        <v>956</v>
      </c>
      <c r="E184" s="13"/>
      <c r="F184" s="157"/>
      <c r="G184" s="317">
        <f t="shared" ref="G184:G209" si="6">E184+F184</f>
        <v>0</v>
      </c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</row>
    <row r="185" spans="2:36" s="48" customFormat="1" ht="13.5" customHeight="1" x14ac:dyDescent="0.2">
      <c r="B185" s="312" t="s">
        <v>240</v>
      </c>
      <c r="C185" s="8" t="s">
        <v>1275</v>
      </c>
      <c r="D185" s="529" t="s">
        <v>1229</v>
      </c>
      <c r="E185" s="13">
        <v>778</v>
      </c>
      <c r="F185" s="13"/>
      <c r="G185" s="317">
        <f t="shared" si="6"/>
        <v>778</v>
      </c>
      <c r="H185" s="7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2:36" s="660" customFormat="1" ht="51" hidden="1" x14ac:dyDescent="0.2">
      <c r="B186" s="312" t="s">
        <v>316</v>
      </c>
      <c r="C186" s="535" t="s">
        <v>975</v>
      </c>
      <c r="D186" s="530" t="s">
        <v>983</v>
      </c>
      <c r="E186" s="157"/>
      <c r="F186" s="157"/>
      <c r="G186" s="358">
        <f t="shared" si="6"/>
        <v>0</v>
      </c>
      <c r="H186" s="3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</row>
    <row r="187" spans="2:36" s="48" customFormat="1" hidden="1" x14ac:dyDescent="0.2">
      <c r="B187" s="312" t="s">
        <v>240</v>
      </c>
      <c r="C187" s="8" t="s">
        <v>900</v>
      </c>
      <c r="D187" s="529" t="s">
        <v>926</v>
      </c>
      <c r="E187" s="13"/>
      <c r="F187" s="13"/>
      <c r="G187" s="317">
        <f t="shared" si="6"/>
        <v>0</v>
      </c>
      <c r="H187" s="7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2:36" s="48" customFormat="1" hidden="1" x14ac:dyDescent="0.2">
      <c r="B188" s="312" t="s">
        <v>240</v>
      </c>
      <c r="C188" s="8" t="s">
        <v>791</v>
      </c>
      <c r="D188" s="8"/>
      <c r="E188" s="13"/>
      <c r="F188" s="13"/>
      <c r="G188" s="317">
        <f t="shared" si="6"/>
        <v>0</v>
      </c>
      <c r="H188" s="7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2:36" s="48" customFormat="1" ht="13.5" hidden="1" customHeight="1" x14ac:dyDescent="0.2">
      <c r="B189" s="312" t="s">
        <v>240</v>
      </c>
      <c r="C189" s="8" t="s">
        <v>792</v>
      </c>
      <c r="D189" s="8"/>
      <c r="E189" s="13"/>
      <c r="F189" s="13"/>
      <c r="G189" s="317">
        <f t="shared" si="6"/>
        <v>0</v>
      </c>
      <c r="H189" s="7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2:36" s="48" customFormat="1" x14ac:dyDescent="0.2">
      <c r="B190" s="312" t="s">
        <v>316</v>
      </c>
      <c r="C190" s="8" t="s">
        <v>1231</v>
      </c>
      <c r="D190" s="664" t="s">
        <v>962</v>
      </c>
      <c r="E190" s="13">
        <v>-47798</v>
      </c>
      <c r="F190" s="13"/>
      <c r="G190" s="317">
        <f t="shared" si="6"/>
        <v>-47798</v>
      </c>
      <c r="H190" s="7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2:36" s="48" customFormat="1" x14ac:dyDescent="0.2">
      <c r="B191" s="312" t="s">
        <v>316</v>
      </c>
      <c r="C191" s="8" t="s">
        <v>1298</v>
      </c>
      <c r="D191" s="667" t="s">
        <v>956</v>
      </c>
      <c r="E191" s="13">
        <v>-3069</v>
      </c>
      <c r="F191" s="13"/>
      <c r="G191" s="317">
        <f t="shared" si="6"/>
        <v>-3069</v>
      </c>
      <c r="H191" s="7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2:36" s="48" customFormat="1" ht="15" customHeight="1" x14ac:dyDescent="0.2">
      <c r="B192" s="312" t="s">
        <v>316</v>
      </c>
      <c r="C192" s="515" t="s">
        <v>1234</v>
      </c>
      <c r="D192" s="667" t="s">
        <v>956</v>
      </c>
      <c r="E192" s="13">
        <f>-2466</f>
        <v>-2466</v>
      </c>
      <c r="F192" s="13"/>
      <c r="G192" s="317">
        <f t="shared" si="6"/>
        <v>-2466</v>
      </c>
      <c r="H192" s="7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2:36" s="48" customFormat="1" ht="13.5" hidden="1" customHeight="1" x14ac:dyDescent="0.2">
      <c r="B193" s="312" t="s">
        <v>316</v>
      </c>
      <c r="C193" s="8" t="s">
        <v>811</v>
      </c>
      <c r="D193" s="8"/>
      <c r="E193" s="13"/>
      <c r="F193" s="13"/>
      <c r="G193" s="317">
        <f t="shared" si="6"/>
        <v>0</v>
      </c>
      <c r="H193" s="7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2:36" s="48" customFormat="1" ht="13.5" hidden="1" customHeight="1" x14ac:dyDescent="0.2">
      <c r="B194" s="312" t="s">
        <v>316</v>
      </c>
      <c r="C194" s="8" t="s">
        <v>817</v>
      </c>
      <c r="D194" s="8"/>
      <c r="E194" s="13"/>
      <c r="F194" s="13"/>
      <c r="G194" s="317">
        <f t="shared" si="6"/>
        <v>0</v>
      </c>
      <c r="H194" s="7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2:36" s="48" customFormat="1" ht="13.5" hidden="1" customHeight="1" x14ac:dyDescent="0.2">
      <c r="B195" s="312" t="s">
        <v>316</v>
      </c>
      <c r="C195" s="8" t="s">
        <v>654</v>
      </c>
      <c r="D195" s="8"/>
      <c r="E195" s="13"/>
      <c r="F195" s="13"/>
      <c r="G195" s="317">
        <f t="shared" si="6"/>
        <v>0</v>
      </c>
      <c r="H195" s="7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2:36" s="48" customFormat="1" ht="13.5" hidden="1" customHeight="1" x14ac:dyDescent="0.2">
      <c r="B196" s="312" t="s">
        <v>316</v>
      </c>
      <c r="C196" s="8" t="s">
        <v>602</v>
      </c>
      <c r="D196" s="8"/>
      <c r="E196" s="13"/>
      <c r="F196" s="13"/>
      <c r="G196" s="317">
        <f t="shared" si="6"/>
        <v>0</v>
      </c>
      <c r="H196" s="7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2:36" s="48" customFormat="1" ht="13.5" hidden="1" customHeight="1" x14ac:dyDescent="0.2">
      <c r="B197" s="312"/>
      <c r="C197" s="8"/>
      <c r="D197" s="8"/>
      <c r="E197" s="13"/>
      <c r="F197" s="13"/>
      <c r="G197" s="317">
        <f t="shared" si="6"/>
        <v>0</v>
      </c>
      <c r="H197" s="7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2:36" s="48" customFormat="1" hidden="1" x14ac:dyDescent="0.2">
      <c r="B198" s="312"/>
      <c r="C198" s="19" t="s">
        <v>497</v>
      </c>
      <c r="D198" s="19"/>
      <c r="E198" s="13"/>
      <c r="F198" s="13"/>
      <c r="G198" s="317">
        <f t="shared" si="6"/>
        <v>0</v>
      </c>
      <c r="H198" s="7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2:36" s="48" customFormat="1" ht="13.5" hidden="1" customHeight="1" x14ac:dyDescent="0.2">
      <c r="B199" s="312"/>
      <c r="C199" s="8"/>
      <c r="D199" s="8"/>
      <c r="E199" s="13"/>
      <c r="F199" s="13"/>
      <c r="G199" s="317">
        <f t="shared" si="6"/>
        <v>0</v>
      </c>
      <c r="H199" s="7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2:36" s="48" customFormat="1" ht="13.5" hidden="1" customHeight="1" x14ac:dyDescent="0.2">
      <c r="B200" s="312" t="s">
        <v>452</v>
      </c>
      <c r="C200" s="8" t="s">
        <v>454</v>
      </c>
      <c r="D200" s="8"/>
      <c r="E200" s="13"/>
      <c r="F200" s="13"/>
      <c r="G200" s="317">
        <f t="shared" si="6"/>
        <v>0</v>
      </c>
      <c r="H200" s="7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2:36" s="48" customFormat="1" ht="13.5" hidden="1" customHeight="1" x14ac:dyDescent="0.2">
      <c r="B201" s="312" t="s">
        <v>452</v>
      </c>
      <c r="C201" s="8" t="s">
        <v>455</v>
      </c>
      <c r="D201" s="8"/>
      <c r="E201" s="13"/>
      <c r="F201" s="13"/>
      <c r="G201" s="317">
        <f t="shared" si="6"/>
        <v>0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2:36" s="48" customFormat="1" ht="13.5" hidden="1" customHeight="1" x14ac:dyDescent="0.2">
      <c r="B202" s="312" t="s">
        <v>452</v>
      </c>
      <c r="C202" s="8" t="s">
        <v>456</v>
      </c>
      <c r="D202" s="8"/>
      <c r="E202" s="13"/>
      <c r="F202" s="13"/>
      <c r="G202" s="317">
        <f t="shared" si="6"/>
        <v>0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2:36" s="48" customFormat="1" ht="13.5" customHeight="1" x14ac:dyDescent="0.25">
      <c r="B203" s="304" t="s">
        <v>315</v>
      </c>
      <c r="C203" s="313" t="s">
        <v>590</v>
      </c>
      <c r="D203" s="313"/>
      <c r="E203" s="151">
        <f>SUM(E204:E205)</f>
        <v>22225</v>
      </c>
      <c r="F203" s="151">
        <f>SUM(F204:F205)</f>
        <v>0</v>
      </c>
      <c r="G203" s="321">
        <f>SUM(G204:G205)</f>
        <v>22225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2:36" s="660" customFormat="1" ht="25.5" x14ac:dyDescent="0.2">
      <c r="B204" s="312" t="s">
        <v>592</v>
      </c>
      <c r="C204" s="515" t="s">
        <v>1214</v>
      </c>
      <c r="D204" s="667" t="s">
        <v>1276</v>
      </c>
      <c r="E204" s="157">
        <v>22225</v>
      </c>
      <c r="F204" s="157"/>
      <c r="G204" s="358">
        <f t="shared" si="6"/>
        <v>22225</v>
      </c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</row>
    <row r="205" spans="2:36" s="48" customFormat="1" ht="13.5" hidden="1" customHeight="1" x14ac:dyDescent="0.2">
      <c r="B205" s="304" t="s">
        <v>592</v>
      </c>
      <c r="C205" s="19" t="s">
        <v>824</v>
      </c>
      <c r="D205" s="19"/>
      <c r="E205" s="13"/>
      <c r="F205" s="13"/>
      <c r="G205" s="317">
        <f t="shared" si="6"/>
        <v>0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2:36" s="48" customFormat="1" ht="13.5" hidden="1" customHeight="1" x14ac:dyDescent="0.2">
      <c r="B206" s="304"/>
      <c r="C206" s="8" t="s">
        <v>672</v>
      </c>
      <c r="D206" s="8"/>
      <c r="E206" s="13"/>
      <c r="F206" s="13"/>
      <c r="G206" s="317">
        <f t="shared" si="6"/>
        <v>0</v>
      </c>
      <c r="H206" s="2"/>
      <c r="I206" s="7" t="e">
        <f>'[5]3.felh'!H99</f>
        <v>#REF!</v>
      </c>
      <c r="J206" s="2"/>
      <c r="K206" s="7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2:36" s="48" customFormat="1" ht="13.5" hidden="1" customHeight="1" x14ac:dyDescent="0.2">
      <c r="B207" s="304"/>
      <c r="C207" s="8" t="s">
        <v>451</v>
      </c>
      <c r="D207" s="8"/>
      <c r="E207" s="13"/>
      <c r="F207" s="13"/>
      <c r="G207" s="317">
        <f t="shared" si="6"/>
        <v>0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2:36" ht="16.5" customHeight="1" x14ac:dyDescent="0.25">
      <c r="B208" s="303" t="s">
        <v>196</v>
      </c>
      <c r="C208" s="177" t="s">
        <v>306</v>
      </c>
      <c r="D208" s="177"/>
      <c r="E208" s="41">
        <f>SUM(E209:E209)</f>
        <v>7455</v>
      </c>
      <c r="F208" s="41">
        <f>SUM(F209:F209)</f>
        <v>0</v>
      </c>
      <c r="G208" s="322">
        <f>SUM(G209:G209)</f>
        <v>7455</v>
      </c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2:36" s="48" customFormat="1" ht="13.5" customHeight="1" thickBot="1" x14ac:dyDescent="0.25">
      <c r="B209" s="309" t="s">
        <v>1254</v>
      </c>
      <c r="C209" s="8" t="s">
        <v>1240</v>
      </c>
      <c r="D209" s="753" t="s">
        <v>1243</v>
      </c>
      <c r="E209" s="13">
        <v>7455</v>
      </c>
      <c r="F209" s="12"/>
      <c r="G209" s="317">
        <f t="shared" si="6"/>
        <v>7455</v>
      </c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2:36" ht="20.25" thickBot="1" x14ac:dyDescent="0.4">
      <c r="B210" s="310"/>
      <c r="C210" s="314" t="s">
        <v>930</v>
      </c>
      <c r="D210" s="528"/>
      <c r="E210" s="311">
        <f>SUM(E82+E208)</f>
        <v>-71592</v>
      </c>
      <c r="F210" s="311">
        <f>SUM(F82+F208)</f>
        <v>-1547</v>
      </c>
      <c r="G210" s="46">
        <f>SUM(G82+G208)</f>
        <v>-73139</v>
      </c>
      <c r="H210" s="7">
        <f>G81-G210</f>
        <v>0</v>
      </c>
      <c r="I210" s="7"/>
      <c r="J210" s="7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2:36" ht="5.25" customHeight="1" x14ac:dyDescent="0.2">
      <c r="G211" s="7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2:36" ht="15.75" hidden="1" customHeight="1" x14ac:dyDescent="0.2">
      <c r="E212" s="73">
        <f>E81-E210</f>
        <v>0</v>
      </c>
      <c r="F212" s="73">
        <f>F81-F210</f>
        <v>0</v>
      </c>
      <c r="G212" s="73">
        <f>G81-G210</f>
        <v>0</v>
      </c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2:36" ht="15.75" hidden="1" customHeight="1" x14ac:dyDescent="0.2">
      <c r="C213" t="s">
        <v>513</v>
      </c>
      <c r="F213" s="73">
        <f>SUM(F210-F81)</f>
        <v>0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2:36" ht="15.75" hidden="1" customHeight="1" x14ac:dyDescent="0.2"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2:36" ht="15.75" customHeight="1" x14ac:dyDescent="0.2">
      <c r="B21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2:36" ht="15.75" customHeight="1" x14ac:dyDescent="0.2">
      <c r="B21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2:36" ht="15.75" customHeight="1" x14ac:dyDescent="0.2">
      <c r="B21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2:36" ht="15.75" customHeight="1" x14ac:dyDescent="0.2">
      <c r="B218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2:36" ht="15.75" customHeight="1" x14ac:dyDescent="0.2">
      <c r="B219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2:36" ht="15.75" customHeight="1" x14ac:dyDescent="0.2">
      <c r="B22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2:36" ht="15.75" customHeight="1" x14ac:dyDescent="0.2">
      <c r="B221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2:36" ht="15.75" customHeight="1" x14ac:dyDescent="0.2">
      <c r="B22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2:36" ht="15.75" customHeight="1" x14ac:dyDescent="0.2">
      <c r="B22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2:36" ht="15.75" customHeight="1" x14ac:dyDescent="0.2">
      <c r="B22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2:36" ht="15.75" customHeight="1" x14ac:dyDescent="0.2">
      <c r="B22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2:36" ht="15.75" customHeight="1" x14ac:dyDescent="0.2">
      <c r="B2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2:36" ht="15.75" customHeight="1" x14ac:dyDescent="0.2">
      <c r="B22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2:36" ht="15.75" customHeight="1" x14ac:dyDescent="0.2">
      <c r="B228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2:36" ht="15.75" customHeight="1" x14ac:dyDescent="0.2">
      <c r="B229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2:36" ht="15.75" customHeight="1" x14ac:dyDescent="0.2">
      <c r="B23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2:36" ht="15.75" customHeight="1" x14ac:dyDescent="0.2">
      <c r="B231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2:36" ht="15.75" customHeight="1" x14ac:dyDescent="0.2">
      <c r="B23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2:36" ht="15.75" customHeight="1" x14ac:dyDescent="0.2">
      <c r="B23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2:36" ht="15.75" customHeight="1" x14ac:dyDescent="0.2">
      <c r="B23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2:36" ht="15.75" customHeight="1" x14ac:dyDescent="0.2">
      <c r="B23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2:36" ht="15.75" customHeight="1" x14ac:dyDescent="0.2">
      <c r="B23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2:36" ht="15.75" customHeight="1" x14ac:dyDescent="0.2">
      <c r="B23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2:36" ht="15.75" customHeight="1" x14ac:dyDescent="0.2">
      <c r="B238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2:36" ht="15.75" customHeight="1" x14ac:dyDescent="0.2">
      <c r="B239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2:36" ht="15.75" customHeight="1" x14ac:dyDescent="0.2">
      <c r="B24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 spans="2:36" ht="15.75" customHeight="1" x14ac:dyDescent="0.2">
      <c r="B241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 spans="2:36" ht="15.75" customHeight="1" x14ac:dyDescent="0.2">
      <c r="B24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 spans="2:36" ht="15.75" customHeight="1" x14ac:dyDescent="0.2">
      <c r="B24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 spans="2:36" ht="15.75" customHeight="1" x14ac:dyDescent="0.2">
      <c r="B24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2:36" ht="15.75" customHeight="1" x14ac:dyDescent="0.2">
      <c r="B24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2:36" ht="15.75" customHeight="1" x14ac:dyDescent="0.2">
      <c r="B24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2:36" ht="15.75" customHeight="1" x14ac:dyDescent="0.2">
      <c r="B24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2:36" ht="15.75" customHeight="1" x14ac:dyDescent="0.2">
      <c r="B248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2:36" ht="15.75" customHeight="1" x14ac:dyDescent="0.2">
      <c r="B249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2:36" ht="15.75" customHeight="1" x14ac:dyDescent="0.2">
      <c r="B25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2:36" ht="15.75" customHeight="1" x14ac:dyDescent="0.2">
      <c r="B251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2:36" ht="15.75" customHeight="1" x14ac:dyDescent="0.2">
      <c r="B25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2:36" ht="15.75" customHeight="1" x14ac:dyDescent="0.2">
      <c r="B25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2:36" ht="15.75" customHeight="1" x14ac:dyDescent="0.2">
      <c r="B25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2:36" ht="15.75" customHeight="1" x14ac:dyDescent="0.2">
      <c r="B25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2:36" ht="15.75" customHeight="1" x14ac:dyDescent="0.2">
      <c r="B25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2:36" ht="15.75" customHeight="1" x14ac:dyDescent="0.2">
      <c r="B25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2:36" ht="15.75" customHeight="1" x14ac:dyDescent="0.2">
      <c r="B258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2:36" ht="15.75" customHeight="1" x14ac:dyDescent="0.2">
      <c r="B259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2:36" ht="15.75" customHeight="1" x14ac:dyDescent="0.2">
      <c r="B26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2:36" ht="15.75" customHeight="1" x14ac:dyDescent="0.2">
      <c r="B26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2:36" ht="15.75" customHeight="1" x14ac:dyDescent="0.2">
      <c r="B26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2:36" ht="15.75" customHeight="1" x14ac:dyDescent="0.2">
      <c r="B26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2:36" ht="15.75" customHeight="1" x14ac:dyDescent="0.2">
      <c r="B26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2:36" ht="15.75" customHeight="1" x14ac:dyDescent="0.2">
      <c r="B26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2:36" ht="15.75" customHeight="1" x14ac:dyDescent="0.2">
      <c r="B26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2:36" ht="15.75" customHeight="1" x14ac:dyDescent="0.2">
      <c r="B26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2:36" ht="15.75" customHeight="1" x14ac:dyDescent="0.2">
      <c r="B268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2:36" ht="15.75" customHeight="1" x14ac:dyDescent="0.2">
      <c r="B269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2:36" ht="15.75" customHeight="1" x14ac:dyDescent="0.2">
      <c r="B27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2:36" ht="15.75" customHeight="1" x14ac:dyDescent="0.2">
      <c r="B27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2:36" ht="15.75" customHeight="1" x14ac:dyDescent="0.2">
      <c r="B27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2:36" ht="15.75" customHeight="1" x14ac:dyDescent="0.2">
      <c r="B27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2:36" ht="15.75" customHeight="1" x14ac:dyDescent="0.2">
      <c r="B27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2:36" ht="15.75" customHeight="1" x14ac:dyDescent="0.2">
      <c r="B275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2:36" ht="15.75" customHeight="1" x14ac:dyDescent="0.2">
      <c r="B27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2:36" ht="15.75" customHeight="1" x14ac:dyDescent="0.2">
      <c r="B27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2:36" ht="15.75" customHeight="1" x14ac:dyDescent="0.2">
      <c r="B278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2:36" ht="15.75" customHeight="1" x14ac:dyDescent="0.2">
      <c r="B279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2:36" ht="15.75" customHeight="1" x14ac:dyDescent="0.2">
      <c r="B28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2:36" ht="15.75" customHeight="1" x14ac:dyDescent="0.2">
      <c r="B28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2:36" ht="15.75" customHeight="1" x14ac:dyDescent="0.2">
      <c r="B28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2:36" ht="15.75" customHeight="1" x14ac:dyDescent="0.2">
      <c r="B28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2:36" ht="15.75" customHeight="1" x14ac:dyDescent="0.2">
      <c r="B28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2:36" ht="15.75" customHeight="1" x14ac:dyDescent="0.2">
      <c r="B285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2:36" ht="15.75" customHeight="1" x14ac:dyDescent="0.2">
      <c r="B28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2:36" ht="15.75" customHeight="1" x14ac:dyDescent="0.2">
      <c r="B28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2:36" ht="15.75" customHeight="1" x14ac:dyDescent="0.2">
      <c r="B288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2:36" ht="15.75" customHeight="1" x14ac:dyDescent="0.2">
      <c r="B289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2:36" ht="15.75" customHeight="1" x14ac:dyDescent="0.2">
      <c r="B29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2:36" ht="15.75" customHeight="1" x14ac:dyDescent="0.2">
      <c r="B29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2:36" ht="15.75" customHeight="1" x14ac:dyDescent="0.2">
      <c r="B29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2:36" ht="15.75" customHeight="1" x14ac:dyDescent="0.2">
      <c r="B29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2:36" ht="15.75" customHeight="1" x14ac:dyDescent="0.2">
      <c r="B29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2:36" ht="15.75" customHeight="1" x14ac:dyDescent="0.2">
      <c r="B295"/>
      <c r="C295" s="2"/>
      <c r="D295" s="2"/>
      <c r="E295" s="2"/>
      <c r="F295" s="2"/>
      <c r="G295" s="27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2:36" ht="15.75" customHeight="1" x14ac:dyDescent="0.2">
      <c r="B296"/>
      <c r="C296" s="2"/>
      <c r="D296" s="2"/>
      <c r="E296" s="2"/>
      <c r="F296" s="2"/>
      <c r="G296" s="27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2:36" ht="15.75" customHeight="1" x14ac:dyDescent="0.2">
      <c r="B297"/>
      <c r="C297" s="2"/>
      <c r="D297" s="2"/>
      <c r="E297" s="2"/>
      <c r="F297" s="2"/>
      <c r="G297" s="27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2:36" ht="15.75" customHeight="1" x14ac:dyDescent="0.2">
      <c r="B298"/>
      <c r="C298" s="2"/>
      <c r="D298" s="2"/>
      <c r="E298" s="2"/>
      <c r="F298" s="2"/>
      <c r="G298" s="27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2:36" ht="15.75" customHeight="1" x14ac:dyDescent="0.2">
      <c r="B299"/>
      <c r="C299" s="2"/>
      <c r="D299" s="2"/>
      <c r="E299" s="2"/>
      <c r="F299" s="2"/>
      <c r="G299" s="27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2:36" ht="15.75" customHeight="1" x14ac:dyDescent="0.2">
      <c r="B300"/>
      <c r="C300" s="2"/>
      <c r="D300" s="2"/>
      <c r="E300" s="2"/>
      <c r="F300" s="2"/>
      <c r="G300" s="27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2:36" ht="15.75" customHeight="1" x14ac:dyDescent="0.2">
      <c r="B301"/>
      <c r="C301" s="2"/>
      <c r="D301" s="2"/>
      <c r="E301" s="2"/>
      <c r="F301" s="2"/>
      <c r="G301" s="27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2:36" ht="15.75" customHeight="1" x14ac:dyDescent="0.2">
      <c r="B302"/>
      <c r="C302" s="2"/>
      <c r="D302" s="2"/>
      <c r="E302" s="2"/>
      <c r="F302" s="2"/>
      <c r="G302" s="27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2:36" ht="15.75" customHeight="1" x14ac:dyDescent="0.2">
      <c r="B303"/>
      <c r="C303" s="2"/>
      <c r="D303" s="2"/>
      <c r="E303" s="2"/>
      <c r="F303" s="2"/>
      <c r="G303" s="27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 spans="2:36" ht="15.75" customHeight="1" x14ac:dyDescent="0.2">
      <c r="B304"/>
      <c r="C304" s="2"/>
      <c r="D304" s="2"/>
      <c r="E304" s="2"/>
      <c r="F304" s="2"/>
      <c r="G304" s="27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 spans="2:36" ht="15.75" customHeight="1" x14ac:dyDescent="0.2">
      <c r="B305"/>
      <c r="C305" s="2"/>
      <c r="D305" s="2"/>
      <c r="E305" s="2"/>
      <c r="F305" s="2"/>
      <c r="G305" s="27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 spans="2:36" ht="15.75" customHeight="1" x14ac:dyDescent="0.2">
      <c r="B306"/>
      <c r="C306" s="2"/>
      <c r="D306" s="2"/>
      <c r="E306" s="2"/>
      <c r="F306" s="2"/>
      <c r="G306" s="27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 spans="2:36" ht="15.75" customHeight="1" x14ac:dyDescent="0.2">
      <c r="B307"/>
      <c r="C307" s="2"/>
      <c r="D307" s="2"/>
      <c r="E307" s="2"/>
      <c r="F307" s="2"/>
      <c r="G307" s="27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 spans="2:36" ht="15.75" customHeight="1" x14ac:dyDescent="0.2">
      <c r="B308"/>
      <c r="C308" s="2"/>
      <c r="D308" s="2"/>
      <c r="E308" s="2"/>
      <c r="F308" s="2"/>
      <c r="G308" s="27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 spans="2:36" ht="15.75" customHeight="1" x14ac:dyDescent="0.2">
      <c r="B309"/>
      <c r="C309" s="2"/>
      <c r="D309" s="2"/>
      <c r="E309" s="2"/>
      <c r="F309" s="2"/>
      <c r="G309" s="27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 spans="2:36" ht="15.75" customHeight="1" x14ac:dyDescent="0.2">
      <c r="B310"/>
      <c r="C310" s="2"/>
      <c r="D310" s="2"/>
      <c r="E310" s="2"/>
      <c r="F310" s="2"/>
      <c r="G310" s="27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 spans="2:36" ht="15.75" customHeight="1" x14ac:dyDescent="0.2">
      <c r="B311"/>
      <c r="C311" s="2"/>
      <c r="D311" s="2"/>
      <c r="E311" s="2"/>
      <c r="F311" s="2"/>
      <c r="G311" s="27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 spans="2:36" ht="15.75" customHeight="1" x14ac:dyDescent="0.2">
      <c r="B312"/>
      <c r="C312" s="2"/>
      <c r="D312" s="2"/>
      <c r="E312" s="2"/>
      <c r="F312" s="2"/>
      <c r="G312" s="27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 spans="2:36" ht="15.75" customHeight="1" x14ac:dyDescent="0.2">
      <c r="B313"/>
      <c r="C313" s="2"/>
      <c r="D313" s="2"/>
      <c r="E313" s="2"/>
      <c r="F313" s="2"/>
      <c r="G313" s="27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 spans="2:36" ht="15.75" customHeight="1" x14ac:dyDescent="0.2">
      <c r="B314"/>
      <c r="C314" s="2"/>
      <c r="D314" s="2"/>
      <c r="E314" s="2"/>
      <c r="F314" s="2"/>
      <c r="G314" s="27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 spans="2:36" ht="15.75" customHeight="1" x14ac:dyDescent="0.2">
      <c r="B315"/>
      <c r="C315" s="2"/>
      <c r="D315" s="2"/>
      <c r="E315" s="2"/>
      <c r="F315" s="2"/>
      <c r="G315" s="27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 spans="2:36" ht="15.75" customHeight="1" x14ac:dyDescent="0.2">
      <c r="B316"/>
      <c r="C316" s="2"/>
      <c r="D316" s="2"/>
      <c r="E316" s="2"/>
      <c r="F316" s="2"/>
      <c r="G316" s="27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 spans="2:36" ht="15.75" customHeight="1" x14ac:dyDescent="0.2">
      <c r="B317"/>
      <c r="C317" s="2"/>
      <c r="D317" s="2"/>
      <c r="E317" s="2"/>
      <c r="F317" s="2"/>
      <c r="G317" s="27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 spans="2:36" ht="15.75" customHeight="1" x14ac:dyDescent="0.2">
      <c r="B318"/>
      <c r="C318" s="2"/>
      <c r="D318" s="2"/>
      <c r="E318" s="2"/>
      <c r="F318" s="2"/>
      <c r="G318" s="27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 spans="2:36" ht="15.75" customHeight="1" x14ac:dyDescent="0.2">
      <c r="B319"/>
      <c r="C319" s="2"/>
      <c r="D319" s="2"/>
      <c r="E319" s="2"/>
      <c r="F319" s="2"/>
      <c r="G319" s="27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 spans="2:36" ht="15.75" customHeight="1" x14ac:dyDescent="0.2">
      <c r="B320"/>
      <c r="C320" s="2"/>
      <c r="D320" s="2"/>
      <c r="E320" s="2"/>
      <c r="F320" s="2"/>
      <c r="G320" s="27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 spans="2:36" ht="15.75" customHeight="1" x14ac:dyDescent="0.2">
      <c r="B321"/>
      <c r="C321" s="2"/>
      <c r="D321" s="2"/>
      <c r="E321" s="2"/>
      <c r="F321" s="2"/>
      <c r="G321" s="27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 spans="2:36" ht="15.75" customHeight="1" x14ac:dyDescent="0.2">
      <c r="B322"/>
      <c r="C322" s="2"/>
      <c r="D322" s="2"/>
      <c r="E322" s="2"/>
      <c r="F322" s="2"/>
      <c r="G322" s="27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 spans="2:36" ht="15.75" customHeight="1" x14ac:dyDescent="0.2">
      <c r="B323"/>
      <c r="C323" s="2"/>
      <c r="D323" s="2"/>
      <c r="E323" s="2"/>
      <c r="F323" s="2"/>
      <c r="G323" s="27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 spans="2:36" ht="15.75" customHeight="1" x14ac:dyDescent="0.2">
      <c r="B324"/>
      <c r="C324" s="2"/>
      <c r="D324" s="2"/>
      <c r="E324" s="2"/>
      <c r="F324" s="2"/>
      <c r="G324" s="27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 spans="2:36" ht="15.75" customHeight="1" x14ac:dyDescent="0.2">
      <c r="B325"/>
      <c r="C325" s="2"/>
      <c r="D325" s="2"/>
      <c r="E325" s="2"/>
      <c r="F325" s="2"/>
      <c r="G325" s="27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 spans="2:36" ht="15.75" customHeight="1" x14ac:dyDescent="0.2">
      <c r="B326"/>
      <c r="C326" s="2"/>
      <c r="D326" s="2"/>
      <c r="E326" s="2"/>
      <c r="F326" s="2"/>
      <c r="G326" s="27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 spans="2:36" ht="15.75" customHeight="1" x14ac:dyDescent="0.2">
      <c r="B327"/>
      <c r="C327" s="2"/>
      <c r="D327" s="2"/>
      <c r="E327" s="2"/>
      <c r="F327" s="2"/>
      <c r="G327" s="27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 spans="2:36" ht="15.75" customHeight="1" x14ac:dyDescent="0.2">
      <c r="B328"/>
      <c r="C328" s="2"/>
      <c r="D328" s="2"/>
      <c r="E328" s="2"/>
      <c r="F328" s="2"/>
      <c r="G328" s="27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 spans="2:36" ht="15.75" customHeight="1" x14ac:dyDescent="0.2">
      <c r="B329"/>
      <c r="C329" s="2"/>
      <c r="D329" s="2"/>
      <c r="E329" s="2"/>
      <c r="F329" s="2"/>
      <c r="G329" s="27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 spans="2:36" ht="15.75" customHeight="1" x14ac:dyDescent="0.2">
      <c r="B330"/>
      <c r="C330" s="2"/>
      <c r="D330" s="2"/>
      <c r="E330" s="2"/>
      <c r="F330" s="2"/>
      <c r="G330" s="27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 spans="2:36" ht="15.75" customHeight="1" x14ac:dyDescent="0.2">
      <c r="B331"/>
      <c r="C331" s="2"/>
      <c r="D331" s="2"/>
      <c r="E331" s="2"/>
      <c r="F331" s="2"/>
      <c r="G331" s="27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 spans="2:36" ht="15.75" customHeight="1" x14ac:dyDescent="0.2">
      <c r="B332"/>
      <c r="C332" s="2"/>
      <c r="D332" s="2"/>
      <c r="E332" s="2"/>
      <c r="F332" s="2"/>
      <c r="G332" s="27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 spans="2:36" ht="15.75" customHeight="1" x14ac:dyDescent="0.2">
      <c r="B333"/>
      <c r="C333" s="2"/>
      <c r="D333" s="2"/>
      <c r="E333" s="2"/>
      <c r="F333" s="2"/>
      <c r="G333" s="27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 spans="2:36" ht="15.75" customHeight="1" x14ac:dyDescent="0.2">
      <c r="B334"/>
      <c r="C334" s="2"/>
      <c r="D334" s="2"/>
      <c r="E334" s="2"/>
      <c r="F334" s="2"/>
      <c r="G334" s="27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 spans="2:36" ht="15.75" customHeight="1" x14ac:dyDescent="0.2">
      <c r="B335"/>
      <c r="C335" s="2"/>
      <c r="D335" s="2"/>
      <c r="E335" s="2"/>
      <c r="F335" s="2"/>
      <c r="G335" s="27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 spans="2:36" ht="15.75" customHeight="1" x14ac:dyDescent="0.2">
      <c r="B336"/>
      <c r="C336" s="2"/>
      <c r="D336" s="2"/>
      <c r="E336" s="2"/>
      <c r="F336" s="2"/>
      <c r="G336" s="27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 spans="2:36" ht="15.75" customHeight="1" x14ac:dyDescent="0.2">
      <c r="B337"/>
      <c r="C337" s="2"/>
      <c r="D337" s="2"/>
      <c r="E337" s="2"/>
      <c r="F337" s="2"/>
      <c r="G337" s="27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 spans="2:36" ht="15.75" customHeight="1" x14ac:dyDescent="0.2">
      <c r="B338"/>
      <c r="C338" s="2"/>
      <c r="D338" s="2"/>
      <c r="E338" s="2"/>
      <c r="F338" s="2"/>
      <c r="G338" s="27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 spans="2:36" ht="15.75" customHeight="1" x14ac:dyDescent="0.2">
      <c r="B339"/>
      <c r="C339" s="2"/>
      <c r="D339" s="2"/>
      <c r="E339" s="2"/>
      <c r="F339" s="2"/>
      <c r="G339" s="27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 spans="2:36" ht="15.75" customHeight="1" x14ac:dyDescent="0.2">
      <c r="B340"/>
      <c r="C340" s="2"/>
      <c r="D340" s="2"/>
      <c r="E340" s="2"/>
      <c r="F340" s="2"/>
      <c r="G340" s="27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 spans="2:36" ht="15.75" customHeight="1" x14ac:dyDescent="0.2">
      <c r="B341"/>
      <c r="C341" s="2"/>
      <c r="D341" s="2"/>
      <c r="E341" s="2"/>
      <c r="F341" s="2"/>
      <c r="G341" s="27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 spans="2:36" ht="15.75" customHeight="1" x14ac:dyDescent="0.2">
      <c r="B342"/>
      <c r="C342" s="2"/>
      <c r="D342" s="2"/>
      <c r="E342" s="2"/>
      <c r="F342" s="2"/>
      <c r="G342" s="27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 spans="2:36" ht="15.75" customHeight="1" x14ac:dyDescent="0.2">
      <c r="B343"/>
      <c r="C343" s="2"/>
      <c r="D343" s="2"/>
      <c r="E343" s="2"/>
      <c r="F343" s="2"/>
      <c r="G343" s="27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 spans="2:36" ht="15.75" customHeight="1" x14ac:dyDescent="0.2">
      <c r="B344"/>
      <c r="C344" s="2"/>
      <c r="D344" s="2"/>
      <c r="E344" s="2"/>
      <c r="F344" s="2"/>
      <c r="G344" s="27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 spans="2:36" ht="15.75" customHeight="1" x14ac:dyDescent="0.2">
      <c r="B345"/>
      <c r="C345" s="2"/>
      <c r="D345" s="2"/>
      <c r="E345" s="2"/>
      <c r="F345" s="2"/>
      <c r="G345" s="27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 spans="2:36" ht="15.75" customHeight="1" x14ac:dyDescent="0.2">
      <c r="B346"/>
      <c r="C346" s="2"/>
      <c r="D346" s="2"/>
      <c r="E346" s="2"/>
      <c r="F346" s="2"/>
      <c r="G346" s="27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 spans="2:36" ht="15.75" customHeight="1" x14ac:dyDescent="0.2">
      <c r="B347"/>
      <c r="C347" s="2"/>
      <c r="D347" s="2"/>
      <c r="E347" s="2"/>
      <c r="F347" s="2"/>
      <c r="G347" s="27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 spans="2:36" ht="15.75" customHeight="1" x14ac:dyDescent="0.2">
      <c r="B348"/>
      <c r="C348" s="2"/>
      <c r="D348" s="2"/>
      <c r="E348" s="2"/>
      <c r="F348" s="2"/>
      <c r="G348" s="27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 spans="2:36" ht="15.75" customHeight="1" x14ac:dyDescent="0.2">
      <c r="B349"/>
      <c r="C349" s="2"/>
      <c r="D349" s="2"/>
      <c r="E349" s="2"/>
      <c r="F349" s="2"/>
      <c r="G349" s="27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 spans="2:36" ht="15.75" customHeight="1" x14ac:dyDescent="0.2">
      <c r="B350"/>
      <c r="C350" s="2"/>
      <c r="D350" s="2"/>
      <c r="E350" s="2"/>
      <c r="F350" s="2"/>
      <c r="G350" s="27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 spans="2:36" ht="15.75" customHeight="1" x14ac:dyDescent="0.2">
      <c r="B351"/>
      <c r="C351" s="2"/>
      <c r="D351" s="2"/>
      <c r="E351" s="2"/>
      <c r="F351" s="2"/>
      <c r="G351" s="27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 spans="2:36" ht="15.75" customHeight="1" x14ac:dyDescent="0.2">
      <c r="B352"/>
      <c r="C352" s="2"/>
      <c r="D352" s="2"/>
      <c r="E352" s="2"/>
      <c r="F352" s="2"/>
      <c r="G352" s="27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 spans="2:36" ht="15.75" customHeight="1" x14ac:dyDescent="0.2">
      <c r="B353"/>
      <c r="C353" s="2"/>
      <c r="D353" s="2"/>
      <c r="E353" s="2"/>
      <c r="F353" s="2"/>
      <c r="G353" s="27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 spans="2:36" ht="15.75" customHeight="1" x14ac:dyDescent="0.2">
      <c r="B354"/>
      <c r="C354" s="2"/>
      <c r="D354" s="2"/>
      <c r="E354" s="2"/>
      <c r="F354" s="2"/>
      <c r="G354" s="27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 spans="2:36" ht="15.75" customHeight="1" x14ac:dyDescent="0.2">
      <c r="B355"/>
      <c r="C355" s="2"/>
      <c r="D355" s="2"/>
      <c r="E355" s="2"/>
      <c r="F355" s="2"/>
      <c r="G355" s="27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 spans="2:36" ht="15.75" customHeight="1" x14ac:dyDescent="0.2">
      <c r="B356"/>
      <c r="C356" s="2"/>
      <c r="D356" s="2"/>
      <c r="E356" s="2"/>
      <c r="F356" s="2"/>
      <c r="G356" s="27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 spans="2:36" ht="15.75" customHeight="1" x14ac:dyDescent="0.2">
      <c r="B357"/>
      <c r="C357" s="2"/>
      <c r="D357" s="2"/>
      <c r="E357" s="2"/>
      <c r="F357" s="2"/>
      <c r="G357" s="27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 spans="2:36" ht="15.75" customHeight="1" x14ac:dyDescent="0.2">
      <c r="B358"/>
      <c r="C358" s="2"/>
      <c r="D358" s="2"/>
      <c r="E358" s="2"/>
      <c r="F358" s="2"/>
      <c r="G358" s="27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 spans="2:36" ht="15.75" customHeight="1" x14ac:dyDescent="0.2">
      <c r="B359"/>
      <c r="C359" s="2"/>
      <c r="D359" s="2"/>
      <c r="E359" s="2"/>
      <c r="F359" s="2"/>
      <c r="G359" s="27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 spans="2:36" ht="15.75" customHeight="1" x14ac:dyDescent="0.2">
      <c r="B360"/>
      <c r="C360" s="2"/>
      <c r="D360" s="2"/>
      <c r="E360" s="2"/>
      <c r="F360" s="2"/>
      <c r="G360" s="27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 spans="2:36" ht="15.75" customHeight="1" x14ac:dyDescent="0.2">
      <c r="B361"/>
      <c r="C361" s="2"/>
      <c r="D361" s="2"/>
      <c r="E361" s="2"/>
      <c r="F361" s="2"/>
      <c r="G361" s="27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 spans="2:36" ht="15.75" customHeight="1" x14ac:dyDescent="0.2">
      <c r="B362"/>
      <c r="C362" s="2"/>
      <c r="D362" s="2"/>
      <c r="E362" s="2"/>
      <c r="F362" s="2"/>
      <c r="G362" s="27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 spans="2:36" ht="15.75" customHeight="1" x14ac:dyDescent="0.2">
      <c r="B363"/>
      <c r="C363" s="2"/>
      <c r="D363" s="2"/>
      <c r="E363" s="2"/>
      <c r="F363" s="2"/>
      <c r="G363" s="27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 spans="2:36" ht="15.75" customHeight="1" x14ac:dyDescent="0.2">
      <c r="B364"/>
      <c r="C364" s="2"/>
      <c r="D364" s="2"/>
      <c r="E364" s="2"/>
      <c r="F364" s="2"/>
      <c r="G364" s="27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 spans="2:36" ht="15.75" customHeight="1" x14ac:dyDescent="0.2">
      <c r="B365"/>
      <c r="C365" s="2"/>
      <c r="D365" s="2"/>
      <c r="E365" s="2"/>
      <c r="F365" s="2"/>
      <c r="G365" s="27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 spans="2:36" ht="15.75" customHeight="1" x14ac:dyDescent="0.2">
      <c r="B366"/>
      <c r="C366" s="2"/>
      <c r="D366" s="2"/>
      <c r="E366" s="2"/>
      <c r="F366" s="2"/>
      <c r="G366" s="27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 spans="2:36" ht="15.75" customHeight="1" x14ac:dyDescent="0.2">
      <c r="B367"/>
      <c r="C367" s="2"/>
      <c r="D367" s="2"/>
      <c r="E367" s="2"/>
      <c r="F367" s="2"/>
      <c r="G367" s="27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 spans="2:36" ht="15.75" customHeight="1" x14ac:dyDescent="0.2">
      <c r="B368"/>
      <c r="C368" s="2"/>
      <c r="D368" s="2"/>
      <c r="E368" s="2"/>
      <c r="F368" s="2"/>
      <c r="G368" s="27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 spans="2:36" ht="15.75" customHeight="1" x14ac:dyDescent="0.2">
      <c r="B369"/>
      <c r="C369" s="2"/>
      <c r="D369" s="2"/>
      <c r="E369" s="2"/>
      <c r="F369" s="2"/>
      <c r="G369" s="27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 spans="2:36" ht="15.75" customHeight="1" x14ac:dyDescent="0.2">
      <c r="B370"/>
      <c r="C370" s="2"/>
      <c r="D370" s="2"/>
      <c r="E370" s="2"/>
      <c r="F370" s="2"/>
      <c r="G370" s="27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 spans="2:36" ht="15.75" customHeight="1" x14ac:dyDescent="0.2">
      <c r="B371"/>
      <c r="C371" s="2"/>
      <c r="D371" s="2"/>
      <c r="E371" s="2"/>
      <c r="F371" s="2"/>
      <c r="G371" s="27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 spans="2:36" ht="15.75" customHeight="1" x14ac:dyDescent="0.2">
      <c r="B372"/>
      <c r="C372" s="2"/>
      <c r="D372" s="2"/>
      <c r="E372" s="2"/>
      <c r="F372" s="2"/>
      <c r="G372" s="27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 spans="2:36" ht="15.75" customHeight="1" x14ac:dyDescent="0.2">
      <c r="B373"/>
      <c r="C373" s="2"/>
      <c r="D373" s="2"/>
      <c r="E373" s="2"/>
      <c r="F373" s="2"/>
      <c r="G373" s="27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 spans="2:36" ht="15.75" customHeight="1" x14ac:dyDescent="0.2">
      <c r="B374"/>
      <c r="C374" s="2"/>
      <c r="D374" s="2"/>
      <c r="E374" s="2"/>
      <c r="F374" s="2"/>
      <c r="G374" s="27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 spans="2:36" ht="15.75" customHeight="1" x14ac:dyDescent="0.2">
      <c r="B375"/>
      <c r="C375" s="2"/>
      <c r="D375" s="2"/>
      <c r="E375" s="2"/>
      <c r="F375" s="2"/>
      <c r="G375" s="27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 spans="2:36" ht="15.75" customHeight="1" x14ac:dyDescent="0.2">
      <c r="B376"/>
      <c r="C376" s="2"/>
      <c r="D376" s="2"/>
      <c r="E376" s="2"/>
      <c r="F376" s="2"/>
      <c r="G376" s="27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 spans="2:36" ht="15.75" customHeight="1" x14ac:dyDescent="0.2">
      <c r="B377"/>
      <c r="C377" s="2"/>
      <c r="D377" s="2"/>
      <c r="E377" s="2"/>
      <c r="F377" s="2"/>
      <c r="G377" s="27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 spans="2:36" ht="15.75" customHeight="1" x14ac:dyDescent="0.2">
      <c r="B378"/>
      <c r="C378" s="2"/>
      <c r="D378" s="2"/>
      <c r="E378" s="2"/>
      <c r="F378" s="2"/>
      <c r="G378" s="27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 spans="2:36" ht="15.75" customHeight="1" x14ac:dyDescent="0.2">
      <c r="B379"/>
      <c r="C379" s="2"/>
      <c r="D379" s="2"/>
      <c r="E379" s="2"/>
      <c r="F379" s="2"/>
      <c r="G379" s="27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 spans="2:36" ht="15.75" customHeight="1" x14ac:dyDescent="0.2">
      <c r="B380"/>
      <c r="C380" s="2"/>
      <c r="D380" s="2"/>
      <c r="E380" s="2"/>
      <c r="F380" s="2"/>
      <c r="G380" s="27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 spans="2:36" ht="15.75" customHeight="1" x14ac:dyDescent="0.2">
      <c r="B381"/>
      <c r="C381" s="2"/>
      <c r="D381" s="2"/>
      <c r="E381" s="2"/>
      <c r="F381" s="2"/>
      <c r="G381" s="27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 spans="2:36" ht="15.75" customHeight="1" x14ac:dyDescent="0.2">
      <c r="B382"/>
      <c r="C382" s="2"/>
      <c r="D382" s="2"/>
      <c r="E382" s="2"/>
      <c r="F382" s="2"/>
      <c r="G382" s="27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 spans="2:36" ht="15.75" customHeight="1" x14ac:dyDescent="0.2">
      <c r="B383"/>
      <c r="C383" s="2"/>
      <c r="D383" s="2"/>
      <c r="E383" s="2"/>
      <c r="F383" s="2"/>
      <c r="G383" s="27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 spans="2:36" ht="15.75" customHeight="1" x14ac:dyDescent="0.2">
      <c r="B384"/>
      <c r="C384" s="2"/>
      <c r="D384" s="2"/>
      <c r="E384" s="2"/>
      <c r="F384" s="2"/>
      <c r="G384" s="27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 spans="2:36" ht="15.75" customHeight="1" x14ac:dyDescent="0.2">
      <c r="B385"/>
      <c r="C385" s="2"/>
      <c r="D385" s="2"/>
      <c r="E385" s="2"/>
      <c r="F385" s="2"/>
      <c r="G385" s="27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 spans="2:36" ht="15.75" customHeight="1" x14ac:dyDescent="0.2">
      <c r="B386"/>
      <c r="C386" s="2"/>
      <c r="D386" s="2"/>
      <c r="E386" s="2"/>
      <c r="F386" s="2"/>
      <c r="G386" s="27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 spans="2:36" ht="15.75" customHeight="1" x14ac:dyDescent="0.2">
      <c r="B387"/>
      <c r="C387" s="2"/>
      <c r="D387" s="2"/>
      <c r="E387" s="2"/>
      <c r="F387" s="2"/>
      <c r="G387" s="27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 spans="2:36" ht="15.75" customHeight="1" x14ac:dyDescent="0.2">
      <c r="B388"/>
      <c r="C388" s="2"/>
      <c r="D388" s="2"/>
      <c r="E388" s="2"/>
      <c r="F388" s="2"/>
      <c r="G388" s="27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 spans="2:36" ht="15.75" customHeight="1" x14ac:dyDescent="0.2">
      <c r="B389"/>
      <c r="C389" s="2"/>
      <c r="D389" s="2"/>
      <c r="E389" s="2"/>
      <c r="F389" s="2"/>
      <c r="G389" s="27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 spans="2:36" ht="15.75" customHeight="1" x14ac:dyDescent="0.2">
      <c r="B390"/>
      <c r="C390" s="2"/>
      <c r="D390" s="2"/>
      <c r="E390" s="2"/>
      <c r="F390" s="2"/>
      <c r="G390" s="27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 spans="2:36" ht="15.75" customHeight="1" x14ac:dyDescent="0.2">
      <c r="B391"/>
      <c r="C391" s="2"/>
      <c r="D391" s="2"/>
      <c r="E391" s="2"/>
      <c r="F391" s="2"/>
      <c r="G391" s="27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 spans="2:36" ht="15.75" customHeight="1" x14ac:dyDescent="0.2">
      <c r="B392"/>
      <c r="C392" s="2"/>
      <c r="D392" s="2"/>
      <c r="E392" s="2"/>
      <c r="F392" s="2"/>
      <c r="G392" s="27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 spans="2:36" ht="15.75" customHeight="1" x14ac:dyDescent="0.2">
      <c r="B393"/>
      <c r="C393" s="2"/>
      <c r="D393" s="2"/>
      <c r="E393" s="2"/>
      <c r="F393" s="2"/>
      <c r="G393" s="27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 spans="2:36" ht="15.75" customHeight="1" x14ac:dyDescent="0.2">
      <c r="B394"/>
      <c r="C394" s="2"/>
      <c r="D394" s="2"/>
      <c r="E394" s="2"/>
      <c r="F394" s="2"/>
      <c r="G394" s="27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 spans="2:36" ht="15.75" customHeight="1" x14ac:dyDescent="0.2">
      <c r="B395"/>
      <c r="C395" s="2"/>
      <c r="D395" s="2"/>
      <c r="E395" s="2"/>
      <c r="F395" s="2"/>
      <c r="G395" s="27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 spans="2:36" ht="15.75" customHeight="1" x14ac:dyDescent="0.2">
      <c r="B396"/>
      <c r="C396" s="2"/>
      <c r="D396" s="2"/>
      <c r="E396" s="2"/>
      <c r="F396" s="2"/>
      <c r="G396" s="27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 spans="2:36" ht="15.75" customHeight="1" x14ac:dyDescent="0.2">
      <c r="B397"/>
      <c r="C397" s="2"/>
      <c r="D397" s="2"/>
      <c r="E397" s="2"/>
      <c r="F397" s="2"/>
      <c r="G397" s="27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 spans="2:36" ht="15.75" customHeight="1" x14ac:dyDescent="0.2">
      <c r="B398"/>
      <c r="C398" s="2"/>
      <c r="D398" s="2"/>
      <c r="E398" s="2"/>
      <c r="F398" s="2"/>
      <c r="G398" s="27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 spans="2:36" ht="15.75" customHeight="1" x14ac:dyDescent="0.2">
      <c r="B399"/>
      <c r="C399" s="2"/>
      <c r="D399" s="2"/>
      <c r="E399" s="2"/>
      <c r="F399" s="2"/>
      <c r="G399" s="27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 spans="2:36" ht="15.75" customHeight="1" x14ac:dyDescent="0.2">
      <c r="B400"/>
      <c r="C400" s="2"/>
      <c r="D400" s="2"/>
      <c r="E400" s="2"/>
      <c r="F400" s="2"/>
      <c r="G400" s="27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 spans="2:36" ht="15.75" customHeight="1" x14ac:dyDescent="0.2">
      <c r="B401"/>
      <c r="C401" s="2"/>
      <c r="D401" s="2"/>
      <c r="E401" s="2"/>
      <c r="F401" s="2"/>
      <c r="G401" s="27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 spans="2:36" ht="15.75" customHeight="1" x14ac:dyDescent="0.2">
      <c r="B402"/>
      <c r="C402" s="2"/>
      <c r="D402" s="2"/>
      <c r="E402" s="2"/>
      <c r="F402" s="2"/>
      <c r="G402" s="27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 spans="2:36" ht="15.75" customHeight="1" x14ac:dyDescent="0.2">
      <c r="B403"/>
      <c r="C403" s="2"/>
      <c r="D403" s="2"/>
      <c r="E403" s="2"/>
      <c r="F403" s="2"/>
      <c r="G403" s="27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 spans="2:36" ht="15.75" customHeight="1" x14ac:dyDescent="0.2">
      <c r="B404"/>
      <c r="C404" s="2"/>
      <c r="D404" s="2"/>
      <c r="E404" s="2"/>
      <c r="F404" s="2"/>
      <c r="G404" s="27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 spans="2:36" ht="15.75" customHeight="1" x14ac:dyDescent="0.2">
      <c r="B405"/>
      <c r="C405" s="2"/>
      <c r="D405" s="2"/>
      <c r="E405" s="2"/>
      <c r="F405" s="2"/>
      <c r="G405" s="27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 spans="2:36" ht="15.75" customHeight="1" x14ac:dyDescent="0.2">
      <c r="B406"/>
      <c r="C406" s="2"/>
      <c r="D406" s="2"/>
      <c r="E406" s="2"/>
      <c r="F406" s="2"/>
      <c r="G406" s="27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 spans="2:36" ht="15.75" customHeight="1" x14ac:dyDescent="0.2">
      <c r="B407"/>
      <c r="C407" s="2"/>
      <c r="D407" s="2"/>
      <c r="E407" s="2"/>
      <c r="F407" s="2"/>
      <c r="G407" s="27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 spans="2:36" ht="15.75" customHeight="1" x14ac:dyDescent="0.2">
      <c r="B408"/>
      <c r="C408" s="2"/>
      <c r="D408" s="2"/>
      <c r="E408" s="2"/>
      <c r="F408" s="2"/>
      <c r="G408" s="27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 spans="2:36" ht="15.75" customHeight="1" x14ac:dyDescent="0.2">
      <c r="B409"/>
      <c r="C409" s="2"/>
      <c r="D409" s="2"/>
      <c r="E409" s="2"/>
      <c r="F409" s="2"/>
      <c r="G409" s="27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 spans="2:36" ht="15.75" customHeight="1" x14ac:dyDescent="0.2">
      <c r="B410"/>
      <c r="C410" s="2"/>
      <c r="D410" s="2"/>
      <c r="E410" s="2"/>
      <c r="F410" s="2"/>
      <c r="G410" s="27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 spans="2:36" ht="15.75" customHeight="1" x14ac:dyDescent="0.2">
      <c r="B411"/>
      <c r="C411" s="2"/>
      <c r="D411" s="2"/>
      <c r="E411" s="2"/>
      <c r="F411" s="2"/>
      <c r="G411" s="27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 spans="2:36" ht="15.75" customHeight="1" x14ac:dyDescent="0.2">
      <c r="B412"/>
      <c r="C412" s="2"/>
      <c r="D412" s="2"/>
      <c r="E412" s="2"/>
      <c r="F412" s="2"/>
      <c r="G412" s="27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2:36" ht="15.75" customHeight="1" x14ac:dyDescent="0.2">
      <c r="B413"/>
      <c r="C413" s="2"/>
      <c r="D413" s="2"/>
      <c r="E413" s="2"/>
      <c r="F413" s="2"/>
      <c r="G413" s="27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 spans="2:36" ht="15.75" customHeight="1" x14ac:dyDescent="0.2">
      <c r="B414"/>
      <c r="C414" s="2"/>
      <c r="D414" s="2"/>
      <c r="E414" s="2"/>
      <c r="F414" s="2"/>
      <c r="G414" s="27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 spans="2:36" ht="15.75" customHeight="1" x14ac:dyDescent="0.2">
      <c r="B415"/>
      <c r="C415" s="2"/>
      <c r="D415" s="2"/>
      <c r="E415" s="2"/>
      <c r="F415" s="2"/>
      <c r="G415" s="27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 spans="2:36" ht="15.75" customHeight="1" x14ac:dyDescent="0.2">
      <c r="B416"/>
      <c r="C416" s="2"/>
      <c r="D416" s="2"/>
      <c r="E416" s="2"/>
      <c r="F416" s="2"/>
      <c r="G416" s="27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 spans="2:36" ht="15.75" customHeight="1" x14ac:dyDescent="0.2">
      <c r="B417"/>
      <c r="C417" s="2"/>
      <c r="D417" s="2"/>
      <c r="E417" s="2"/>
      <c r="F417" s="2"/>
      <c r="G417" s="27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 spans="2:36" ht="15.75" customHeight="1" x14ac:dyDescent="0.2">
      <c r="B418"/>
      <c r="C418" s="2"/>
      <c r="D418" s="2"/>
      <c r="E418" s="2"/>
      <c r="F418" s="2"/>
      <c r="G418" s="27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 spans="2:36" ht="15.75" customHeight="1" x14ac:dyDescent="0.2">
      <c r="B419"/>
      <c r="C419" s="2"/>
      <c r="D419" s="2"/>
      <c r="E419" s="2"/>
      <c r="F419" s="2"/>
      <c r="G419" s="27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 spans="2:36" ht="15.75" customHeight="1" x14ac:dyDescent="0.2">
      <c r="B420"/>
      <c r="C420" s="2"/>
      <c r="D420" s="2"/>
      <c r="E420" s="2"/>
      <c r="F420" s="2"/>
      <c r="G420" s="27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 spans="2:36" ht="15.75" customHeight="1" x14ac:dyDescent="0.2">
      <c r="B421"/>
      <c r="C421" s="2"/>
      <c r="D421" s="2"/>
      <c r="E421" s="2"/>
      <c r="F421" s="2"/>
      <c r="G421" s="27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 spans="2:36" ht="15.75" customHeight="1" x14ac:dyDescent="0.2">
      <c r="B422"/>
      <c r="C422" s="2"/>
      <c r="D422" s="2"/>
      <c r="E422" s="2"/>
      <c r="F422" s="2"/>
      <c r="G422" s="27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 spans="2:36" ht="15.75" customHeight="1" x14ac:dyDescent="0.2">
      <c r="B423"/>
      <c r="C423" s="2"/>
      <c r="D423" s="2"/>
      <c r="E423" s="2"/>
      <c r="F423" s="2"/>
      <c r="G423" s="27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 spans="2:36" ht="15.75" customHeight="1" x14ac:dyDescent="0.2">
      <c r="B424"/>
      <c r="C424" s="2"/>
      <c r="D424" s="2"/>
      <c r="E424" s="2"/>
      <c r="F424" s="2"/>
      <c r="G424" s="27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 spans="2:36" ht="15.75" customHeight="1" x14ac:dyDescent="0.2">
      <c r="B425"/>
      <c r="C425" s="2"/>
      <c r="D425" s="2"/>
      <c r="E425" s="2"/>
      <c r="F425" s="2"/>
      <c r="G425" s="27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 spans="2:36" ht="15.75" customHeight="1" x14ac:dyDescent="0.2">
      <c r="B426"/>
      <c r="C426" s="2"/>
      <c r="D426" s="2"/>
      <c r="E426" s="2"/>
      <c r="F426" s="2"/>
      <c r="G426" s="27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 spans="2:36" ht="15.75" customHeight="1" x14ac:dyDescent="0.2">
      <c r="B427"/>
      <c r="C427" s="2"/>
      <c r="D427" s="2"/>
      <c r="E427" s="2"/>
      <c r="F427" s="2"/>
      <c r="G427" s="27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 spans="2:36" ht="15.75" customHeight="1" x14ac:dyDescent="0.2">
      <c r="B428"/>
      <c r="C428" s="2"/>
      <c r="D428" s="2"/>
      <c r="E428" s="2"/>
      <c r="F428" s="2"/>
      <c r="G428" s="27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 spans="2:36" ht="15.75" customHeight="1" x14ac:dyDescent="0.2">
      <c r="B429"/>
      <c r="C429" s="2"/>
      <c r="D429" s="2"/>
      <c r="E429" s="2"/>
      <c r="F429" s="2"/>
      <c r="G429" s="27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 spans="2:36" ht="15.75" customHeight="1" x14ac:dyDescent="0.2">
      <c r="B430"/>
      <c r="C430" s="2"/>
      <c r="D430" s="2"/>
      <c r="E430" s="2"/>
      <c r="F430" s="2"/>
      <c r="G430" s="27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 spans="2:36" ht="15.75" customHeight="1" x14ac:dyDescent="0.2">
      <c r="B431"/>
      <c r="C431" s="2"/>
      <c r="D431" s="2"/>
      <c r="E431" s="2"/>
      <c r="F431" s="2"/>
      <c r="G431" s="27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 spans="2:36" ht="15.75" customHeight="1" x14ac:dyDescent="0.2">
      <c r="B432"/>
      <c r="C432" s="2"/>
      <c r="D432" s="2"/>
      <c r="E432" s="2"/>
      <c r="F432" s="2"/>
      <c r="G432" s="27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 spans="2:36" ht="15.75" customHeight="1" x14ac:dyDescent="0.2">
      <c r="B433"/>
      <c r="C433" s="2"/>
      <c r="D433" s="2"/>
      <c r="E433" s="2"/>
      <c r="F433" s="2"/>
      <c r="G433" s="27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 spans="2:36" ht="15.75" customHeight="1" x14ac:dyDescent="0.2">
      <c r="B434"/>
      <c r="C434" s="2"/>
      <c r="D434" s="2"/>
      <c r="E434" s="2"/>
      <c r="F434" s="2"/>
      <c r="G434" s="27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 spans="2:36" ht="15.75" customHeight="1" x14ac:dyDescent="0.2">
      <c r="B435"/>
      <c r="C435" s="2"/>
      <c r="D435" s="2"/>
      <c r="E435" s="2"/>
      <c r="F435" s="2"/>
      <c r="G435" s="27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 spans="2:36" ht="15.75" customHeight="1" x14ac:dyDescent="0.2">
      <c r="B436"/>
      <c r="C436" s="2"/>
      <c r="D436" s="2"/>
      <c r="E436" s="2"/>
      <c r="F436" s="2"/>
      <c r="G436" s="27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 spans="2:36" ht="15.75" customHeight="1" x14ac:dyDescent="0.2">
      <c r="B437"/>
      <c r="C437" s="2"/>
      <c r="D437" s="2"/>
      <c r="E437" s="2"/>
      <c r="F437" s="2"/>
      <c r="G437" s="27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 spans="2:36" ht="15.75" customHeight="1" x14ac:dyDescent="0.2">
      <c r="B438"/>
      <c r="C438" s="2"/>
      <c r="D438" s="2"/>
      <c r="E438" s="2"/>
      <c r="F438" s="2"/>
      <c r="G438" s="27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 spans="2:36" ht="15.75" customHeight="1" x14ac:dyDescent="0.2">
      <c r="B439"/>
      <c r="C439" s="2"/>
      <c r="D439" s="2"/>
      <c r="E439" s="2"/>
      <c r="F439" s="2"/>
      <c r="G439" s="27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 spans="2:36" ht="15.75" customHeight="1" x14ac:dyDescent="0.2">
      <c r="B440"/>
      <c r="C440" s="2"/>
      <c r="D440" s="2"/>
      <c r="E440" s="2"/>
      <c r="F440" s="2"/>
      <c r="G440" s="27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 spans="2:36" ht="15.75" customHeight="1" x14ac:dyDescent="0.2">
      <c r="B441"/>
      <c r="C441" s="2"/>
      <c r="D441" s="2"/>
      <c r="E441" s="2"/>
      <c r="F441" s="2"/>
      <c r="G441" s="27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 spans="2:36" ht="15.75" customHeight="1" x14ac:dyDescent="0.2">
      <c r="B442"/>
      <c r="C442" s="2"/>
      <c r="D442" s="2"/>
      <c r="E442" s="2"/>
      <c r="F442" s="2"/>
      <c r="G442" s="27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 spans="2:36" ht="15.75" customHeight="1" x14ac:dyDescent="0.2">
      <c r="B443"/>
      <c r="C443" s="2"/>
      <c r="D443" s="2"/>
      <c r="E443" s="2"/>
      <c r="F443" s="2"/>
      <c r="G443" s="27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 spans="2:36" ht="15.75" customHeight="1" x14ac:dyDescent="0.2">
      <c r="B444"/>
      <c r="C444" s="2"/>
      <c r="D444" s="2"/>
      <c r="E444" s="2"/>
      <c r="F444" s="2"/>
      <c r="G444" s="27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 spans="2:36" ht="15.75" customHeight="1" x14ac:dyDescent="0.2">
      <c r="B445"/>
      <c r="C445" s="2"/>
      <c r="D445" s="2"/>
      <c r="E445" s="2"/>
      <c r="F445" s="2"/>
      <c r="G445" s="27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 spans="2:36" ht="15.75" customHeight="1" x14ac:dyDescent="0.2">
      <c r="B446"/>
      <c r="C446" s="2"/>
      <c r="D446" s="2"/>
      <c r="E446" s="2"/>
      <c r="F446" s="2"/>
      <c r="G446" s="27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 spans="2:36" ht="15.75" customHeight="1" x14ac:dyDescent="0.2">
      <c r="B447"/>
      <c r="C447" s="2"/>
      <c r="D447" s="2"/>
      <c r="E447" s="2"/>
      <c r="F447" s="2"/>
      <c r="G447" s="27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 spans="2:36" ht="15.75" customHeight="1" x14ac:dyDescent="0.2">
      <c r="B448"/>
      <c r="C448" s="2"/>
      <c r="D448" s="2"/>
      <c r="E448" s="2"/>
      <c r="F448" s="2"/>
      <c r="G448" s="27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 spans="2:36" ht="15.75" customHeight="1" x14ac:dyDescent="0.2">
      <c r="B449"/>
      <c r="C449" s="2"/>
      <c r="D449" s="2"/>
      <c r="E449" s="2"/>
      <c r="F449" s="2"/>
      <c r="G449" s="27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 spans="2:36" ht="15.75" customHeight="1" x14ac:dyDescent="0.2">
      <c r="B450"/>
      <c r="C450" s="2"/>
      <c r="D450" s="2"/>
      <c r="E450" s="2"/>
      <c r="F450" s="2"/>
      <c r="G450" s="27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 spans="2:36" ht="15.75" customHeight="1" x14ac:dyDescent="0.2">
      <c r="B451"/>
      <c r="C451" s="2"/>
      <c r="D451" s="2"/>
      <c r="E451" s="2"/>
      <c r="F451" s="2"/>
      <c r="G451" s="27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 spans="2:36" ht="15.75" customHeight="1" x14ac:dyDescent="0.2">
      <c r="B452"/>
      <c r="C452" s="2"/>
      <c r="D452" s="2"/>
      <c r="E452" s="2"/>
      <c r="F452" s="2"/>
      <c r="G452" s="27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 spans="2:36" ht="15.75" customHeight="1" x14ac:dyDescent="0.2">
      <c r="B453"/>
      <c r="C453" s="2"/>
      <c r="D453" s="2"/>
      <c r="E453" s="2"/>
      <c r="F453" s="2"/>
      <c r="G453" s="27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 spans="2:36" ht="15.75" customHeight="1" x14ac:dyDescent="0.2">
      <c r="B454"/>
      <c r="C454" s="2"/>
      <c r="D454" s="2"/>
      <c r="E454" s="2"/>
      <c r="F454" s="2"/>
      <c r="G454" s="27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 spans="2:36" ht="15.75" customHeight="1" x14ac:dyDescent="0.2">
      <c r="B455"/>
      <c r="C455" s="2"/>
      <c r="D455" s="2"/>
      <c r="E455" s="2"/>
      <c r="F455" s="2"/>
      <c r="G455" s="27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 spans="2:36" ht="15.75" customHeight="1" x14ac:dyDescent="0.2">
      <c r="B456"/>
      <c r="C456" s="2"/>
      <c r="D456" s="2"/>
      <c r="E456" s="2"/>
      <c r="F456" s="2"/>
      <c r="G456" s="27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 spans="2:36" ht="15.75" customHeight="1" x14ac:dyDescent="0.2">
      <c r="B457"/>
      <c r="C457" s="2"/>
      <c r="D457" s="2"/>
      <c r="E457" s="2"/>
      <c r="F457" s="2"/>
      <c r="G457" s="27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 spans="2:36" ht="15.75" customHeight="1" x14ac:dyDescent="0.2">
      <c r="B458"/>
      <c r="C458" s="2"/>
      <c r="D458" s="2"/>
      <c r="E458" s="2"/>
      <c r="F458" s="2"/>
      <c r="G458" s="27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 spans="2:36" ht="15.75" customHeight="1" x14ac:dyDescent="0.2">
      <c r="B459"/>
      <c r="C459" s="2"/>
      <c r="D459" s="2"/>
      <c r="E459" s="2"/>
      <c r="F459" s="2"/>
      <c r="G459" s="27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 spans="2:36" ht="15.75" customHeight="1" x14ac:dyDescent="0.2">
      <c r="B460"/>
      <c r="C460" s="2"/>
      <c r="D460" s="2"/>
      <c r="E460" s="2"/>
      <c r="F460" s="2"/>
      <c r="G460" s="27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 spans="2:36" ht="15.75" customHeight="1" x14ac:dyDescent="0.2">
      <c r="B461"/>
      <c r="C461" s="2"/>
      <c r="D461" s="2"/>
      <c r="E461" s="2"/>
      <c r="F461" s="2"/>
      <c r="G461" s="27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 spans="2:36" ht="15.75" customHeight="1" x14ac:dyDescent="0.2">
      <c r="B462"/>
      <c r="C462" s="2"/>
      <c r="D462" s="2"/>
      <c r="E462" s="2"/>
      <c r="F462" s="2"/>
      <c r="G462" s="27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 spans="2:36" ht="15.75" customHeight="1" x14ac:dyDescent="0.2">
      <c r="B463"/>
      <c r="C463" s="2"/>
      <c r="D463" s="2"/>
      <c r="E463" s="2"/>
      <c r="F463" s="2"/>
      <c r="G463" s="27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2:36" ht="15.75" customHeight="1" x14ac:dyDescent="0.2">
      <c r="B464"/>
      <c r="C464" s="2"/>
      <c r="D464" s="2"/>
      <c r="E464" s="2"/>
      <c r="F464" s="2"/>
      <c r="G464" s="27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 spans="2:36" ht="15.75" customHeight="1" x14ac:dyDescent="0.2">
      <c r="B465"/>
      <c r="C465" s="2"/>
      <c r="D465" s="2"/>
      <c r="E465" s="2"/>
      <c r="F465" s="2"/>
      <c r="G465" s="27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 spans="2:36" ht="15.75" customHeight="1" x14ac:dyDescent="0.2">
      <c r="B466"/>
      <c r="C466" s="2"/>
      <c r="D466" s="2"/>
      <c r="E466" s="2"/>
      <c r="F466" s="2"/>
      <c r="G466" s="27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 spans="2:36" ht="15.75" customHeight="1" x14ac:dyDescent="0.2">
      <c r="B467"/>
      <c r="C467" s="2"/>
      <c r="D467" s="2"/>
      <c r="E467" s="2"/>
      <c r="F467" s="2"/>
      <c r="G467" s="27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2:36" ht="15.75" customHeight="1" x14ac:dyDescent="0.2">
      <c r="B468"/>
      <c r="C468" s="2"/>
      <c r="D468" s="2"/>
      <c r="E468" s="2"/>
      <c r="F468" s="2"/>
      <c r="G468" s="27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2:36" ht="15.75" customHeight="1" x14ac:dyDescent="0.2">
      <c r="B469"/>
      <c r="C469" s="2"/>
      <c r="D469" s="2"/>
      <c r="E469" s="2"/>
      <c r="F469" s="2"/>
      <c r="G469" s="27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 spans="2:36" ht="15.75" customHeight="1" x14ac:dyDescent="0.2">
      <c r="B470"/>
      <c r="C470" s="2"/>
      <c r="D470" s="2"/>
      <c r="E470" s="2"/>
      <c r="F470" s="2"/>
      <c r="G470" s="27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 spans="2:36" ht="15.75" customHeight="1" x14ac:dyDescent="0.2">
      <c r="B471"/>
      <c r="C471" s="2"/>
      <c r="D471" s="2"/>
      <c r="E471" s="2"/>
      <c r="F471" s="2"/>
      <c r="G471" s="27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 spans="2:36" ht="15.75" customHeight="1" x14ac:dyDescent="0.2">
      <c r="B472"/>
      <c r="C472" s="2"/>
      <c r="D472" s="2"/>
      <c r="E472" s="2"/>
      <c r="F472" s="2"/>
      <c r="G472" s="27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 spans="2:36" ht="15.75" customHeight="1" x14ac:dyDescent="0.2">
      <c r="B473"/>
      <c r="C473" s="2"/>
      <c r="D473" s="2"/>
      <c r="E473" s="2"/>
      <c r="F473" s="2"/>
      <c r="G473" s="27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 spans="2:36" ht="15.75" customHeight="1" x14ac:dyDescent="0.2">
      <c r="B474"/>
      <c r="C474" s="2"/>
      <c r="D474" s="2"/>
      <c r="E474" s="2"/>
      <c r="F474" s="2"/>
      <c r="G474" s="27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 spans="2:36" ht="15.75" customHeight="1" x14ac:dyDescent="0.2">
      <c r="B475"/>
      <c r="C475" s="2"/>
      <c r="D475" s="2"/>
      <c r="E475" s="2"/>
      <c r="F475" s="2"/>
      <c r="G475" s="27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 spans="2:36" ht="15.75" customHeight="1" x14ac:dyDescent="0.2">
      <c r="B476"/>
      <c r="C476" s="2"/>
      <c r="D476" s="2"/>
      <c r="E476" s="2"/>
      <c r="F476" s="2"/>
      <c r="G476" s="27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 spans="2:36" ht="15.75" customHeight="1" x14ac:dyDescent="0.2">
      <c r="B477"/>
      <c r="C477" s="2"/>
      <c r="D477" s="2"/>
      <c r="E477" s="2"/>
      <c r="F477" s="2"/>
      <c r="G477" s="27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 spans="2:36" ht="15.75" customHeight="1" x14ac:dyDescent="0.2">
      <c r="B478"/>
      <c r="C478" s="2"/>
      <c r="D478" s="2"/>
      <c r="E478" s="2"/>
      <c r="F478" s="2"/>
      <c r="G478" s="27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 spans="2:36" ht="15.75" customHeight="1" x14ac:dyDescent="0.2">
      <c r="B479"/>
      <c r="C479" s="2"/>
      <c r="D479" s="2"/>
      <c r="E479" s="2"/>
      <c r="F479" s="2"/>
      <c r="G479" s="27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 spans="2:36" ht="15.75" customHeight="1" x14ac:dyDescent="0.2">
      <c r="B480"/>
      <c r="C480" s="2"/>
      <c r="D480" s="2"/>
      <c r="E480" s="2"/>
      <c r="F480" s="2"/>
      <c r="G480" s="27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 spans="2:36" ht="15.75" customHeight="1" x14ac:dyDescent="0.2">
      <c r="B481"/>
      <c r="C481" s="2"/>
      <c r="D481" s="2"/>
      <c r="E481" s="2"/>
      <c r="F481" s="2"/>
      <c r="G481" s="27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 spans="2:36" ht="15.75" customHeight="1" x14ac:dyDescent="0.2">
      <c r="B482"/>
      <c r="C482" s="2"/>
      <c r="D482" s="2"/>
      <c r="E482" s="2"/>
      <c r="F482" s="2"/>
      <c r="G482" s="27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 spans="2:36" ht="15.75" customHeight="1" x14ac:dyDescent="0.2">
      <c r="B483"/>
      <c r="C483" s="2"/>
      <c r="D483" s="2"/>
      <c r="E483" s="2"/>
      <c r="F483" s="2"/>
      <c r="G483" s="27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 spans="2:36" ht="15.75" customHeight="1" x14ac:dyDescent="0.2">
      <c r="B484"/>
      <c r="C484" s="2"/>
      <c r="D484" s="2"/>
      <c r="E484" s="2"/>
      <c r="F484" s="2"/>
      <c r="G484" s="27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 spans="2:36" ht="15.75" customHeight="1" x14ac:dyDescent="0.2">
      <c r="B485"/>
      <c r="C485" s="2"/>
      <c r="D485" s="2"/>
      <c r="E485" s="2"/>
      <c r="F485" s="2"/>
      <c r="G485" s="27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 spans="2:36" ht="15.75" customHeight="1" x14ac:dyDescent="0.2">
      <c r="B486"/>
      <c r="C486" s="2"/>
      <c r="D486" s="2"/>
      <c r="E486" s="2"/>
      <c r="F486" s="2"/>
      <c r="G486" s="27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 spans="2:36" ht="15.75" customHeight="1" x14ac:dyDescent="0.2">
      <c r="B487"/>
      <c r="C487" s="2"/>
      <c r="D487" s="2"/>
      <c r="E487" s="2"/>
      <c r="F487" s="2"/>
      <c r="G487" s="27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 spans="2:36" ht="15.75" customHeight="1" x14ac:dyDescent="0.2">
      <c r="B488"/>
      <c r="C488" s="2"/>
      <c r="D488" s="2"/>
      <c r="E488" s="2"/>
      <c r="F488" s="2"/>
      <c r="G488" s="27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 spans="2:36" ht="15.75" customHeight="1" x14ac:dyDescent="0.2">
      <c r="B489"/>
      <c r="C489" s="2"/>
      <c r="D489" s="2"/>
      <c r="E489" s="2"/>
      <c r="F489" s="2"/>
      <c r="G489" s="27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 spans="2:36" ht="15.75" customHeight="1" x14ac:dyDescent="0.2">
      <c r="B490"/>
      <c r="C490" s="2"/>
      <c r="D490" s="2"/>
      <c r="E490" s="2"/>
      <c r="F490" s="2"/>
      <c r="G490" s="27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 spans="2:36" ht="15.75" customHeight="1" x14ac:dyDescent="0.2">
      <c r="B491"/>
      <c r="C491" s="2"/>
      <c r="D491" s="2"/>
      <c r="E491" s="2"/>
      <c r="F491" s="2"/>
      <c r="G491" s="27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 spans="2:36" ht="15.75" customHeight="1" x14ac:dyDescent="0.2">
      <c r="B492"/>
      <c r="C492" s="2"/>
      <c r="D492" s="2"/>
      <c r="E492" s="2"/>
      <c r="F492" s="2"/>
      <c r="G492" s="27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 spans="2:36" ht="15.75" customHeight="1" x14ac:dyDescent="0.2">
      <c r="B493"/>
      <c r="C493" s="2"/>
      <c r="D493" s="2"/>
      <c r="E493" s="2"/>
      <c r="F493" s="2"/>
      <c r="G493" s="27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 spans="2:36" ht="15.75" customHeight="1" x14ac:dyDescent="0.2">
      <c r="B494"/>
      <c r="C494" s="2"/>
      <c r="D494" s="2"/>
      <c r="E494" s="2"/>
      <c r="F494" s="2"/>
      <c r="G494" s="27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 spans="2:36" ht="15.75" customHeight="1" x14ac:dyDescent="0.2">
      <c r="B495"/>
      <c r="C495" s="2"/>
      <c r="D495" s="2"/>
      <c r="E495" s="2"/>
      <c r="F495" s="2"/>
      <c r="G495" s="27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 spans="2:36" ht="15.75" customHeight="1" x14ac:dyDescent="0.2">
      <c r="B496"/>
      <c r="C496" s="2"/>
      <c r="D496" s="2"/>
      <c r="E496" s="2"/>
      <c r="F496" s="2"/>
      <c r="G496" s="27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 spans="2:36" ht="15.75" customHeight="1" x14ac:dyDescent="0.2">
      <c r="B497"/>
      <c r="C497" s="2"/>
      <c r="D497" s="2"/>
      <c r="E497" s="2"/>
      <c r="F497" s="2"/>
      <c r="G497" s="27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 spans="2:36" ht="15.75" customHeight="1" x14ac:dyDescent="0.2">
      <c r="B498"/>
      <c r="C498" s="2"/>
      <c r="D498" s="2"/>
      <c r="E498" s="2"/>
      <c r="F498" s="2"/>
      <c r="G498" s="27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 spans="2:36" ht="15.75" customHeight="1" x14ac:dyDescent="0.2">
      <c r="B499"/>
      <c r="C499" s="2"/>
      <c r="D499" s="2"/>
      <c r="E499" s="2"/>
      <c r="F499" s="2"/>
      <c r="G499" s="27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 spans="2:36" ht="15.75" customHeight="1" x14ac:dyDescent="0.2">
      <c r="B500"/>
      <c r="C500" s="2"/>
      <c r="D500" s="2"/>
      <c r="E500" s="2"/>
      <c r="F500" s="2"/>
      <c r="G500" s="27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 spans="2:36" ht="15.75" customHeight="1" x14ac:dyDescent="0.2">
      <c r="B501"/>
      <c r="C501" s="2"/>
      <c r="D501" s="2"/>
      <c r="E501" s="2"/>
      <c r="F501" s="2"/>
      <c r="G501" s="27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 spans="2:36" ht="15.75" customHeight="1" x14ac:dyDescent="0.2">
      <c r="B502"/>
      <c r="C502" s="2"/>
      <c r="D502" s="2"/>
      <c r="E502" s="2"/>
      <c r="F502" s="2"/>
      <c r="G502" s="27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 spans="2:36" ht="15.75" customHeight="1" x14ac:dyDescent="0.2">
      <c r="B503"/>
      <c r="C503" s="2"/>
      <c r="D503" s="2"/>
      <c r="E503" s="2"/>
      <c r="F503" s="2"/>
      <c r="G503" s="27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 spans="2:36" ht="15.75" customHeight="1" x14ac:dyDescent="0.2">
      <c r="B504"/>
      <c r="C504" s="2"/>
      <c r="D504" s="2"/>
      <c r="E504" s="2"/>
      <c r="F504" s="2"/>
      <c r="G504" s="27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 spans="2:36" ht="15.75" customHeight="1" x14ac:dyDescent="0.2">
      <c r="B505"/>
      <c r="C505" s="2"/>
      <c r="D505" s="2"/>
      <c r="E505" s="2"/>
      <c r="F505" s="2"/>
      <c r="G505" s="27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 spans="2:36" ht="15.75" customHeight="1" x14ac:dyDescent="0.2">
      <c r="B506"/>
      <c r="C506" s="2"/>
      <c r="D506" s="2"/>
      <c r="E506" s="2"/>
      <c r="F506" s="2"/>
      <c r="G506" s="27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 spans="2:36" ht="15.75" customHeight="1" x14ac:dyDescent="0.2">
      <c r="B507"/>
      <c r="C507" s="2"/>
      <c r="D507" s="2"/>
      <c r="E507" s="2"/>
      <c r="F507" s="2"/>
      <c r="G507" s="27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 spans="2:36" ht="15.75" customHeight="1" x14ac:dyDescent="0.2">
      <c r="B508"/>
      <c r="C508" s="2"/>
      <c r="D508" s="2"/>
      <c r="E508" s="2"/>
      <c r="F508" s="2"/>
      <c r="G508" s="27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 spans="2:36" ht="15.75" customHeight="1" x14ac:dyDescent="0.2">
      <c r="B509"/>
      <c r="C509" s="2"/>
      <c r="D509" s="2"/>
      <c r="E509" s="2"/>
      <c r="F509" s="2"/>
      <c r="G509" s="27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2:36" ht="15.75" customHeight="1" x14ac:dyDescent="0.2">
      <c r="B510"/>
      <c r="C510" s="2"/>
      <c r="D510" s="2"/>
      <c r="E510" s="2"/>
      <c r="F510" s="2"/>
      <c r="G510" s="27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 spans="2:36" ht="15.75" customHeight="1" x14ac:dyDescent="0.2">
      <c r="B511"/>
      <c r="C511" s="2"/>
      <c r="D511" s="2"/>
      <c r="E511" s="2"/>
      <c r="F511" s="2"/>
      <c r="G511" s="27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 spans="2:36" ht="15.75" customHeight="1" x14ac:dyDescent="0.2">
      <c r="B512"/>
      <c r="C512" s="2"/>
      <c r="D512" s="2"/>
      <c r="E512" s="2"/>
      <c r="F512" s="2"/>
      <c r="G512" s="27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 spans="2:36" ht="15.75" customHeight="1" x14ac:dyDescent="0.2">
      <c r="B513"/>
      <c r="C513" s="2"/>
      <c r="D513" s="2"/>
      <c r="E513" s="2"/>
      <c r="F513" s="2"/>
      <c r="G513" s="27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2:36" ht="15.75" customHeight="1" x14ac:dyDescent="0.2">
      <c r="B514"/>
      <c r="C514" s="2"/>
      <c r="D514" s="2"/>
      <c r="E514" s="2"/>
      <c r="F514" s="2"/>
      <c r="G514" s="27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 spans="2:36" ht="15.75" customHeight="1" x14ac:dyDescent="0.2">
      <c r="B515"/>
      <c r="C515" s="2"/>
      <c r="D515" s="2"/>
      <c r="E515" s="2"/>
      <c r="F515" s="2"/>
      <c r="G515" s="27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2:36" ht="15.75" customHeight="1" x14ac:dyDescent="0.2">
      <c r="B516"/>
      <c r="C516" s="2"/>
      <c r="D516" s="2"/>
      <c r="E516" s="2"/>
      <c r="F516" s="2"/>
      <c r="G516" s="27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 spans="2:36" ht="15.75" customHeight="1" x14ac:dyDescent="0.2">
      <c r="B517"/>
      <c r="C517" s="2"/>
      <c r="D517" s="2"/>
      <c r="E517" s="2"/>
      <c r="F517" s="2"/>
      <c r="G517" s="27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 spans="2:36" ht="15.75" customHeight="1" x14ac:dyDescent="0.2">
      <c r="B518"/>
      <c r="C518" s="2"/>
      <c r="D518" s="2"/>
      <c r="E518" s="2"/>
      <c r="F518" s="2"/>
      <c r="G518" s="27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 spans="2:36" ht="15.75" customHeight="1" x14ac:dyDescent="0.2">
      <c r="B519"/>
      <c r="C519" s="2"/>
      <c r="D519" s="2"/>
      <c r="E519" s="2"/>
      <c r="F519" s="2"/>
      <c r="G519" s="27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 spans="2:36" ht="15.75" customHeight="1" x14ac:dyDescent="0.2">
      <c r="B520"/>
      <c r="C520" s="2"/>
      <c r="D520" s="2"/>
      <c r="E520" s="2"/>
      <c r="F520" s="2"/>
      <c r="G520" s="27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 spans="2:36" ht="15.75" customHeight="1" x14ac:dyDescent="0.2">
      <c r="B521"/>
      <c r="C521" s="2"/>
      <c r="D521" s="2"/>
      <c r="E521" s="2"/>
      <c r="F521" s="2"/>
      <c r="G521" s="27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 spans="2:36" ht="15.75" customHeight="1" x14ac:dyDescent="0.2">
      <c r="B522"/>
      <c r="C522" s="2"/>
      <c r="D522" s="2"/>
      <c r="E522" s="2"/>
      <c r="F522" s="2"/>
      <c r="G522" s="27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 spans="2:36" ht="15.75" customHeight="1" x14ac:dyDescent="0.2">
      <c r="B523"/>
      <c r="C523" s="2"/>
      <c r="D523" s="2"/>
      <c r="E523" s="2"/>
      <c r="F523" s="2"/>
      <c r="G523" s="27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 spans="2:36" ht="15.75" customHeight="1" x14ac:dyDescent="0.2">
      <c r="B524"/>
      <c r="C524" s="2"/>
      <c r="D524" s="2"/>
      <c r="E524" s="2"/>
      <c r="F524" s="2"/>
      <c r="G524" s="27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 spans="2:36" ht="15.75" customHeight="1" x14ac:dyDescent="0.2">
      <c r="B525"/>
      <c r="C525" s="2"/>
      <c r="D525" s="2"/>
      <c r="E525" s="2"/>
      <c r="F525" s="2"/>
      <c r="G525" s="27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 spans="2:36" ht="15.75" customHeight="1" x14ac:dyDescent="0.2">
      <c r="B526"/>
      <c r="C526" s="2"/>
      <c r="D526" s="2"/>
      <c r="E526" s="2"/>
      <c r="F526" s="2"/>
      <c r="G526" s="27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 spans="2:36" ht="15.75" customHeight="1" x14ac:dyDescent="0.2">
      <c r="B527"/>
      <c r="C527" s="2"/>
      <c r="D527" s="2"/>
      <c r="E527" s="2"/>
      <c r="F527" s="2"/>
      <c r="G527" s="27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 spans="2:36" ht="15.75" customHeight="1" x14ac:dyDescent="0.2">
      <c r="B528"/>
      <c r="C528" s="2"/>
      <c r="D528" s="2"/>
      <c r="E528" s="2"/>
      <c r="F528" s="2"/>
      <c r="G528" s="27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 spans="2:36" ht="15.75" customHeight="1" x14ac:dyDescent="0.2">
      <c r="B529"/>
      <c r="C529" s="2"/>
      <c r="D529" s="2"/>
      <c r="E529" s="2"/>
      <c r="F529" s="2"/>
      <c r="G529" s="27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 spans="2:36" ht="15.75" customHeight="1" x14ac:dyDescent="0.2">
      <c r="B530"/>
      <c r="C530" s="2"/>
      <c r="D530" s="2"/>
      <c r="E530" s="2"/>
      <c r="F530" s="2"/>
      <c r="G530" s="27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 spans="2:36" ht="15.75" customHeight="1" x14ac:dyDescent="0.2">
      <c r="B531"/>
      <c r="C531" s="2"/>
      <c r="D531" s="2"/>
      <c r="E531" s="2"/>
      <c r="F531" s="2"/>
      <c r="G531" s="27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 spans="2:36" ht="15.75" customHeight="1" x14ac:dyDescent="0.2">
      <c r="B532"/>
      <c r="C532" s="2"/>
      <c r="D532" s="2"/>
      <c r="E532" s="2"/>
      <c r="F532" s="2"/>
      <c r="G532" s="27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 spans="2:36" ht="15.75" customHeight="1" x14ac:dyDescent="0.2">
      <c r="B533"/>
      <c r="C533" s="2"/>
      <c r="D533" s="2"/>
      <c r="E533" s="2"/>
      <c r="F533" s="2"/>
      <c r="G533" s="27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 spans="2:36" ht="15.75" customHeight="1" x14ac:dyDescent="0.2">
      <c r="B534"/>
      <c r="C534" s="2"/>
      <c r="D534" s="2"/>
      <c r="E534" s="2"/>
      <c r="F534" s="2"/>
      <c r="G534" s="27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 spans="2:36" ht="15.75" customHeight="1" x14ac:dyDescent="0.2">
      <c r="B535"/>
      <c r="C535" s="2"/>
      <c r="D535" s="2"/>
      <c r="E535" s="2"/>
      <c r="F535" s="2"/>
      <c r="G535" s="27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 spans="2:36" ht="15.75" customHeight="1" x14ac:dyDescent="0.2">
      <c r="B536"/>
      <c r="C536" s="2"/>
      <c r="D536" s="2"/>
      <c r="E536" s="2"/>
      <c r="F536" s="2"/>
      <c r="G536" s="27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 spans="2:36" ht="15.75" customHeight="1" x14ac:dyDescent="0.2">
      <c r="B537"/>
      <c r="C537" s="2"/>
      <c r="D537" s="2"/>
      <c r="E537" s="2"/>
      <c r="F537" s="2"/>
      <c r="G537" s="27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2:36" ht="15.75" customHeight="1" x14ac:dyDescent="0.2">
      <c r="B538"/>
      <c r="C538" s="2"/>
      <c r="D538" s="2"/>
      <c r="E538" s="2"/>
      <c r="F538" s="2"/>
      <c r="G538" s="27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 spans="2:36" ht="15.75" customHeight="1" x14ac:dyDescent="0.2">
      <c r="B539"/>
      <c r="C539" s="2"/>
      <c r="D539" s="2"/>
      <c r="E539" s="2"/>
      <c r="F539" s="2"/>
      <c r="G539" s="27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 spans="2:36" ht="15.75" customHeight="1" x14ac:dyDescent="0.2">
      <c r="B540"/>
      <c r="C540" s="2"/>
      <c r="D540" s="2"/>
      <c r="E540" s="2"/>
      <c r="F540" s="2"/>
      <c r="G540" s="27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 spans="2:36" ht="15.75" customHeight="1" x14ac:dyDescent="0.2">
      <c r="B541"/>
      <c r="C541" s="2"/>
      <c r="D541" s="2"/>
      <c r="E541" s="2"/>
      <c r="F541" s="2"/>
      <c r="G541" s="27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 spans="2:36" ht="15.75" customHeight="1" x14ac:dyDescent="0.2">
      <c r="B542"/>
      <c r="C542" s="2"/>
      <c r="D542" s="2"/>
      <c r="E542" s="2"/>
      <c r="F542" s="2"/>
      <c r="G542" s="27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 spans="2:36" ht="15.75" customHeight="1" x14ac:dyDescent="0.2">
      <c r="B543"/>
      <c r="C543" s="2"/>
      <c r="D543" s="2"/>
      <c r="E543" s="2"/>
      <c r="F543" s="2"/>
      <c r="G543" s="27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2:36" ht="15.75" customHeight="1" x14ac:dyDescent="0.2">
      <c r="B544"/>
      <c r="C544" s="2"/>
      <c r="D544" s="2"/>
      <c r="E544" s="2"/>
      <c r="F544" s="2"/>
      <c r="G544" s="27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 spans="2:36" ht="15.75" customHeight="1" x14ac:dyDescent="0.2">
      <c r="B545"/>
      <c r="C545" s="2"/>
      <c r="D545" s="2"/>
      <c r="E545" s="2"/>
      <c r="F545" s="2"/>
      <c r="G545" s="27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 spans="2:36" ht="15.75" customHeight="1" x14ac:dyDescent="0.2">
      <c r="B546"/>
      <c r="C546" s="2"/>
      <c r="D546" s="2"/>
      <c r="E546" s="2"/>
      <c r="F546" s="2"/>
      <c r="G546" s="27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 spans="2:36" ht="15.75" customHeight="1" x14ac:dyDescent="0.2">
      <c r="B547"/>
      <c r="C547" s="2"/>
      <c r="D547" s="2"/>
      <c r="E547" s="2"/>
      <c r="F547" s="2"/>
      <c r="G547" s="27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 spans="2:36" ht="15.75" customHeight="1" x14ac:dyDescent="0.2">
      <c r="B548"/>
      <c r="C548" s="2"/>
      <c r="D548" s="2"/>
      <c r="E548" s="2"/>
      <c r="F548" s="2"/>
      <c r="G548" s="27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 spans="2:36" ht="15.75" customHeight="1" x14ac:dyDescent="0.2">
      <c r="B549"/>
      <c r="C549" s="2"/>
      <c r="D549" s="2"/>
      <c r="E549" s="2"/>
      <c r="F549" s="2"/>
      <c r="G549" s="27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 spans="2:36" ht="15.75" customHeight="1" x14ac:dyDescent="0.2">
      <c r="B550"/>
      <c r="C550" s="2"/>
      <c r="D550" s="2"/>
      <c r="E550" s="2"/>
      <c r="F550" s="2"/>
      <c r="G550" s="27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 spans="2:36" ht="15.75" customHeight="1" x14ac:dyDescent="0.2">
      <c r="B551"/>
      <c r="C551" s="2"/>
      <c r="D551" s="2"/>
      <c r="E551" s="2"/>
      <c r="F551" s="2"/>
      <c r="G551" s="27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 spans="2:36" ht="15.75" customHeight="1" x14ac:dyDescent="0.2">
      <c r="B552"/>
      <c r="C552" s="2"/>
      <c r="D552" s="2"/>
      <c r="E552" s="2"/>
      <c r="F552" s="2"/>
      <c r="G552" s="27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 spans="2:36" ht="15.75" customHeight="1" x14ac:dyDescent="0.2">
      <c r="B553"/>
      <c r="C553" s="2"/>
      <c r="D553" s="2"/>
      <c r="E553" s="2"/>
      <c r="F553" s="2"/>
      <c r="G553" s="27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 spans="2:36" ht="15.75" customHeight="1" x14ac:dyDescent="0.2">
      <c r="B554"/>
      <c r="C554" s="2"/>
      <c r="D554" s="2"/>
      <c r="E554" s="2"/>
      <c r="F554" s="2"/>
      <c r="G554" s="27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 spans="2:36" ht="15.75" customHeight="1" x14ac:dyDescent="0.2">
      <c r="B555"/>
      <c r="C555" s="2"/>
      <c r="D555" s="2"/>
      <c r="E555" s="2"/>
      <c r="F555" s="2"/>
      <c r="G555" s="27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 spans="2:36" ht="15.75" customHeight="1" x14ac:dyDescent="0.2">
      <c r="B556"/>
      <c r="C556" s="2"/>
      <c r="D556" s="2"/>
      <c r="E556" s="2"/>
      <c r="F556" s="2"/>
      <c r="G556" s="27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 spans="2:36" ht="15.75" customHeight="1" x14ac:dyDescent="0.2">
      <c r="B557"/>
      <c r="C557" s="2"/>
      <c r="D557" s="2"/>
      <c r="E557" s="2"/>
      <c r="F557" s="2"/>
      <c r="G557" s="27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 spans="2:36" ht="15.75" customHeight="1" x14ac:dyDescent="0.2">
      <c r="B558"/>
      <c r="C558" s="2"/>
      <c r="D558" s="2"/>
      <c r="E558" s="2"/>
      <c r="F558" s="2"/>
      <c r="G558" s="27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 spans="2:36" ht="15.75" customHeight="1" x14ac:dyDescent="0.2">
      <c r="B559"/>
      <c r="C559" s="2"/>
      <c r="D559" s="2"/>
      <c r="E559" s="2"/>
      <c r="F559" s="2"/>
      <c r="G559" s="27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 spans="2:36" ht="15.75" customHeight="1" x14ac:dyDescent="0.2">
      <c r="B560"/>
      <c r="C560" s="2"/>
      <c r="D560" s="2"/>
      <c r="E560" s="2"/>
      <c r="F560" s="2"/>
      <c r="G560" s="27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 spans="2:36" ht="15.75" customHeight="1" x14ac:dyDescent="0.2">
      <c r="B561"/>
      <c r="C561" s="2"/>
      <c r="D561" s="2"/>
      <c r="E561" s="2"/>
      <c r="F561" s="2"/>
      <c r="G561" s="27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 spans="2:36" ht="15.75" customHeight="1" x14ac:dyDescent="0.2">
      <c r="B562"/>
      <c r="C562" s="2"/>
      <c r="D562" s="2"/>
      <c r="E562" s="2"/>
      <c r="F562" s="2"/>
      <c r="G562" s="27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2:36" ht="15.75" customHeight="1" x14ac:dyDescent="0.2">
      <c r="B563"/>
      <c r="C563" s="2"/>
      <c r="D563" s="2"/>
      <c r="E563" s="2"/>
      <c r="F563" s="2"/>
      <c r="G563" s="27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 spans="2:36" ht="15.75" customHeight="1" x14ac:dyDescent="0.2">
      <c r="B564"/>
      <c r="C564" s="2"/>
      <c r="D564" s="2"/>
      <c r="E564" s="2"/>
      <c r="F564" s="2"/>
      <c r="G564" s="27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 spans="2:36" ht="15.75" customHeight="1" x14ac:dyDescent="0.2">
      <c r="B565"/>
      <c r="C565" s="2"/>
      <c r="D565" s="2"/>
      <c r="E565" s="2"/>
      <c r="F565" s="2"/>
      <c r="G565" s="27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 spans="2:36" ht="15.75" customHeight="1" x14ac:dyDescent="0.2">
      <c r="B566"/>
      <c r="C566" s="2"/>
      <c r="D566" s="2"/>
      <c r="E566" s="2"/>
      <c r="F566" s="2"/>
      <c r="G566" s="27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 spans="2:36" ht="15.75" customHeight="1" x14ac:dyDescent="0.2">
      <c r="B567"/>
      <c r="C567" s="2"/>
      <c r="D567" s="2"/>
      <c r="E567" s="2"/>
      <c r="F567" s="2"/>
      <c r="G567" s="27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 spans="2:36" ht="15.75" customHeight="1" x14ac:dyDescent="0.2">
      <c r="B568"/>
      <c r="C568" s="2"/>
      <c r="D568" s="2"/>
      <c r="E568" s="2"/>
      <c r="F568" s="2"/>
      <c r="G568" s="27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2:36" ht="15.75" customHeight="1" x14ac:dyDescent="0.2">
      <c r="B569"/>
      <c r="C569" s="2"/>
      <c r="D569" s="2"/>
      <c r="E569" s="2"/>
      <c r="F569" s="2"/>
      <c r="G569" s="27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 spans="2:36" ht="15.75" customHeight="1" x14ac:dyDescent="0.2">
      <c r="B570"/>
      <c r="C570" s="2"/>
      <c r="D570" s="2"/>
      <c r="E570" s="2"/>
      <c r="F570" s="2"/>
      <c r="G570" s="27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 spans="2:36" ht="15.75" customHeight="1" x14ac:dyDescent="0.2">
      <c r="B571"/>
      <c r="C571" s="2"/>
      <c r="D571" s="2"/>
      <c r="E571" s="2"/>
      <c r="F571" s="2"/>
      <c r="G571" s="27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 spans="2:36" ht="15.75" customHeight="1" x14ac:dyDescent="0.2">
      <c r="B572"/>
      <c r="C572" s="2"/>
      <c r="D572" s="2"/>
      <c r="E572" s="2"/>
      <c r="F572" s="2"/>
      <c r="G572" s="27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 spans="2:36" ht="15.75" customHeight="1" x14ac:dyDescent="0.2">
      <c r="B573"/>
      <c r="C573" s="2"/>
      <c r="D573" s="2"/>
      <c r="E573" s="2"/>
      <c r="F573" s="2"/>
      <c r="G573" s="27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 spans="2:36" ht="15.75" customHeight="1" x14ac:dyDescent="0.2">
      <c r="B574"/>
      <c r="C574" s="2"/>
      <c r="D574" s="2"/>
      <c r="E574" s="2"/>
      <c r="F574" s="2"/>
      <c r="G574" s="27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2:36" ht="15.75" customHeight="1" x14ac:dyDescent="0.2">
      <c r="B575"/>
      <c r="C575" s="2"/>
      <c r="D575" s="2"/>
      <c r="E575" s="2"/>
      <c r="F575" s="2"/>
      <c r="G575" s="27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 spans="2:36" ht="15.75" customHeight="1" x14ac:dyDescent="0.2">
      <c r="B576"/>
      <c r="C576" s="2"/>
      <c r="D576" s="2"/>
      <c r="E576" s="2"/>
      <c r="F576" s="2"/>
      <c r="G576" s="27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 spans="2:36" ht="15.75" customHeight="1" x14ac:dyDescent="0.2">
      <c r="B577"/>
      <c r="C577" s="2"/>
      <c r="D577" s="2"/>
      <c r="E577" s="2"/>
      <c r="F577" s="2"/>
      <c r="G577" s="27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 spans="2:36" ht="15.75" customHeight="1" x14ac:dyDescent="0.2">
      <c r="B578"/>
      <c r="C578" s="2"/>
      <c r="D578" s="2"/>
      <c r="E578" s="2"/>
      <c r="F578" s="2"/>
      <c r="G578" s="27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 spans="2:36" ht="15.75" customHeight="1" x14ac:dyDescent="0.2">
      <c r="B579"/>
      <c r="C579" s="2"/>
      <c r="D579" s="2"/>
      <c r="E579" s="2"/>
      <c r="F579" s="2"/>
      <c r="G579" s="27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 spans="2:36" ht="15.75" customHeight="1" x14ac:dyDescent="0.2">
      <c r="B580"/>
      <c r="C580" s="2"/>
      <c r="D580" s="2"/>
      <c r="E580" s="2"/>
      <c r="F580" s="2"/>
      <c r="G580" s="27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 spans="2:36" ht="15.75" customHeight="1" x14ac:dyDescent="0.2">
      <c r="B581"/>
      <c r="C581" s="2"/>
      <c r="D581" s="2"/>
      <c r="E581" s="2"/>
      <c r="F581" s="2"/>
      <c r="G581" s="27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 spans="2:36" ht="15.75" customHeight="1" x14ac:dyDescent="0.2">
      <c r="B582"/>
      <c r="C582" s="2"/>
      <c r="D582" s="2"/>
      <c r="E582" s="2"/>
      <c r="F582" s="2"/>
      <c r="G582" s="27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 spans="2:36" ht="15.75" customHeight="1" x14ac:dyDescent="0.2">
      <c r="B583"/>
      <c r="C583" s="2"/>
      <c r="D583" s="2"/>
      <c r="E583" s="2"/>
      <c r="F583" s="2"/>
      <c r="G583" s="27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2:36" ht="15.75" customHeight="1" x14ac:dyDescent="0.2">
      <c r="B584"/>
      <c r="C584" s="2"/>
      <c r="D584" s="2"/>
      <c r="E584" s="2"/>
      <c r="F584" s="2"/>
      <c r="G584" s="27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 spans="2:36" ht="15.75" customHeight="1" x14ac:dyDescent="0.2">
      <c r="B585"/>
      <c r="C585" s="2"/>
      <c r="D585" s="2"/>
      <c r="E585" s="2"/>
      <c r="F585" s="2"/>
      <c r="G585" s="27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 spans="2:36" ht="15.75" customHeight="1" x14ac:dyDescent="0.2">
      <c r="B586"/>
      <c r="C586" s="2"/>
      <c r="D586" s="2"/>
      <c r="E586" s="2"/>
      <c r="F586" s="2"/>
      <c r="G586" s="27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 spans="2:36" ht="15.75" customHeight="1" x14ac:dyDescent="0.2">
      <c r="B587"/>
      <c r="C587" s="2"/>
      <c r="D587" s="2"/>
      <c r="E587" s="2"/>
      <c r="F587" s="2"/>
      <c r="G587" s="27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 spans="2:36" ht="15.75" customHeight="1" x14ac:dyDescent="0.2">
      <c r="B588"/>
      <c r="C588" s="2"/>
      <c r="D588" s="2"/>
      <c r="E588" s="2"/>
      <c r="F588" s="2"/>
      <c r="G588" s="27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 spans="2:36" ht="15.75" customHeight="1" x14ac:dyDescent="0.2">
      <c r="B589"/>
      <c r="C589" s="2"/>
      <c r="D589" s="2"/>
      <c r="E589" s="2"/>
      <c r="F589" s="2"/>
      <c r="G589" s="27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 spans="2:36" ht="15.75" customHeight="1" x14ac:dyDescent="0.2">
      <c r="B590"/>
      <c r="C590" s="2"/>
      <c r="D590" s="2"/>
      <c r="E590" s="2"/>
      <c r="F590" s="2"/>
      <c r="G590" s="27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 spans="2:36" ht="15.75" customHeight="1" x14ac:dyDescent="0.2">
      <c r="B591"/>
      <c r="C591" s="2"/>
      <c r="D591" s="2"/>
      <c r="E591" s="2"/>
      <c r="F591" s="2"/>
      <c r="G591" s="27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 spans="2:36" ht="15.75" customHeight="1" x14ac:dyDescent="0.2">
      <c r="B592"/>
      <c r="C592" s="2"/>
      <c r="D592" s="2"/>
      <c r="E592" s="2"/>
      <c r="F592" s="2"/>
      <c r="G592" s="27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 spans="2:36" ht="15.75" customHeight="1" x14ac:dyDescent="0.2">
      <c r="B593"/>
      <c r="C593" s="2"/>
      <c r="D593" s="2"/>
      <c r="E593" s="2"/>
      <c r="F593" s="2"/>
      <c r="G593" s="27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 spans="2:36" ht="15.75" customHeight="1" x14ac:dyDescent="0.2">
      <c r="B594"/>
      <c r="C594" s="2"/>
      <c r="D594" s="2"/>
      <c r="E594" s="2"/>
      <c r="F594" s="2"/>
      <c r="G594" s="27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 spans="2:36" ht="15.75" customHeight="1" x14ac:dyDescent="0.2">
      <c r="B595"/>
      <c r="C595" s="2"/>
      <c r="D595" s="2"/>
      <c r="E595" s="2"/>
      <c r="F595" s="2"/>
      <c r="G595" s="27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 spans="2:36" ht="15.75" customHeight="1" x14ac:dyDescent="0.2">
      <c r="B596"/>
      <c r="C596" s="2"/>
      <c r="D596" s="2"/>
      <c r="E596" s="2"/>
      <c r="F596" s="2"/>
      <c r="G596" s="27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 spans="2:36" ht="15.75" customHeight="1" x14ac:dyDescent="0.2">
      <c r="B597"/>
      <c r="C597" s="2"/>
      <c r="D597" s="2"/>
      <c r="E597" s="2"/>
      <c r="F597" s="2"/>
      <c r="G597" s="27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 spans="2:36" ht="15.75" customHeight="1" x14ac:dyDescent="0.2">
      <c r="B598"/>
      <c r="C598" s="2"/>
      <c r="D598" s="2"/>
      <c r="E598" s="2"/>
      <c r="F598" s="2"/>
      <c r="G598" s="27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 spans="2:36" ht="15.75" customHeight="1" x14ac:dyDescent="0.2">
      <c r="B599"/>
      <c r="C599" s="2"/>
      <c r="D599" s="2"/>
      <c r="E599" s="2"/>
      <c r="F599" s="2"/>
      <c r="G599" s="27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 spans="2:36" ht="15.75" customHeight="1" x14ac:dyDescent="0.2">
      <c r="B600"/>
      <c r="C600" s="2"/>
      <c r="D600" s="2"/>
      <c r="E600" s="2"/>
      <c r="F600" s="2"/>
      <c r="G600" s="27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 spans="2:36" ht="15.75" customHeight="1" x14ac:dyDescent="0.2">
      <c r="B601"/>
      <c r="C601" s="2"/>
      <c r="D601" s="2"/>
      <c r="E601" s="2"/>
      <c r="F601" s="2"/>
      <c r="G601" s="27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 spans="2:36" ht="15.75" customHeight="1" x14ac:dyDescent="0.2">
      <c r="B602"/>
      <c r="C602" s="2"/>
      <c r="D602" s="2"/>
      <c r="E602" s="2"/>
      <c r="F602" s="2"/>
      <c r="G602" s="27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 spans="2:36" ht="15.75" customHeight="1" x14ac:dyDescent="0.2">
      <c r="B603"/>
      <c r="C603" s="2"/>
      <c r="D603" s="2"/>
      <c r="E603" s="2"/>
      <c r="F603" s="2"/>
      <c r="G603" s="27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2:36" ht="15.75" customHeight="1" x14ac:dyDescent="0.2">
      <c r="B604"/>
      <c r="C604" s="2"/>
      <c r="D604" s="2"/>
      <c r="E604" s="2"/>
      <c r="F604" s="2"/>
      <c r="G604" s="27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2:36" ht="15.75" customHeight="1" x14ac:dyDescent="0.2">
      <c r="B605"/>
      <c r="C605" s="2"/>
      <c r="D605" s="2"/>
      <c r="E605" s="2"/>
      <c r="F605" s="2"/>
      <c r="G605" s="27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 spans="2:36" ht="15.75" customHeight="1" x14ac:dyDescent="0.2">
      <c r="B606"/>
      <c r="C606" s="2"/>
      <c r="D606" s="2"/>
      <c r="E606" s="2"/>
      <c r="F606" s="2"/>
      <c r="G606" s="27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 spans="2:36" ht="15.75" customHeight="1" x14ac:dyDescent="0.2">
      <c r="B607"/>
      <c r="C607" s="2"/>
      <c r="D607" s="2"/>
      <c r="E607" s="2"/>
      <c r="F607" s="2"/>
      <c r="G607" s="27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 spans="2:36" ht="15.75" customHeight="1" x14ac:dyDescent="0.2">
      <c r="B608"/>
      <c r="C608" s="2"/>
      <c r="D608" s="2"/>
      <c r="E608" s="2"/>
      <c r="F608" s="2"/>
      <c r="G608" s="27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 spans="2:36" ht="15.75" customHeight="1" x14ac:dyDescent="0.2">
      <c r="B609"/>
      <c r="C609" s="2"/>
      <c r="D609" s="2"/>
      <c r="E609" s="2"/>
      <c r="F609" s="2"/>
      <c r="G609" s="27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 spans="2:36" ht="15.75" customHeight="1" x14ac:dyDescent="0.2">
      <c r="B610"/>
      <c r="C610" s="2"/>
      <c r="D610" s="2"/>
      <c r="E610" s="2"/>
      <c r="F610" s="2"/>
      <c r="G610" s="27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 spans="2:36" ht="15.75" customHeight="1" x14ac:dyDescent="0.2">
      <c r="B611"/>
      <c r="C611" s="2"/>
      <c r="D611" s="2"/>
      <c r="E611" s="2"/>
      <c r="F611" s="2"/>
      <c r="G611" s="27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 spans="2:36" ht="15.75" customHeight="1" x14ac:dyDescent="0.2">
      <c r="B612"/>
      <c r="C612" s="2"/>
      <c r="D612" s="2"/>
      <c r="E612" s="2"/>
      <c r="F612" s="2"/>
      <c r="G612" s="27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 spans="2:36" ht="15.75" customHeight="1" x14ac:dyDescent="0.2">
      <c r="B613"/>
      <c r="C613" s="2"/>
      <c r="D613" s="2"/>
      <c r="E613" s="2"/>
      <c r="F613" s="2"/>
      <c r="G613" s="27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 spans="2:36" ht="15.75" customHeight="1" x14ac:dyDescent="0.2">
      <c r="B614"/>
      <c r="C614" s="2"/>
      <c r="D614" s="2"/>
      <c r="E614" s="2"/>
      <c r="F614" s="2"/>
      <c r="G614" s="27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 spans="2:36" ht="15.75" customHeight="1" x14ac:dyDescent="0.2">
      <c r="B615"/>
      <c r="C615" s="2"/>
      <c r="D615" s="2"/>
      <c r="E615" s="2"/>
      <c r="F615" s="2"/>
      <c r="G615" s="27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 spans="2:36" ht="15.75" customHeight="1" x14ac:dyDescent="0.2">
      <c r="B616"/>
      <c r="C616" s="2"/>
      <c r="D616" s="2"/>
      <c r="E616" s="2"/>
      <c r="F616" s="2"/>
      <c r="G616" s="27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 spans="2:36" ht="15.75" customHeight="1" x14ac:dyDescent="0.2">
      <c r="B617"/>
      <c r="C617" s="2"/>
      <c r="D617" s="2"/>
      <c r="E617" s="2"/>
      <c r="F617" s="2"/>
      <c r="G617" s="27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 spans="2:36" ht="15.75" customHeight="1" x14ac:dyDescent="0.2">
      <c r="B618"/>
      <c r="C618" s="2"/>
      <c r="D618" s="2"/>
      <c r="E618" s="2"/>
      <c r="F618" s="2"/>
      <c r="G618" s="27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 spans="2:36" ht="15.75" customHeight="1" x14ac:dyDescent="0.2">
      <c r="B619"/>
      <c r="C619" s="2"/>
      <c r="D619" s="2"/>
      <c r="E619" s="2"/>
      <c r="F619" s="2"/>
      <c r="G619" s="27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 spans="2:36" ht="15.75" customHeight="1" x14ac:dyDescent="0.2">
      <c r="B620"/>
      <c r="C620" s="2"/>
      <c r="D620" s="2"/>
      <c r="E620" s="2"/>
      <c r="F620" s="2"/>
      <c r="G620" s="27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 spans="2:36" ht="15.75" customHeight="1" x14ac:dyDescent="0.2">
      <c r="B621"/>
      <c r="C621" s="2"/>
      <c r="D621" s="2"/>
      <c r="E621" s="2"/>
      <c r="F621" s="2"/>
      <c r="G621" s="27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 spans="2:36" ht="15.75" customHeight="1" x14ac:dyDescent="0.2">
      <c r="B622"/>
      <c r="C622" s="2"/>
      <c r="D622" s="2"/>
      <c r="E622" s="2"/>
      <c r="F622" s="2"/>
      <c r="G622" s="27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 spans="2:36" ht="15.75" customHeight="1" x14ac:dyDescent="0.2">
      <c r="B623"/>
      <c r="C623" s="2"/>
      <c r="D623" s="2"/>
      <c r="E623" s="2"/>
      <c r="F623" s="2"/>
      <c r="G623" s="27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 spans="2:36" ht="15.75" customHeight="1" x14ac:dyDescent="0.2">
      <c r="B624"/>
      <c r="C624" s="2"/>
      <c r="D624" s="2"/>
      <c r="E624" s="2"/>
      <c r="F624" s="2"/>
      <c r="G624" s="27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 spans="2:36" ht="15.75" customHeight="1" x14ac:dyDescent="0.2">
      <c r="B625"/>
      <c r="C625" s="2"/>
      <c r="D625" s="2"/>
      <c r="E625" s="2"/>
      <c r="F625" s="2"/>
      <c r="G625" s="27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 spans="2:36" ht="15.75" customHeight="1" x14ac:dyDescent="0.2">
      <c r="B626"/>
      <c r="C626" s="2"/>
      <c r="D626" s="2"/>
      <c r="E626" s="2"/>
      <c r="F626" s="2"/>
      <c r="G626" s="27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 spans="2:36" ht="15.75" customHeight="1" x14ac:dyDescent="0.2">
      <c r="B627"/>
      <c r="C627" s="2"/>
      <c r="D627" s="2"/>
      <c r="E627" s="2"/>
      <c r="F627" s="2"/>
      <c r="G627" s="27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 spans="2:36" ht="15.75" customHeight="1" x14ac:dyDescent="0.2">
      <c r="B628"/>
      <c r="C628" s="2"/>
      <c r="D628" s="2"/>
      <c r="E628" s="2"/>
      <c r="F628" s="2"/>
      <c r="G628" s="27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 spans="2:36" ht="15.75" customHeight="1" x14ac:dyDescent="0.2">
      <c r="B629"/>
      <c r="C629" s="2"/>
      <c r="D629" s="2"/>
      <c r="E629" s="2"/>
      <c r="F629" s="2"/>
      <c r="G629" s="27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 spans="2:36" ht="15.75" customHeight="1" x14ac:dyDescent="0.2">
      <c r="B630"/>
      <c r="C630" s="2"/>
      <c r="D630" s="2"/>
      <c r="E630" s="2"/>
      <c r="F630" s="2"/>
      <c r="G630" s="27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 spans="2:36" ht="15.75" customHeight="1" x14ac:dyDescent="0.2">
      <c r="B631"/>
      <c r="C631" s="2"/>
      <c r="D631" s="2"/>
      <c r="E631" s="2"/>
      <c r="F631" s="2"/>
      <c r="G631" s="27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 spans="2:36" ht="15.75" customHeight="1" x14ac:dyDescent="0.2">
      <c r="B632"/>
      <c r="C632" s="2"/>
      <c r="D632" s="2"/>
      <c r="E632" s="2"/>
      <c r="F632" s="2"/>
      <c r="G632" s="27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2:36" ht="15.75" customHeight="1" x14ac:dyDescent="0.2">
      <c r="B633"/>
      <c r="C633" s="2"/>
      <c r="D633" s="2"/>
      <c r="E633" s="2"/>
      <c r="F633" s="2"/>
      <c r="G633" s="27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 spans="2:36" ht="15.75" customHeight="1" x14ac:dyDescent="0.2">
      <c r="B634"/>
      <c r="C634" s="2"/>
      <c r="D634" s="2"/>
      <c r="E634" s="2"/>
      <c r="F634" s="2"/>
      <c r="G634" s="27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 spans="2:36" ht="15.75" customHeight="1" x14ac:dyDescent="0.2">
      <c r="B635"/>
      <c r="C635" s="2"/>
      <c r="D635" s="2"/>
      <c r="E635" s="2"/>
      <c r="F635" s="2"/>
      <c r="G635" s="27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 spans="2:36" ht="15.75" customHeight="1" x14ac:dyDescent="0.2">
      <c r="B636"/>
      <c r="C636" s="2"/>
      <c r="D636" s="2"/>
      <c r="E636" s="2"/>
      <c r="F636" s="2"/>
      <c r="G636" s="27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2:36" ht="15.75" customHeight="1" x14ac:dyDescent="0.2">
      <c r="B637"/>
      <c r="C637" s="2"/>
      <c r="D637" s="2"/>
      <c r="E637" s="2"/>
      <c r="F637" s="2"/>
      <c r="G637" s="27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 spans="2:36" ht="15.75" customHeight="1" x14ac:dyDescent="0.2">
      <c r="B638"/>
      <c r="C638" s="2"/>
      <c r="D638" s="2"/>
      <c r="E638" s="2"/>
      <c r="F638" s="2"/>
      <c r="G638" s="27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 spans="2:36" ht="15.75" customHeight="1" x14ac:dyDescent="0.2">
      <c r="B639"/>
      <c r="C639" s="2"/>
      <c r="D639" s="2"/>
      <c r="E639" s="2"/>
      <c r="F639" s="2"/>
      <c r="G639" s="27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 spans="2:36" ht="15.75" customHeight="1" x14ac:dyDescent="0.2">
      <c r="B640"/>
      <c r="C640" s="2"/>
      <c r="D640" s="2"/>
      <c r="E640" s="2"/>
      <c r="F640" s="2"/>
      <c r="G640" s="27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2:36" ht="15.75" customHeight="1" x14ac:dyDescent="0.2">
      <c r="B641"/>
      <c r="C641" s="2"/>
      <c r="D641" s="2"/>
      <c r="E641" s="2"/>
      <c r="F641" s="2"/>
      <c r="G641" s="27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2:36" ht="15.75" customHeight="1" x14ac:dyDescent="0.2">
      <c r="B642"/>
      <c r="C642" s="2"/>
      <c r="D642" s="2"/>
      <c r="E642" s="2"/>
      <c r="F642" s="2"/>
      <c r="G642" s="27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 spans="2:36" ht="15.75" customHeight="1" x14ac:dyDescent="0.2">
      <c r="B643"/>
      <c r="C643" s="2"/>
      <c r="D643" s="2"/>
      <c r="E643" s="2"/>
      <c r="F643" s="2"/>
      <c r="G643" s="27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 spans="2:36" ht="15.75" customHeight="1" x14ac:dyDescent="0.2">
      <c r="B644"/>
      <c r="C644" s="2"/>
      <c r="D644" s="2"/>
      <c r="E644" s="2"/>
      <c r="F644" s="2"/>
      <c r="G644" s="27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2:36" ht="15.75" customHeight="1" x14ac:dyDescent="0.2">
      <c r="B645"/>
      <c r="C645" s="2"/>
      <c r="D645" s="2"/>
      <c r="E645" s="2"/>
      <c r="F645" s="2"/>
      <c r="G645" s="27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 spans="2:36" ht="15.75" customHeight="1" x14ac:dyDescent="0.2">
      <c r="B646"/>
      <c r="C646" s="2"/>
      <c r="D646" s="2"/>
      <c r="E646" s="2"/>
      <c r="F646" s="2"/>
      <c r="G646" s="27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 spans="2:36" ht="15.75" customHeight="1" x14ac:dyDescent="0.2">
      <c r="B647"/>
      <c r="C647" s="2"/>
      <c r="D647" s="2"/>
      <c r="E647" s="2"/>
      <c r="F647" s="2"/>
      <c r="G647" s="27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 spans="2:36" ht="15.75" customHeight="1" x14ac:dyDescent="0.2">
      <c r="B648"/>
      <c r="C648" s="2"/>
      <c r="D648" s="2"/>
      <c r="E648" s="2"/>
      <c r="F648" s="2"/>
      <c r="G648" s="27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 spans="2:36" ht="15.75" customHeight="1" x14ac:dyDescent="0.2">
      <c r="B649"/>
      <c r="C649" s="2"/>
      <c r="D649" s="2"/>
      <c r="E649" s="2"/>
      <c r="F649" s="2"/>
      <c r="G649" s="27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 spans="2:36" ht="15.75" customHeight="1" x14ac:dyDescent="0.2">
      <c r="B650"/>
      <c r="C650" s="2"/>
      <c r="D650" s="2"/>
      <c r="E650" s="2"/>
      <c r="F650" s="2"/>
      <c r="G650" s="27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 spans="2:36" ht="15.75" customHeight="1" x14ac:dyDescent="0.2">
      <c r="B651"/>
      <c r="C651" s="2"/>
      <c r="D651" s="2"/>
      <c r="E651" s="2"/>
      <c r="F651" s="2"/>
      <c r="G651" s="27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 spans="2:36" ht="15.75" customHeight="1" x14ac:dyDescent="0.2">
      <c r="B652"/>
      <c r="C652" s="2"/>
      <c r="D652" s="2"/>
      <c r="E652" s="2"/>
      <c r="F652" s="2"/>
      <c r="G652" s="27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 spans="2:36" ht="15.75" customHeight="1" x14ac:dyDescent="0.2">
      <c r="B653"/>
      <c r="C653" s="2"/>
      <c r="D653" s="2"/>
      <c r="E653" s="2"/>
      <c r="F653" s="2"/>
      <c r="G653" s="27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 spans="2:36" ht="15.75" customHeight="1" x14ac:dyDescent="0.2">
      <c r="B654"/>
      <c r="C654" s="2"/>
      <c r="D654" s="2"/>
      <c r="E654" s="2"/>
      <c r="F654" s="2"/>
      <c r="G654" s="27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 spans="2:36" ht="15.75" customHeight="1" x14ac:dyDescent="0.2">
      <c r="B655"/>
      <c r="C655" s="2"/>
      <c r="D655" s="2"/>
      <c r="E655" s="2"/>
      <c r="F655" s="2"/>
      <c r="G655" s="27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 spans="2:36" ht="15.75" customHeight="1" x14ac:dyDescent="0.2">
      <c r="B656"/>
      <c r="C656" s="2"/>
      <c r="D656" s="2"/>
      <c r="E656" s="2"/>
      <c r="F656" s="2"/>
      <c r="G656" s="27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 spans="2:36" ht="15.75" customHeight="1" x14ac:dyDescent="0.2">
      <c r="B657"/>
      <c r="C657" s="2"/>
      <c r="D657" s="2"/>
      <c r="E657" s="2"/>
      <c r="F657" s="2"/>
      <c r="G657" s="27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 spans="2:36" ht="15.75" customHeight="1" x14ac:dyDescent="0.2">
      <c r="B658"/>
      <c r="C658" s="2"/>
      <c r="D658" s="2"/>
      <c r="E658" s="2"/>
      <c r="F658" s="2"/>
      <c r="G658" s="27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 spans="2:36" ht="15.75" customHeight="1" x14ac:dyDescent="0.2">
      <c r="B659"/>
      <c r="C659" s="2"/>
      <c r="D659" s="2"/>
      <c r="E659" s="2"/>
      <c r="F659" s="2"/>
      <c r="G659" s="27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 spans="2:36" ht="15.75" customHeight="1" x14ac:dyDescent="0.2">
      <c r="B660"/>
      <c r="C660" s="2"/>
      <c r="D660" s="2"/>
      <c r="E660" s="2"/>
      <c r="F660" s="2"/>
      <c r="G660" s="27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2:36" ht="15.75" customHeight="1" x14ac:dyDescent="0.2">
      <c r="B661"/>
      <c r="C661" s="2"/>
      <c r="D661" s="2"/>
      <c r="E661" s="2"/>
      <c r="F661" s="2"/>
      <c r="G661" s="27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 spans="2:36" ht="15.75" customHeight="1" x14ac:dyDescent="0.2">
      <c r="B662"/>
      <c r="C662" s="2"/>
      <c r="D662" s="2"/>
      <c r="E662" s="2"/>
      <c r="F662" s="2"/>
      <c r="G662" s="27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 spans="2:36" ht="15.75" customHeight="1" x14ac:dyDescent="0.2">
      <c r="B663"/>
      <c r="C663" s="2"/>
      <c r="D663" s="2"/>
      <c r="E663" s="2"/>
      <c r="F663" s="2"/>
      <c r="G663" s="27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2:36" ht="15.75" customHeight="1" x14ac:dyDescent="0.2">
      <c r="B664"/>
      <c r="C664" s="2"/>
      <c r="D664" s="2"/>
      <c r="E664" s="2"/>
      <c r="F664" s="2"/>
      <c r="G664" s="27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 spans="2:36" ht="15.75" customHeight="1" x14ac:dyDescent="0.2">
      <c r="B665"/>
      <c r="C665" s="2"/>
      <c r="D665" s="2"/>
      <c r="E665" s="2"/>
      <c r="F665" s="2"/>
      <c r="G665" s="27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 spans="2:36" ht="15.75" customHeight="1" x14ac:dyDescent="0.2">
      <c r="B666"/>
      <c r="C666" s="2"/>
      <c r="D666" s="2"/>
      <c r="E666" s="2"/>
      <c r="F666" s="2"/>
      <c r="G666" s="27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 spans="2:36" ht="15.75" customHeight="1" x14ac:dyDescent="0.2">
      <c r="B667"/>
      <c r="C667" s="2"/>
      <c r="D667" s="2"/>
      <c r="E667" s="2"/>
      <c r="F667" s="2"/>
      <c r="G667" s="27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 spans="2:36" ht="15.75" customHeight="1" x14ac:dyDescent="0.2">
      <c r="B668"/>
      <c r="C668" s="2"/>
      <c r="D668" s="2"/>
      <c r="E668" s="2"/>
      <c r="F668" s="2"/>
      <c r="G668" s="27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 spans="2:36" ht="15.75" customHeight="1" x14ac:dyDescent="0.2">
      <c r="B669"/>
      <c r="C669" s="2"/>
      <c r="D669" s="2"/>
      <c r="E669" s="2"/>
      <c r="F669" s="2"/>
      <c r="G669" s="27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 spans="2:36" ht="15.75" customHeight="1" x14ac:dyDescent="0.2">
      <c r="B670"/>
      <c r="C670" s="2"/>
      <c r="D670" s="2"/>
      <c r="E670" s="2"/>
      <c r="F670" s="2"/>
      <c r="G670" s="27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 spans="2:36" ht="15.75" customHeight="1" x14ac:dyDescent="0.2">
      <c r="B671"/>
      <c r="C671" s="2"/>
      <c r="D671" s="2"/>
      <c r="E671" s="2"/>
      <c r="F671" s="2"/>
      <c r="G671" s="27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 spans="2:36" ht="15.75" customHeight="1" x14ac:dyDescent="0.2">
      <c r="B672"/>
      <c r="C672" s="2"/>
      <c r="D672" s="2"/>
      <c r="E672" s="2"/>
      <c r="F672" s="2"/>
      <c r="G672" s="27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 spans="2:36" ht="15.75" customHeight="1" x14ac:dyDescent="0.2">
      <c r="B673"/>
      <c r="C673" s="2"/>
      <c r="D673" s="2"/>
      <c r="E673" s="2"/>
      <c r="F673" s="2"/>
      <c r="G673" s="27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 spans="2:36" ht="15.75" customHeight="1" x14ac:dyDescent="0.2">
      <c r="B674"/>
      <c r="C674" s="2"/>
      <c r="D674" s="2"/>
      <c r="E674" s="2"/>
      <c r="F674" s="2"/>
      <c r="G674" s="27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 spans="2:36" ht="15.75" customHeight="1" x14ac:dyDescent="0.2">
      <c r="B675"/>
      <c r="C675" s="2"/>
      <c r="D675" s="2"/>
      <c r="E675" s="2"/>
      <c r="F675" s="2"/>
      <c r="G675" s="27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 spans="2:36" ht="15.75" customHeight="1" x14ac:dyDescent="0.2">
      <c r="B676"/>
      <c r="C676" s="2"/>
      <c r="D676" s="2"/>
      <c r="E676" s="2"/>
      <c r="F676" s="2"/>
      <c r="G676" s="27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 spans="2:36" ht="15.75" customHeight="1" x14ac:dyDescent="0.2">
      <c r="B677"/>
      <c r="C677" s="2"/>
      <c r="D677" s="2"/>
      <c r="E677" s="2"/>
      <c r="F677" s="2"/>
      <c r="G677" s="27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 spans="2:36" ht="15.75" customHeight="1" x14ac:dyDescent="0.2">
      <c r="B678"/>
      <c r="C678" s="2"/>
      <c r="D678" s="2"/>
      <c r="E678" s="2"/>
      <c r="F678" s="2"/>
      <c r="G678" s="27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 spans="2:36" ht="15.75" customHeight="1" x14ac:dyDescent="0.2">
      <c r="B679"/>
      <c r="C679" s="2"/>
      <c r="D679" s="2"/>
      <c r="E679" s="2"/>
      <c r="F679" s="2"/>
      <c r="G679" s="27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 spans="2:36" ht="15.75" customHeight="1" x14ac:dyDescent="0.2">
      <c r="B680"/>
      <c r="C680" s="2"/>
      <c r="D680" s="2"/>
      <c r="E680" s="2"/>
      <c r="F680" s="2"/>
      <c r="G680" s="27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 spans="2:36" ht="15.75" customHeight="1" x14ac:dyDescent="0.2">
      <c r="B681"/>
      <c r="C681" s="2"/>
      <c r="D681" s="2"/>
      <c r="E681" s="2"/>
      <c r="F681" s="2"/>
      <c r="G681" s="27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 spans="2:36" ht="15.75" customHeight="1" x14ac:dyDescent="0.2">
      <c r="B682"/>
      <c r="C682" s="2"/>
      <c r="D682" s="2"/>
      <c r="E682" s="2"/>
      <c r="F682" s="2"/>
      <c r="G682" s="27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 spans="2:36" ht="15.75" customHeight="1" x14ac:dyDescent="0.2">
      <c r="B683"/>
      <c r="C683" s="2"/>
      <c r="D683" s="2"/>
      <c r="E683" s="2"/>
      <c r="F683" s="2"/>
      <c r="G683" s="27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 spans="2:36" ht="15.75" customHeight="1" x14ac:dyDescent="0.2">
      <c r="B684"/>
      <c r="C684" s="2"/>
      <c r="D684" s="2"/>
      <c r="E684" s="2"/>
      <c r="F684" s="2"/>
      <c r="G684" s="27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 spans="2:36" ht="15.75" customHeight="1" x14ac:dyDescent="0.2">
      <c r="B685"/>
      <c r="C685" s="2"/>
      <c r="D685" s="2"/>
      <c r="E685" s="2"/>
      <c r="F685" s="2"/>
      <c r="G685" s="27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 spans="2:36" ht="15.75" customHeight="1" x14ac:dyDescent="0.2">
      <c r="B686"/>
      <c r="C686" s="2"/>
      <c r="D686" s="2"/>
      <c r="E686" s="2"/>
      <c r="F686" s="2"/>
      <c r="G686" s="27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 spans="2:36" ht="15.75" customHeight="1" x14ac:dyDescent="0.2">
      <c r="B687"/>
      <c r="C687" s="2"/>
      <c r="D687" s="2"/>
      <c r="E687" s="2"/>
      <c r="F687" s="2"/>
      <c r="G687" s="27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 spans="2:36" ht="15.75" customHeight="1" x14ac:dyDescent="0.2">
      <c r="B688"/>
      <c r="C688" s="2"/>
      <c r="D688" s="2"/>
      <c r="E688" s="2"/>
      <c r="F688" s="2"/>
      <c r="G688" s="27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 spans="2:36" ht="15.75" customHeight="1" x14ac:dyDescent="0.2">
      <c r="B689"/>
      <c r="C689" s="2"/>
      <c r="D689" s="2"/>
      <c r="E689" s="2"/>
      <c r="F689" s="2"/>
      <c r="G689" s="27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 spans="2:36" ht="15.75" customHeight="1" x14ac:dyDescent="0.2">
      <c r="B690"/>
      <c r="C690" s="2"/>
      <c r="D690" s="2"/>
      <c r="E690" s="2"/>
      <c r="F690" s="2"/>
      <c r="G690" s="27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 spans="2:36" ht="15.75" customHeight="1" x14ac:dyDescent="0.2">
      <c r="B691"/>
      <c r="C691" s="2"/>
      <c r="D691" s="2"/>
      <c r="E691" s="2"/>
      <c r="F691" s="2"/>
      <c r="G691" s="27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 spans="2:36" ht="15.75" customHeight="1" x14ac:dyDescent="0.2">
      <c r="B692"/>
      <c r="C692" s="2"/>
      <c r="D692" s="2"/>
      <c r="E692" s="2"/>
      <c r="F692" s="2"/>
      <c r="G692" s="27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 spans="2:36" ht="15.75" customHeight="1" x14ac:dyDescent="0.2">
      <c r="B693"/>
      <c r="C693" s="2"/>
      <c r="D693" s="2"/>
      <c r="E693" s="2"/>
      <c r="F693" s="2"/>
      <c r="G693" s="27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 spans="2:36" ht="15.75" customHeight="1" x14ac:dyDescent="0.2">
      <c r="B694"/>
      <c r="C694" s="2"/>
      <c r="D694" s="2"/>
      <c r="E694" s="2"/>
      <c r="F694" s="2"/>
      <c r="G694" s="27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 spans="2:36" ht="15.75" customHeight="1" x14ac:dyDescent="0.2">
      <c r="B695"/>
      <c r="C695" s="2"/>
      <c r="D695" s="2"/>
      <c r="E695" s="2"/>
      <c r="F695" s="2"/>
      <c r="G695" s="27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 spans="2:36" ht="15.75" customHeight="1" x14ac:dyDescent="0.2">
      <c r="B696"/>
      <c r="C696" s="2"/>
      <c r="D696" s="2"/>
      <c r="E696" s="2"/>
      <c r="F696" s="2"/>
      <c r="G696" s="27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 spans="2:36" ht="15.75" customHeight="1" x14ac:dyDescent="0.2">
      <c r="B697"/>
      <c r="C697" s="2"/>
      <c r="D697" s="2"/>
      <c r="E697" s="2"/>
      <c r="F697" s="2"/>
      <c r="G697" s="27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 spans="2:36" ht="15.75" customHeight="1" x14ac:dyDescent="0.2">
      <c r="B698"/>
      <c r="C698" s="2"/>
      <c r="D698" s="2"/>
      <c r="E698" s="2"/>
      <c r="F698" s="2"/>
      <c r="G698" s="27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 spans="2:36" ht="15.75" customHeight="1" x14ac:dyDescent="0.2">
      <c r="B699"/>
      <c r="C699" s="2"/>
      <c r="D699" s="2"/>
      <c r="E699" s="2"/>
      <c r="F699" s="2"/>
      <c r="G699" s="27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 spans="2:36" ht="15.75" customHeight="1" x14ac:dyDescent="0.2">
      <c r="B700"/>
      <c r="C700" s="2"/>
      <c r="D700" s="2"/>
      <c r="E700" s="2"/>
      <c r="F700" s="2"/>
      <c r="G700" s="27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 spans="2:36" ht="15.75" customHeight="1" x14ac:dyDescent="0.2">
      <c r="B701"/>
      <c r="C701" s="2"/>
      <c r="D701" s="2"/>
      <c r="E701" s="2"/>
      <c r="F701" s="2"/>
      <c r="G701" s="27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 spans="2:36" ht="15.75" customHeight="1" x14ac:dyDescent="0.2">
      <c r="B702"/>
      <c r="C702" s="2"/>
      <c r="D702" s="2"/>
      <c r="E702" s="2"/>
      <c r="F702" s="2"/>
      <c r="G702" s="27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 spans="2:36" ht="15.75" customHeight="1" x14ac:dyDescent="0.2">
      <c r="B703"/>
      <c r="C703" s="2"/>
      <c r="D703" s="2"/>
      <c r="E703" s="2"/>
      <c r="F703" s="2"/>
      <c r="G703" s="27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 spans="2:36" ht="15.75" customHeight="1" x14ac:dyDescent="0.2">
      <c r="B704"/>
      <c r="C704" s="2"/>
      <c r="D704" s="2"/>
      <c r="E704" s="2"/>
      <c r="F704" s="2"/>
      <c r="G704" s="27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2:36" ht="15.75" customHeight="1" x14ac:dyDescent="0.2">
      <c r="B705"/>
      <c r="C705" s="2"/>
      <c r="D705" s="2"/>
      <c r="E705" s="2"/>
      <c r="F705" s="2"/>
      <c r="G705" s="27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 spans="2:36" ht="15.75" customHeight="1" x14ac:dyDescent="0.2">
      <c r="B706"/>
      <c r="C706" s="2"/>
      <c r="D706" s="2"/>
      <c r="E706" s="2"/>
      <c r="F706" s="2"/>
      <c r="G706" s="27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 spans="2:36" ht="15.75" customHeight="1" x14ac:dyDescent="0.2">
      <c r="B707"/>
      <c r="C707" s="2"/>
      <c r="D707" s="2"/>
      <c r="E707" s="2"/>
      <c r="F707" s="2"/>
      <c r="G707" s="27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 spans="2:36" ht="15.75" customHeight="1" x14ac:dyDescent="0.2">
      <c r="B708"/>
      <c r="C708" s="2"/>
      <c r="D708" s="2"/>
      <c r="E708" s="2"/>
      <c r="F708" s="2"/>
      <c r="G708" s="27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 spans="2:36" ht="15.75" customHeight="1" x14ac:dyDescent="0.2">
      <c r="B709"/>
      <c r="C709" s="2"/>
      <c r="D709" s="2"/>
      <c r="E709" s="2"/>
      <c r="F709" s="2"/>
      <c r="G709" s="27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 spans="2:36" ht="15.75" customHeight="1" x14ac:dyDescent="0.2">
      <c r="B710"/>
      <c r="C710" s="2"/>
      <c r="D710" s="2"/>
      <c r="E710" s="2"/>
      <c r="F710" s="2"/>
      <c r="G710" s="27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 spans="2:36" ht="15.75" customHeight="1" x14ac:dyDescent="0.2">
      <c r="B711"/>
      <c r="C711" s="2"/>
      <c r="D711" s="2"/>
      <c r="E711" s="2"/>
      <c r="F711" s="2"/>
      <c r="G711" s="27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 spans="2:36" ht="15.75" customHeight="1" x14ac:dyDescent="0.2">
      <c r="B712"/>
      <c r="C712" s="2"/>
      <c r="D712" s="2"/>
      <c r="E712" s="2"/>
      <c r="F712" s="2"/>
      <c r="G712" s="27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 spans="2:36" ht="15.75" customHeight="1" x14ac:dyDescent="0.2">
      <c r="B713"/>
      <c r="C713" s="2"/>
      <c r="D713" s="2"/>
      <c r="E713" s="2"/>
      <c r="F713" s="2"/>
      <c r="G713" s="27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 spans="2:36" ht="15.75" customHeight="1" x14ac:dyDescent="0.2">
      <c r="B714"/>
      <c r="C714" s="2"/>
      <c r="D714" s="2"/>
      <c r="E714" s="2"/>
      <c r="F714" s="2"/>
      <c r="G714" s="27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 spans="2:36" ht="15.75" customHeight="1" x14ac:dyDescent="0.2">
      <c r="B715"/>
      <c r="C715" s="2"/>
      <c r="D715" s="2"/>
      <c r="E715" s="2"/>
      <c r="F715" s="2"/>
      <c r="G715" s="27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 spans="2:36" ht="15.75" customHeight="1" x14ac:dyDescent="0.2">
      <c r="B716"/>
      <c r="C716" s="2"/>
      <c r="D716" s="2"/>
      <c r="E716" s="2"/>
      <c r="F716" s="2"/>
      <c r="G716" s="27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 spans="2:36" ht="15.75" customHeight="1" x14ac:dyDescent="0.2">
      <c r="B717"/>
      <c r="C717" s="2"/>
      <c r="D717" s="2"/>
      <c r="E717" s="2"/>
      <c r="F717" s="2"/>
      <c r="G717" s="27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 spans="2:36" ht="15.75" customHeight="1" x14ac:dyDescent="0.2">
      <c r="B718"/>
      <c r="C718" s="2"/>
      <c r="D718" s="2"/>
      <c r="E718" s="2"/>
      <c r="F718" s="2"/>
      <c r="G718" s="27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 spans="2:36" ht="15.75" customHeight="1" x14ac:dyDescent="0.2">
      <c r="B719"/>
      <c r="C719" s="2"/>
      <c r="D719" s="2"/>
      <c r="E719" s="2"/>
      <c r="F719" s="2"/>
      <c r="G719" s="27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 spans="2:36" ht="15.75" customHeight="1" x14ac:dyDescent="0.2">
      <c r="B720"/>
      <c r="C720" s="2"/>
      <c r="D720" s="2"/>
      <c r="E720" s="2"/>
      <c r="F720" s="2"/>
      <c r="G720" s="27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 spans="2:36" ht="15.75" customHeight="1" x14ac:dyDescent="0.2">
      <c r="B721"/>
      <c r="C721" s="2"/>
      <c r="D721" s="2"/>
      <c r="E721" s="2"/>
      <c r="F721" s="2"/>
      <c r="G721" s="27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 spans="2:36" ht="15.75" customHeight="1" x14ac:dyDescent="0.2">
      <c r="B722"/>
      <c r="C722" s="2"/>
      <c r="D722" s="2"/>
      <c r="E722" s="2"/>
      <c r="F722" s="2"/>
      <c r="G722" s="27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 spans="2:36" ht="15.75" customHeight="1" x14ac:dyDescent="0.2">
      <c r="B723"/>
      <c r="C723" s="2"/>
      <c r="D723" s="2"/>
      <c r="E723" s="2"/>
      <c r="F723" s="2"/>
      <c r="G723" s="27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 spans="2:36" ht="15.75" customHeight="1" x14ac:dyDescent="0.2">
      <c r="B724"/>
      <c r="C724" s="2"/>
      <c r="D724" s="2"/>
      <c r="E724" s="2"/>
      <c r="F724" s="2"/>
      <c r="G724" s="27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 spans="2:36" ht="15.75" customHeight="1" x14ac:dyDescent="0.2">
      <c r="B725"/>
      <c r="C725" s="2"/>
      <c r="D725" s="2"/>
      <c r="E725" s="2"/>
      <c r="F725" s="2"/>
      <c r="G725" s="27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 spans="2:36" ht="15.75" customHeight="1" x14ac:dyDescent="0.2">
      <c r="B726"/>
      <c r="C726" s="2"/>
      <c r="D726" s="2"/>
      <c r="E726" s="2"/>
      <c r="F726" s="2"/>
      <c r="G726" s="27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 spans="2:36" ht="15.75" customHeight="1" x14ac:dyDescent="0.2">
      <c r="B727"/>
      <c r="C727" s="2"/>
      <c r="D727" s="2"/>
      <c r="E727" s="2"/>
      <c r="F727" s="2"/>
      <c r="G727" s="27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 spans="2:36" ht="15.75" customHeight="1" x14ac:dyDescent="0.2">
      <c r="B728"/>
      <c r="C728" s="2"/>
      <c r="D728" s="2"/>
      <c r="E728" s="2"/>
      <c r="F728" s="2"/>
      <c r="G728" s="27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 spans="2:36" ht="15.75" customHeight="1" x14ac:dyDescent="0.2">
      <c r="B729"/>
      <c r="C729" s="2"/>
      <c r="D729" s="2"/>
      <c r="E729" s="2"/>
      <c r="F729" s="2"/>
      <c r="G729" s="27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 spans="2:36" ht="15.75" customHeight="1" x14ac:dyDescent="0.2">
      <c r="B730"/>
      <c r="C730" s="2"/>
      <c r="D730" s="2"/>
      <c r="E730" s="2"/>
      <c r="F730" s="2"/>
      <c r="G730" s="27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 spans="2:36" ht="15.75" customHeight="1" x14ac:dyDescent="0.2">
      <c r="B731"/>
      <c r="C731" s="2"/>
      <c r="D731" s="2"/>
      <c r="E731" s="2"/>
      <c r="F731" s="2"/>
      <c r="G731" s="27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 spans="2:36" ht="15.75" customHeight="1" x14ac:dyDescent="0.2">
      <c r="B732"/>
      <c r="C732" s="2"/>
      <c r="D732" s="2"/>
      <c r="E732" s="2"/>
      <c r="F732" s="2"/>
      <c r="G732" s="27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 spans="2:36" ht="15.75" customHeight="1" x14ac:dyDescent="0.2">
      <c r="B733"/>
      <c r="C733" s="2"/>
      <c r="D733" s="2"/>
      <c r="E733" s="2"/>
      <c r="F733" s="2"/>
      <c r="G733" s="27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 spans="2:36" ht="15.75" customHeight="1" x14ac:dyDescent="0.2">
      <c r="B734"/>
      <c r="C734" s="2"/>
      <c r="D734" s="2"/>
      <c r="E734" s="2"/>
      <c r="F734" s="2"/>
      <c r="G734" s="27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 spans="2:36" ht="15.75" customHeight="1" x14ac:dyDescent="0.2">
      <c r="B735"/>
      <c r="C735" s="2"/>
      <c r="D735" s="2"/>
      <c r="E735" s="2"/>
      <c r="F735" s="2"/>
      <c r="G735" s="27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 spans="2:36" ht="15.75" customHeight="1" x14ac:dyDescent="0.2">
      <c r="B736"/>
      <c r="C736" s="2"/>
      <c r="D736" s="2"/>
      <c r="E736" s="2"/>
      <c r="F736" s="2"/>
      <c r="G736" s="27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 spans="2:36" ht="15.75" customHeight="1" x14ac:dyDescent="0.2">
      <c r="B737"/>
      <c r="C737" s="2"/>
      <c r="D737" s="2"/>
      <c r="E737" s="2"/>
      <c r="F737" s="2"/>
      <c r="G737" s="27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 spans="2:36" ht="15.75" customHeight="1" x14ac:dyDescent="0.2">
      <c r="B738"/>
      <c r="C738" s="2"/>
      <c r="D738" s="2"/>
      <c r="E738" s="2"/>
      <c r="F738" s="2"/>
      <c r="G738" s="27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 spans="2:36" ht="15.75" customHeight="1" x14ac:dyDescent="0.2">
      <c r="B739"/>
      <c r="C739" s="2"/>
      <c r="D739" s="2"/>
      <c r="E739" s="2"/>
      <c r="F739" s="2"/>
      <c r="G739" s="27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 spans="2:36" ht="15.75" customHeight="1" x14ac:dyDescent="0.2">
      <c r="B740"/>
      <c r="C740" s="2"/>
      <c r="D740" s="2"/>
      <c r="E740" s="2"/>
      <c r="F740" s="2"/>
      <c r="G740" s="27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 spans="2:36" ht="15.75" customHeight="1" x14ac:dyDescent="0.2">
      <c r="B741"/>
      <c r="C741" s="2"/>
      <c r="D741" s="2"/>
      <c r="E741" s="2"/>
      <c r="F741" s="2"/>
      <c r="G741" s="27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 spans="2:36" ht="15.75" customHeight="1" x14ac:dyDescent="0.2">
      <c r="B742"/>
      <c r="C742" s="2"/>
      <c r="D742" s="2"/>
      <c r="E742" s="2"/>
      <c r="F742" s="2"/>
      <c r="G742" s="27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 spans="2:36" ht="15.75" customHeight="1" x14ac:dyDescent="0.2">
      <c r="B743"/>
      <c r="C743" s="2"/>
      <c r="D743" s="2"/>
      <c r="E743" s="2"/>
      <c r="F743" s="2"/>
      <c r="G743" s="27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 spans="2:36" ht="15.75" customHeight="1" x14ac:dyDescent="0.2">
      <c r="B744"/>
      <c r="C744" s="2"/>
      <c r="D744" s="2"/>
      <c r="E744" s="2"/>
      <c r="F744" s="2"/>
      <c r="G744" s="27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 spans="2:36" ht="15.75" customHeight="1" x14ac:dyDescent="0.2">
      <c r="B745"/>
      <c r="C745" s="2"/>
      <c r="D745" s="2"/>
      <c r="E745" s="2"/>
      <c r="F745" s="2"/>
      <c r="G745" s="27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 spans="2:36" ht="15.75" customHeight="1" x14ac:dyDescent="0.2">
      <c r="B746"/>
      <c r="C746" s="2"/>
      <c r="D746" s="2"/>
      <c r="E746" s="2"/>
      <c r="F746" s="2"/>
      <c r="G746" s="27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2:36" ht="15.75" customHeight="1" x14ac:dyDescent="0.2">
      <c r="B747"/>
      <c r="C747" s="2"/>
      <c r="D747" s="2"/>
      <c r="E747" s="2"/>
      <c r="F747" s="2"/>
      <c r="G747" s="27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 spans="2:36" ht="15.75" customHeight="1" x14ac:dyDescent="0.2">
      <c r="B748"/>
      <c r="C748" s="2"/>
      <c r="D748" s="2"/>
      <c r="E748" s="2"/>
      <c r="F748" s="2"/>
      <c r="G748" s="27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 spans="2:36" ht="15.75" customHeight="1" x14ac:dyDescent="0.2">
      <c r="B749"/>
      <c r="C749" s="2"/>
      <c r="D749" s="2"/>
      <c r="E749" s="2"/>
      <c r="F749" s="2"/>
      <c r="G749" s="27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 spans="2:36" ht="15.75" customHeight="1" x14ac:dyDescent="0.2">
      <c r="B750"/>
      <c r="C750" s="2"/>
      <c r="D750" s="2"/>
      <c r="E750" s="2"/>
      <c r="F750" s="2"/>
      <c r="G750" s="27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2:36" ht="15.75" customHeight="1" x14ac:dyDescent="0.2">
      <c r="B751"/>
      <c r="C751" s="2"/>
      <c r="D751" s="2"/>
      <c r="E751" s="2"/>
      <c r="F751" s="2"/>
      <c r="G751" s="27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 spans="2:36" ht="15.75" customHeight="1" x14ac:dyDescent="0.2">
      <c r="B752"/>
      <c r="C752" s="2"/>
      <c r="D752" s="2"/>
      <c r="E752" s="2"/>
      <c r="F752" s="2"/>
      <c r="G752" s="27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 spans="2:36" ht="15.75" customHeight="1" x14ac:dyDescent="0.2">
      <c r="B753"/>
      <c r="C753" s="2"/>
      <c r="D753" s="2"/>
      <c r="E753" s="2"/>
      <c r="F753" s="2"/>
      <c r="G753" s="27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 spans="2:36" ht="15.75" customHeight="1" x14ac:dyDescent="0.2">
      <c r="B754"/>
      <c r="C754" s="2"/>
      <c r="D754" s="2"/>
      <c r="E754" s="2"/>
      <c r="F754" s="2"/>
      <c r="G754" s="27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 spans="2:36" ht="15.75" customHeight="1" x14ac:dyDescent="0.2">
      <c r="B755"/>
      <c r="C755" s="2"/>
      <c r="D755" s="2"/>
      <c r="E755" s="2"/>
      <c r="F755" s="2"/>
      <c r="G755" s="27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 spans="2:36" ht="15.75" customHeight="1" x14ac:dyDescent="0.2">
      <c r="B756"/>
      <c r="C756" s="2"/>
      <c r="D756" s="2"/>
      <c r="E756" s="2"/>
      <c r="F756" s="2"/>
      <c r="G756" s="27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 spans="2:36" ht="15.75" customHeight="1" x14ac:dyDescent="0.2">
      <c r="B757"/>
      <c r="C757" s="2"/>
      <c r="D757" s="2"/>
      <c r="E757" s="2"/>
      <c r="F757" s="2"/>
      <c r="G757" s="27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 spans="2:36" ht="15.75" customHeight="1" x14ac:dyDescent="0.2">
      <c r="B758"/>
      <c r="C758" s="2"/>
      <c r="D758" s="2"/>
      <c r="E758" s="2"/>
      <c r="F758" s="2"/>
      <c r="G758" s="27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 spans="2:36" ht="15.75" customHeight="1" x14ac:dyDescent="0.2">
      <c r="B759"/>
      <c r="C759" s="2"/>
      <c r="D759" s="2"/>
      <c r="E759" s="2"/>
      <c r="F759" s="2"/>
      <c r="G759" s="27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 spans="2:36" ht="15.75" customHeight="1" x14ac:dyDescent="0.2">
      <c r="B760"/>
      <c r="C760" s="2"/>
      <c r="D760" s="2"/>
      <c r="E760" s="2"/>
      <c r="F760" s="2"/>
      <c r="G760" s="27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 spans="2:36" ht="15.75" customHeight="1" x14ac:dyDescent="0.2">
      <c r="B761"/>
      <c r="C761" s="2"/>
      <c r="D761" s="2"/>
      <c r="E761" s="2"/>
      <c r="F761" s="2"/>
      <c r="G761" s="27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 spans="2:36" ht="15.75" customHeight="1" x14ac:dyDescent="0.2">
      <c r="B762"/>
      <c r="C762" s="2"/>
      <c r="D762" s="2"/>
      <c r="E762" s="2"/>
      <c r="F762" s="2"/>
      <c r="G762" s="27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 spans="2:36" ht="15.75" customHeight="1" x14ac:dyDescent="0.2">
      <c r="B763"/>
      <c r="C763" s="2"/>
      <c r="D763" s="2"/>
      <c r="E763" s="2"/>
      <c r="F763" s="2"/>
      <c r="G763" s="27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 spans="2:36" ht="15.75" customHeight="1" x14ac:dyDescent="0.2">
      <c r="B764"/>
      <c r="C764" s="2"/>
      <c r="D764" s="2"/>
      <c r="E764" s="2"/>
      <c r="F764" s="2"/>
      <c r="G764" s="27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 spans="2:36" ht="15.75" customHeight="1" x14ac:dyDescent="0.2">
      <c r="B765"/>
      <c r="C765" s="2"/>
      <c r="D765" s="2"/>
      <c r="E765" s="2"/>
      <c r="F765" s="2"/>
      <c r="G765" s="27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 spans="2:36" ht="15.75" customHeight="1" x14ac:dyDescent="0.2">
      <c r="B766"/>
      <c r="C766" s="2"/>
      <c r="D766" s="2"/>
      <c r="E766" s="2"/>
      <c r="F766" s="2"/>
      <c r="G766" s="27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 spans="2:36" ht="15.75" customHeight="1" x14ac:dyDescent="0.2">
      <c r="B767"/>
      <c r="C767" s="2"/>
      <c r="D767" s="2"/>
      <c r="E767" s="2"/>
      <c r="F767" s="2"/>
      <c r="G767" s="27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 spans="2:36" ht="15.75" customHeight="1" x14ac:dyDescent="0.2">
      <c r="B768"/>
    </row>
    <row r="769" spans="2:36" ht="15.75" customHeight="1" x14ac:dyDescent="0.2">
      <c r="B769"/>
    </row>
    <row r="770" spans="2:36" ht="15.75" customHeight="1" x14ac:dyDescent="0.2">
      <c r="B770"/>
    </row>
    <row r="771" spans="2:36" ht="15.75" customHeight="1" x14ac:dyDescent="0.2">
      <c r="B771"/>
    </row>
    <row r="772" spans="2:36" ht="15.75" customHeight="1" x14ac:dyDescent="0.2">
      <c r="B772"/>
    </row>
    <row r="773" spans="2:36" ht="15.75" customHeight="1" x14ac:dyDescent="0.2">
      <c r="B773"/>
    </row>
    <row r="774" spans="2:36" ht="15.75" customHeight="1" x14ac:dyDescent="0.2">
      <c r="B774"/>
    </row>
    <row r="775" spans="2:36" ht="15.75" customHeight="1" x14ac:dyDescent="0.2">
      <c r="B775"/>
    </row>
    <row r="776" spans="2:36" ht="15.75" customHeight="1" x14ac:dyDescent="0.2">
      <c r="B776"/>
    </row>
    <row r="777" spans="2:36" ht="15.75" customHeight="1" x14ac:dyDescent="0.2">
      <c r="B777"/>
    </row>
    <row r="778" spans="2:36" s="2" customFormat="1" ht="15.75" customHeight="1" x14ac:dyDescent="0.2">
      <c r="C778"/>
      <c r="D778"/>
      <c r="E778"/>
      <c r="F778"/>
      <c r="G778" s="35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  <c r="AG778"/>
      <c r="AH778"/>
      <c r="AI778"/>
      <c r="AJ778"/>
    </row>
    <row r="779" spans="2:36" s="2" customFormat="1" ht="15.75" customHeight="1" x14ac:dyDescent="0.2">
      <c r="C779"/>
      <c r="D779"/>
      <c r="E779"/>
      <c r="F779"/>
      <c r="G779" s="35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  <c r="AG779"/>
      <c r="AH779"/>
      <c r="AI779"/>
      <c r="AJ779"/>
    </row>
    <row r="780" spans="2:36" s="2" customFormat="1" ht="15.75" customHeight="1" x14ac:dyDescent="0.2">
      <c r="C780"/>
      <c r="D780"/>
      <c r="E780"/>
      <c r="F780"/>
      <c r="G780" s="35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  <c r="AG780"/>
      <c r="AH780"/>
      <c r="AI780"/>
      <c r="AJ780"/>
    </row>
    <row r="781" spans="2:36" s="2" customFormat="1" ht="15.75" customHeight="1" x14ac:dyDescent="0.2">
      <c r="C781"/>
      <c r="D781"/>
      <c r="E781"/>
      <c r="F781"/>
      <c r="G781" s="35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  <c r="AG781"/>
      <c r="AH781"/>
      <c r="AI781"/>
      <c r="AJ781"/>
    </row>
    <row r="782" spans="2:36" s="2" customFormat="1" ht="15.75" customHeight="1" x14ac:dyDescent="0.2">
      <c r="C782"/>
      <c r="D782"/>
      <c r="E782"/>
      <c r="F782"/>
      <c r="G782" s="35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  <c r="AG782"/>
      <c r="AH782"/>
      <c r="AI782"/>
      <c r="AJ782"/>
    </row>
    <row r="783" spans="2:36" s="2" customFormat="1" ht="15.75" customHeight="1" x14ac:dyDescent="0.2">
      <c r="C783"/>
      <c r="D783"/>
      <c r="E783"/>
      <c r="F783"/>
      <c r="G783" s="35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  <c r="AG783"/>
      <c r="AH783"/>
      <c r="AI783"/>
      <c r="AJ783"/>
    </row>
    <row r="784" spans="2:36" s="2" customFormat="1" ht="15.75" customHeight="1" x14ac:dyDescent="0.2">
      <c r="C784"/>
      <c r="D784"/>
      <c r="E784"/>
      <c r="F784"/>
      <c r="G784" s="35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  <c r="AG784"/>
      <c r="AH784"/>
      <c r="AI784"/>
      <c r="AJ784"/>
    </row>
    <row r="785" spans="3:36" s="2" customFormat="1" ht="15.75" customHeight="1" x14ac:dyDescent="0.2">
      <c r="C785"/>
      <c r="D785"/>
      <c r="E785"/>
      <c r="F785"/>
      <c r="G785" s="3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</row>
    <row r="786" spans="3:36" s="2" customFormat="1" ht="15.75" customHeight="1" x14ac:dyDescent="0.2">
      <c r="C786"/>
      <c r="D786"/>
      <c r="E786"/>
      <c r="F786"/>
      <c r="G786" s="35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</row>
    <row r="787" spans="3:36" s="2" customFormat="1" ht="15.75" customHeight="1" x14ac:dyDescent="0.2">
      <c r="C787"/>
      <c r="D787"/>
      <c r="E787"/>
      <c r="F787"/>
      <c r="G787" s="35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  <c r="AG787"/>
      <c r="AH787"/>
      <c r="AI787"/>
      <c r="AJ787"/>
    </row>
    <row r="788" spans="3:36" s="2" customFormat="1" ht="15.75" customHeight="1" x14ac:dyDescent="0.2">
      <c r="C788"/>
      <c r="D788"/>
      <c r="E788"/>
      <c r="F788"/>
      <c r="G788" s="35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</row>
    <row r="789" spans="3:36" s="2" customFormat="1" ht="15.75" customHeight="1" x14ac:dyDescent="0.2">
      <c r="C789"/>
      <c r="D789"/>
      <c r="E789"/>
      <c r="F789"/>
      <c r="G789" s="35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  <c r="AG789"/>
      <c r="AH789"/>
      <c r="AI789"/>
      <c r="AJ789"/>
    </row>
    <row r="790" spans="3:36" s="2" customFormat="1" ht="15.75" customHeight="1" x14ac:dyDescent="0.2">
      <c r="C790"/>
      <c r="D790"/>
      <c r="E790"/>
      <c r="F790"/>
      <c r="G790" s="35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  <c r="AG790"/>
      <c r="AH790"/>
      <c r="AI790"/>
      <c r="AJ790"/>
    </row>
    <row r="791" spans="3:36" s="2" customFormat="1" ht="15.75" customHeight="1" x14ac:dyDescent="0.2">
      <c r="C791"/>
      <c r="D791"/>
      <c r="E791"/>
      <c r="F791"/>
      <c r="G791" s="35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  <c r="AG791"/>
      <c r="AH791"/>
      <c r="AI791"/>
      <c r="AJ791"/>
    </row>
    <row r="792" spans="3:36" s="2" customFormat="1" ht="15.75" customHeight="1" x14ac:dyDescent="0.2">
      <c r="C792"/>
      <c r="D792"/>
      <c r="E792"/>
      <c r="F792"/>
      <c r="G792" s="35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  <c r="AG792"/>
      <c r="AH792"/>
      <c r="AI792"/>
      <c r="AJ792"/>
    </row>
    <row r="793" spans="3:36" s="2" customFormat="1" ht="15.75" customHeight="1" x14ac:dyDescent="0.2">
      <c r="C793"/>
      <c r="D793"/>
      <c r="E793"/>
      <c r="F793"/>
      <c r="G793" s="35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  <c r="AG793"/>
      <c r="AH793"/>
      <c r="AI793"/>
      <c r="AJ793"/>
    </row>
    <row r="794" spans="3:36" s="2" customFormat="1" ht="15.75" customHeight="1" x14ac:dyDescent="0.2">
      <c r="C794"/>
      <c r="D794"/>
      <c r="E794"/>
      <c r="F794"/>
      <c r="G794" s="35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  <c r="AG794"/>
      <c r="AH794"/>
      <c r="AI794"/>
      <c r="AJ794"/>
    </row>
    <row r="795" spans="3:36" s="2" customFormat="1" ht="15.75" customHeight="1" x14ac:dyDescent="0.2">
      <c r="C795"/>
      <c r="D795"/>
      <c r="E795"/>
      <c r="F795"/>
      <c r="G795" s="3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  <c r="AG795"/>
      <c r="AH795"/>
      <c r="AI795"/>
      <c r="AJ795"/>
    </row>
    <row r="796" spans="3:36" s="2" customFormat="1" ht="15.75" customHeight="1" x14ac:dyDescent="0.2">
      <c r="C796"/>
      <c r="D796"/>
      <c r="E796"/>
      <c r="F796"/>
      <c r="G796" s="35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  <c r="AG796"/>
      <c r="AH796"/>
      <c r="AI796"/>
      <c r="AJ796"/>
    </row>
    <row r="797" spans="3:36" s="2" customFormat="1" ht="15.75" customHeight="1" x14ac:dyDescent="0.2">
      <c r="C797"/>
      <c r="D797"/>
      <c r="E797"/>
      <c r="F797"/>
      <c r="G797" s="35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  <c r="AG797"/>
      <c r="AH797"/>
      <c r="AI797"/>
      <c r="AJ797"/>
    </row>
    <row r="798" spans="3:36" s="2" customFormat="1" ht="15.75" customHeight="1" x14ac:dyDescent="0.2">
      <c r="C798"/>
      <c r="D798"/>
      <c r="E798"/>
      <c r="F798"/>
      <c r="G798" s="35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  <c r="AG798"/>
      <c r="AH798"/>
      <c r="AI798"/>
      <c r="AJ798"/>
    </row>
    <row r="799" spans="3:36" s="2" customFormat="1" ht="15.75" customHeight="1" x14ac:dyDescent="0.2">
      <c r="C799"/>
      <c r="D799"/>
      <c r="E799"/>
      <c r="F799"/>
      <c r="G799" s="35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  <c r="AG799"/>
      <c r="AH799"/>
      <c r="AI799"/>
      <c r="AJ799"/>
    </row>
    <row r="800" spans="3:36" s="2" customFormat="1" ht="15.75" customHeight="1" x14ac:dyDescent="0.2">
      <c r="C800"/>
      <c r="D800"/>
      <c r="E800"/>
      <c r="F800"/>
      <c r="G800" s="35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  <c r="AG800"/>
      <c r="AH800"/>
      <c r="AI800"/>
      <c r="AJ800"/>
    </row>
    <row r="801" spans="3:36" s="2" customFormat="1" ht="15.75" customHeight="1" x14ac:dyDescent="0.2">
      <c r="C801"/>
      <c r="D801"/>
      <c r="E801"/>
      <c r="F801"/>
      <c r="G801" s="35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  <c r="AG801"/>
      <c r="AH801"/>
      <c r="AI801"/>
      <c r="AJ801"/>
    </row>
    <row r="802" spans="3:36" s="2" customFormat="1" ht="15.75" customHeight="1" x14ac:dyDescent="0.2">
      <c r="C802"/>
      <c r="D802"/>
      <c r="E802"/>
      <c r="F802"/>
      <c r="G802" s="35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  <c r="AG802"/>
      <c r="AH802"/>
      <c r="AI802"/>
      <c r="AJ802"/>
    </row>
    <row r="803" spans="3:36" s="2" customFormat="1" ht="15.75" customHeight="1" x14ac:dyDescent="0.2">
      <c r="C803"/>
      <c r="D803"/>
      <c r="E803"/>
      <c r="F803"/>
      <c r="G803" s="35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  <c r="AG803"/>
      <c r="AH803"/>
      <c r="AI803"/>
      <c r="AJ803"/>
    </row>
    <row r="804" spans="3:36" s="2" customFormat="1" ht="15.75" customHeight="1" x14ac:dyDescent="0.2">
      <c r="C804"/>
      <c r="D804"/>
      <c r="E804"/>
      <c r="F804"/>
      <c r="G804" s="35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  <c r="AG804"/>
      <c r="AH804"/>
      <c r="AI804"/>
      <c r="AJ804"/>
    </row>
    <row r="805" spans="3:36" s="2" customFormat="1" ht="15.75" customHeight="1" x14ac:dyDescent="0.2">
      <c r="C805"/>
      <c r="D805"/>
      <c r="E805"/>
      <c r="F805"/>
      <c r="G805" s="3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  <c r="AG805"/>
      <c r="AH805"/>
      <c r="AI805"/>
      <c r="AJ805"/>
    </row>
    <row r="806" spans="3:36" s="2" customFormat="1" ht="15.75" customHeight="1" x14ac:dyDescent="0.2">
      <c r="C806"/>
      <c r="D806"/>
      <c r="E806"/>
      <c r="F806"/>
      <c r="G806" s="35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  <c r="AG806"/>
      <c r="AH806"/>
      <c r="AI806"/>
      <c r="AJ806"/>
    </row>
    <row r="807" spans="3:36" s="2" customFormat="1" ht="15.75" customHeight="1" x14ac:dyDescent="0.2">
      <c r="C807"/>
      <c r="D807"/>
      <c r="E807"/>
      <c r="F807"/>
      <c r="G807" s="35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  <c r="AG807"/>
      <c r="AH807"/>
      <c r="AI807"/>
      <c r="AJ807"/>
    </row>
    <row r="808" spans="3:36" s="2" customFormat="1" ht="15.75" customHeight="1" x14ac:dyDescent="0.2">
      <c r="C808"/>
      <c r="D808"/>
      <c r="E808"/>
      <c r="F808"/>
      <c r="G808" s="35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  <c r="AG808"/>
      <c r="AH808"/>
      <c r="AI808"/>
      <c r="AJ808"/>
    </row>
    <row r="809" spans="3:36" s="2" customFormat="1" ht="15.75" customHeight="1" x14ac:dyDescent="0.2">
      <c r="C809"/>
      <c r="D809"/>
      <c r="E809"/>
      <c r="F809"/>
      <c r="G809" s="35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  <c r="AG809"/>
      <c r="AH809"/>
      <c r="AI809"/>
      <c r="AJ809"/>
    </row>
    <row r="810" spans="3:36" s="2" customFormat="1" ht="15.75" customHeight="1" x14ac:dyDescent="0.2">
      <c r="C810"/>
      <c r="D810"/>
      <c r="E810"/>
      <c r="F810"/>
      <c r="G810" s="35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  <c r="AG810"/>
      <c r="AH810"/>
      <c r="AI810"/>
      <c r="AJ810"/>
    </row>
    <row r="811" spans="3:36" s="2" customFormat="1" ht="15.75" customHeight="1" x14ac:dyDescent="0.2">
      <c r="C811"/>
      <c r="D811"/>
      <c r="E811"/>
      <c r="F811"/>
      <c r="G811" s="35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  <c r="AG811"/>
      <c r="AH811"/>
      <c r="AI811"/>
      <c r="AJ811"/>
    </row>
    <row r="812" spans="3:36" s="2" customFormat="1" ht="15.75" customHeight="1" x14ac:dyDescent="0.2">
      <c r="C812"/>
      <c r="D812"/>
      <c r="E812"/>
      <c r="F812"/>
      <c r="G812" s="35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  <c r="AG812"/>
      <c r="AH812"/>
      <c r="AI812"/>
      <c r="AJ812"/>
    </row>
    <row r="813" spans="3:36" s="2" customFormat="1" ht="15.75" customHeight="1" x14ac:dyDescent="0.2">
      <c r="C813"/>
      <c r="D813"/>
      <c r="E813"/>
      <c r="F813"/>
      <c r="G813" s="35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  <c r="AG813"/>
      <c r="AH813"/>
      <c r="AI813"/>
      <c r="AJ813"/>
    </row>
    <row r="814" spans="3:36" s="2" customFormat="1" ht="15.75" customHeight="1" x14ac:dyDescent="0.2">
      <c r="C814"/>
      <c r="D814"/>
      <c r="E814"/>
      <c r="F814"/>
      <c r="G814" s="35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  <c r="AG814"/>
      <c r="AH814"/>
      <c r="AI814"/>
      <c r="AJ814"/>
    </row>
    <row r="815" spans="3:36" s="2" customFormat="1" ht="15.75" customHeight="1" x14ac:dyDescent="0.2">
      <c r="C815"/>
      <c r="D815"/>
      <c r="E815"/>
      <c r="F815"/>
      <c r="G815" s="3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  <c r="AG815"/>
      <c r="AH815"/>
      <c r="AI815"/>
      <c r="AJ815"/>
    </row>
    <row r="816" spans="3:36" s="2" customFormat="1" ht="15.75" customHeight="1" x14ac:dyDescent="0.2">
      <c r="C816"/>
      <c r="D816"/>
      <c r="E816"/>
      <c r="F816"/>
      <c r="G816" s="35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  <c r="AG816"/>
      <c r="AH816"/>
      <c r="AI816"/>
      <c r="AJ816"/>
    </row>
    <row r="817" spans="3:36" s="2" customFormat="1" ht="15.75" customHeight="1" x14ac:dyDescent="0.2">
      <c r="C817"/>
      <c r="D817"/>
      <c r="E817"/>
      <c r="F817"/>
      <c r="G817" s="35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  <c r="AG817"/>
      <c r="AH817"/>
      <c r="AI817"/>
      <c r="AJ817"/>
    </row>
    <row r="818" spans="3:36" s="2" customFormat="1" ht="15.75" customHeight="1" x14ac:dyDescent="0.2">
      <c r="C818"/>
      <c r="D818"/>
      <c r="E818"/>
      <c r="F818"/>
      <c r="G818" s="35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  <c r="AG818"/>
      <c r="AH818"/>
      <c r="AI818"/>
      <c r="AJ818"/>
    </row>
    <row r="819" spans="3:36" s="2" customFormat="1" ht="15.75" customHeight="1" x14ac:dyDescent="0.2">
      <c r="C819"/>
      <c r="D819"/>
      <c r="E819"/>
      <c r="F819"/>
      <c r="G819" s="35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  <c r="AG819"/>
      <c r="AH819"/>
      <c r="AI819"/>
      <c r="AJ819"/>
    </row>
    <row r="820" spans="3:36" s="2" customFormat="1" ht="15.75" customHeight="1" x14ac:dyDescent="0.2">
      <c r="C820"/>
      <c r="D820"/>
      <c r="E820"/>
      <c r="F820"/>
      <c r="G820" s="35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  <c r="AG820"/>
      <c r="AH820"/>
      <c r="AI820"/>
      <c r="AJ820"/>
    </row>
    <row r="821" spans="3:36" s="2" customFormat="1" ht="15.75" customHeight="1" x14ac:dyDescent="0.2">
      <c r="C821"/>
      <c r="D821"/>
      <c r="E821"/>
      <c r="F821"/>
      <c r="G821" s="35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  <c r="AG821"/>
      <c r="AH821"/>
      <c r="AI821"/>
      <c r="AJ821"/>
    </row>
    <row r="822" spans="3:36" s="2" customFormat="1" ht="15.75" customHeight="1" x14ac:dyDescent="0.2">
      <c r="C822"/>
      <c r="D822"/>
      <c r="E822"/>
      <c r="F822"/>
      <c r="G822" s="35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  <c r="AG822"/>
      <c r="AH822"/>
      <c r="AI822"/>
      <c r="AJ822"/>
    </row>
    <row r="823" spans="3:36" s="2" customFormat="1" ht="15.75" customHeight="1" x14ac:dyDescent="0.2">
      <c r="C823"/>
      <c r="D823"/>
      <c r="E823"/>
      <c r="F823"/>
      <c r="G823" s="35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  <c r="AG823"/>
      <c r="AH823"/>
      <c r="AI823"/>
      <c r="AJ823"/>
    </row>
    <row r="824" spans="3:36" s="2" customFormat="1" ht="15.75" customHeight="1" x14ac:dyDescent="0.2">
      <c r="C824"/>
      <c r="D824"/>
      <c r="E824"/>
      <c r="F824"/>
      <c r="G824" s="35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  <c r="AG824"/>
      <c r="AH824"/>
      <c r="AI824"/>
      <c r="AJ824"/>
    </row>
    <row r="825" spans="3:36" s="2" customFormat="1" ht="15.75" customHeight="1" x14ac:dyDescent="0.2">
      <c r="C825"/>
      <c r="D825"/>
      <c r="E825"/>
      <c r="F825"/>
      <c r="G825" s="3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</row>
    <row r="826" spans="3:36" s="2" customFormat="1" ht="15.75" customHeight="1" x14ac:dyDescent="0.2">
      <c r="C826"/>
      <c r="D826"/>
      <c r="E826"/>
      <c r="F826"/>
      <c r="G826" s="35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  <c r="AG826"/>
      <c r="AH826"/>
      <c r="AI826"/>
      <c r="AJ826"/>
    </row>
    <row r="827" spans="3:36" s="2" customFormat="1" ht="15.75" customHeight="1" x14ac:dyDescent="0.2">
      <c r="C827"/>
      <c r="D827"/>
      <c r="E827"/>
      <c r="F827"/>
      <c r="G827" s="35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  <c r="AG827"/>
      <c r="AH827"/>
      <c r="AI827"/>
      <c r="AJ827"/>
    </row>
    <row r="828" spans="3:36" s="2" customFormat="1" ht="15.75" customHeight="1" x14ac:dyDescent="0.2">
      <c r="C828"/>
      <c r="D828"/>
      <c r="E828"/>
      <c r="F828"/>
      <c r="G828" s="35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  <c r="AG828"/>
      <c r="AH828"/>
      <c r="AI828"/>
      <c r="AJ828"/>
    </row>
    <row r="829" spans="3:36" s="2" customFormat="1" ht="15.75" customHeight="1" x14ac:dyDescent="0.2">
      <c r="C829"/>
      <c r="D829"/>
      <c r="E829"/>
      <c r="F829"/>
      <c r="G829" s="35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  <c r="AG829"/>
      <c r="AH829"/>
      <c r="AI829"/>
      <c r="AJ829"/>
    </row>
    <row r="830" spans="3:36" s="2" customFormat="1" ht="15.75" customHeight="1" x14ac:dyDescent="0.2">
      <c r="C830"/>
      <c r="D830"/>
      <c r="E830"/>
      <c r="F830"/>
      <c r="G830" s="35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  <c r="AG830"/>
      <c r="AH830"/>
      <c r="AI830"/>
      <c r="AJ830"/>
    </row>
    <row r="831" spans="3:36" s="2" customFormat="1" ht="15.75" customHeight="1" x14ac:dyDescent="0.2">
      <c r="C831"/>
      <c r="D831"/>
      <c r="E831"/>
      <c r="F831"/>
      <c r="G831" s="35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  <c r="AG831"/>
      <c r="AH831"/>
      <c r="AI831"/>
      <c r="AJ831"/>
    </row>
    <row r="832" spans="3:36" s="2" customFormat="1" ht="15.75" customHeight="1" x14ac:dyDescent="0.2">
      <c r="C832"/>
      <c r="D832"/>
      <c r="E832"/>
      <c r="F832"/>
      <c r="G832" s="35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  <c r="AG832"/>
      <c r="AH832"/>
      <c r="AI832"/>
      <c r="AJ832"/>
    </row>
    <row r="833" spans="3:36" s="2" customFormat="1" ht="15.75" customHeight="1" x14ac:dyDescent="0.2">
      <c r="C833"/>
      <c r="D833"/>
      <c r="E833"/>
      <c r="F833"/>
      <c r="G833" s="35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  <c r="AG833"/>
      <c r="AH833"/>
      <c r="AI833"/>
      <c r="AJ833"/>
    </row>
    <row r="834" spans="3:36" s="2" customFormat="1" ht="15.75" customHeight="1" x14ac:dyDescent="0.2">
      <c r="C834"/>
      <c r="D834"/>
      <c r="E834"/>
      <c r="F834"/>
      <c r="G834" s="35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  <c r="AG834"/>
      <c r="AH834"/>
      <c r="AI834"/>
      <c r="AJ834"/>
    </row>
    <row r="835" spans="3:36" s="2" customFormat="1" ht="15.75" customHeight="1" x14ac:dyDescent="0.2">
      <c r="C835"/>
      <c r="D835"/>
      <c r="E835"/>
      <c r="F835"/>
      <c r="G835" s="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  <c r="AG835"/>
      <c r="AH835"/>
      <c r="AI835"/>
      <c r="AJ835"/>
    </row>
    <row r="836" spans="3:36" s="2" customFormat="1" ht="15.75" customHeight="1" x14ac:dyDescent="0.2">
      <c r="C836"/>
      <c r="D836"/>
      <c r="E836"/>
      <c r="F836"/>
      <c r="G836" s="35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  <c r="AG836"/>
      <c r="AH836"/>
      <c r="AI836"/>
      <c r="AJ836"/>
    </row>
    <row r="837" spans="3:36" s="2" customFormat="1" ht="15.75" customHeight="1" x14ac:dyDescent="0.2">
      <c r="C837"/>
      <c r="D837"/>
      <c r="E837"/>
      <c r="F837"/>
      <c r="G837" s="35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  <c r="AG837"/>
      <c r="AH837"/>
      <c r="AI837"/>
      <c r="AJ837"/>
    </row>
    <row r="838" spans="3:36" s="2" customFormat="1" ht="15.75" customHeight="1" x14ac:dyDescent="0.2">
      <c r="C838"/>
      <c r="D838"/>
      <c r="E838"/>
      <c r="F838"/>
      <c r="G838" s="35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  <c r="AG838"/>
      <c r="AH838"/>
      <c r="AI838"/>
      <c r="AJ838"/>
    </row>
    <row r="839" spans="3:36" s="2" customFormat="1" ht="15.75" customHeight="1" x14ac:dyDescent="0.2">
      <c r="C839"/>
      <c r="D839"/>
      <c r="E839"/>
      <c r="F839"/>
      <c r="G839" s="35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  <c r="AG839"/>
      <c r="AH839"/>
      <c r="AI839"/>
      <c r="AJ839"/>
    </row>
    <row r="840" spans="3:36" s="2" customFormat="1" ht="15.75" customHeight="1" x14ac:dyDescent="0.2">
      <c r="C840"/>
      <c r="D840"/>
      <c r="E840"/>
      <c r="F840"/>
      <c r="G840" s="35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  <c r="AG840"/>
      <c r="AH840"/>
      <c r="AI840"/>
      <c r="AJ840"/>
    </row>
    <row r="841" spans="3:36" s="2" customFormat="1" ht="15.75" customHeight="1" x14ac:dyDescent="0.2">
      <c r="C841"/>
      <c r="D841"/>
      <c r="E841"/>
      <c r="F841"/>
      <c r="G841" s="35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  <c r="AG841"/>
      <c r="AH841"/>
      <c r="AI841"/>
      <c r="AJ841"/>
    </row>
    <row r="842" spans="3:36" s="2" customFormat="1" ht="15.75" customHeight="1" x14ac:dyDescent="0.2">
      <c r="C842"/>
      <c r="D842"/>
      <c r="E842"/>
      <c r="F842"/>
      <c r="G842" s="35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  <c r="AG842"/>
      <c r="AH842"/>
      <c r="AI842"/>
      <c r="AJ842"/>
    </row>
    <row r="843" spans="3:36" s="2" customFormat="1" ht="15.75" customHeight="1" x14ac:dyDescent="0.2">
      <c r="C843"/>
      <c r="D843"/>
      <c r="E843"/>
      <c r="F843"/>
      <c r="G843" s="35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  <c r="AG843"/>
      <c r="AH843"/>
      <c r="AI843"/>
      <c r="AJ843"/>
    </row>
    <row r="844" spans="3:36" s="2" customFormat="1" ht="15.75" customHeight="1" x14ac:dyDescent="0.2">
      <c r="C844"/>
      <c r="D844"/>
      <c r="E844"/>
      <c r="F844"/>
      <c r="G844" s="35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  <c r="AG844"/>
      <c r="AH844"/>
      <c r="AI844"/>
      <c r="AJ844"/>
    </row>
    <row r="845" spans="3:36" s="2" customFormat="1" ht="15.75" customHeight="1" x14ac:dyDescent="0.2">
      <c r="C845"/>
      <c r="D845"/>
      <c r="E845"/>
      <c r="F845"/>
      <c r="G845" s="3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  <c r="AG845"/>
      <c r="AH845"/>
      <c r="AI845"/>
      <c r="AJ845"/>
    </row>
    <row r="846" spans="3:36" s="2" customFormat="1" ht="15.75" customHeight="1" x14ac:dyDescent="0.2">
      <c r="C846"/>
      <c r="D846"/>
      <c r="E846"/>
      <c r="F846"/>
      <c r="G846" s="35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  <c r="AG846"/>
      <c r="AH846"/>
      <c r="AI846"/>
      <c r="AJ846"/>
    </row>
    <row r="847" spans="3:36" s="2" customFormat="1" ht="15.75" customHeight="1" x14ac:dyDescent="0.2">
      <c r="C847"/>
      <c r="D847"/>
      <c r="E847"/>
      <c r="F847"/>
      <c r="G847" s="35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  <c r="AG847"/>
      <c r="AH847"/>
      <c r="AI847"/>
      <c r="AJ847"/>
    </row>
    <row r="848" spans="3:36" s="2" customFormat="1" ht="15.75" customHeight="1" x14ac:dyDescent="0.2">
      <c r="C848"/>
      <c r="D848"/>
      <c r="E848"/>
      <c r="F848"/>
      <c r="G848" s="35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  <c r="AG848"/>
      <c r="AH848"/>
      <c r="AI848"/>
      <c r="AJ848"/>
    </row>
    <row r="849" spans="3:36" s="2" customFormat="1" ht="15.75" customHeight="1" x14ac:dyDescent="0.2">
      <c r="C849"/>
      <c r="D849"/>
      <c r="E849"/>
      <c r="F849"/>
      <c r="G849" s="35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  <c r="AG849"/>
      <c r="AH849"/>
      <c r="AI849"/>
      <c r="AJ849"/>
    </row>
    <row r="850" spans="3:36" s="2" customFormat="1" ht="15.75" customHeight="1" x14ac:dyDescent="0.2">
      <c r="C850"/>
      <c r="D850"/>
      <c r="E850"/>
      <c r="F850"/>
      <c r="G850" s="35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  <c r="AG850"/>
      <c r="AH850"/>
      <c r="AI850"/>
      <c r="AJ850"/>
    </row>
    <row r="851" spans="3:36" s="2" customFormat="1" ht="15.75" customHeight="1" x14ac:dyDescent="0.2">
      <c r="C851"/>
      <c r="D851"/>
      <c r="E851"/>
      <c r="F851"/>
      <c r="G851" s="35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  <c r="AG851"/>
      <c r="AH851"/>
      <c r="AI851"/>
      <c r="AJ851"/>
    </row>
    <row r="852" spans="3:36" s="2" customFormat="1" ht="15.75" customHeight="1" x14ac:dyDescent="0.2">
      <c r="C852"/>
      <c r="D852"/>
      <c r="E852"/>
      <c r="F852"/>
      <c r="G852" s="35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  <c r="AG852"/>
      <c r="AH852"/>
      <c r="AI852"/>
      <c r="AJ852"/>
    </row>
    <row r="853" spans="3:36" s="2" customFormat="1" ht="15.75" customHeight="1" x14ac:dyDescent="0.2">
      <c r="C853"/>
      <c r="D853"/>
      <c r="E853"/>
      <c r="F853"/>
      <c r="G853" s="35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  <c r="AG853"/>
      <c r="AH853"/>
      <c r="AI853"/>
      <c r="AJ853"/>
    </row>
    <row r="854" spans="3:36" s="2" customFormat="1" ht="15.75" customHeight="1" x14ac:dyDescent="0.2">
      <c r="C854"/>
      <c r="D854"/>
      <c r="E854"/>
      <c r="F854"/>
      <c r="G854" s="35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  <c r="AG854"/>
      <c r="AH854"/>
      <c r="AI854"/>
      <c r="AJ854"/>
    </row>
    <row r="855" spans="3:36" s="2" customFormat="1" ht="15.75" customHeight="1" x14ac:dyDescent="0.2">
      <c r="C855"/>
      <c r="D855"/>
      <c r="E855"/>
      <c r="F855"/>
      <c r="G855" s="3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  <c r="AG855"/>
      <c r="AH855"/>
      <c r="AI855"/>
      <c r="AJ855"/>
    </row>
    <row r="856" spans="3:36" s="2" customFormat="1" ht="15.75" customHeight="1" x14ac:dyDescent="0.2">
      <c r="C856"/>
      <c r="D856"/>
      <c r="E856"/>
      <c r="F856"/>
      <c r="G856" s="35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  <c r="AG856"/>
      <c r="AH856"/>
      <c r="AI856"/>
      <c r="AJ856"/>
    </row>
    <row r="857" spans="3:36" s="2" customFormat="1" ht="15.75" customHeight="1" x14ac:dyDescent="0.2">
      <c r="C857"/>
      <c r="D857"/>
      <c r="E857"/>
      <c r="F857"/>
      <c r="G857" s="35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  <c r="AG857"/>
      <c r="AH857"/>
      <c r="AI857"/>
      <c r="AJ857"/>
    </row>
    <row r="858" spans="3:36" s="2" customFormat="1" ht="15.75" customHeight="1" x14ac:dyDescent="0.2">
      <c r="C858"/>
      <c r="D858"/>
      <c r="E858"/>
      <c r="F858"/>
      <c r="G858" s="35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  <c r="AG858"/>
      <c r="AH858"/>
      <c r="AI858"/>
      <c r="AJ858"/>
    </row>
    <row r="859" spans="3:36" s="2" customFormat="1" ht="15.75" customHeight="1" x14ac:dyDescent="0.2">
      <c r="C859"/>
      <c r="D859"/>
      <c r="E859"/>
      <c r="F859"/>
      <c r="G859" s="35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  <c r="AG859"/>
      <c r="AH859"/>
      <c r="AI859"/>
      <c r="AJ859"/>
    </row>
    <row r="860" spans="3:36" s="2" customFormat="1" ht="15.75" customHeight="1" x14ac:dyDescent="0.2">
      <c r="C860"/>
      <c r="D860"/>
      <c r="E860"/>
      <c r="F860"/>
      <c r="G860" s="35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  <c r="AG860"/>
      <c r="AH860"/>
      <c r="AI860"/>
      <c r="AJ860"/>
    </row>
    <row r="861" spans="3:36" s="2" customFormat="1" ht="15.75" customHeight="1" x14ac:dyDescent="0.2">
      <c r="C861"/>
      <c r="D861"/>
      <c r="E861"/>
      <c r="F861"/>
      <c r="G861" s="35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  <c r="AG861"/>
      <c r="AH861"/>
      <c r="AI861"/>
      <c r="AJ861"/>
    </row>
    <row r="862" spans="3:36" s="2" customFormat="1" ht="15.75" customHeight="1" x14ac:dyDescent="0.2">
      <c r="C862"/>
      <c r="D862"/>
      <c r="E862"/>
      <c r="F862"/>
      <c r="G862" s="35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  <c r="AG862"/>
      <c r="AH862"/>
      <c r="AI862"/>
      <c r="AJ862"/>
    </row>
    <row r="863" spans="3:36" s="2" customFormat="1" ht="15.75" customHeight="1" x14ac:dyDescent="0.2">
      <c r="C863"/>
      <c r="D863"/>
      <c r="E863"/>
      <c r="F863"/>
      <c r="G863" s="35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  <c r="AG863"/>
      <c r="AH863"/>
      <c r="AI863"/>
      <c r="AJ863"/>
    </row>
    <row r="864" spans="3:36" s="2" customFormat="1" ht="15.75" customHeight="1" x14ac:dyDescent="0.2">
      <c r="C864"/>
      <c r="D864"/>
      <c r="E864"/>
      <c r="F864"/>
      <c r="G864" s="35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  <c r="AG864"/>
      <c r="AH864"/>
      <c r="AI864"/>
      <c r="AJ864"/>
    </row>
    <row r="865" spans="3:36" s="2" customFormat="1" ht="15.75" customHeight="1" x14ac:dyDescent="0.2">
      <c r="C865"/>
      <c r="D865"/>
      <c r="E865"/>
      <c r="F865"/>
      <c r="G865" s="3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  <c r="AG865"/>
      <c r="AH865"/>
      <c r="AI865"/>
      <c r="AJ865"/>
    </row>
    <row r="866" spans="3:36" s="2" customFormat="1" ht="15.75" customHeight="1" x14ac:dyDescent="0.2">
      <c r="C866"/>
      <c r="D866"/>
      <c r="E866"/>
      <c r="F866"/>
      <c r="G866" s="35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  <c r="AG866"/>
      <c r="AH866"/>
      <c r="AI866"/>
      <c r="AJ866"/>
    </row>
    <row r="867" spans="3:36" s="2" customFormat="1" ht="15.75" customHeight="1" x14ac:dyDescent="0.2">
      <c r="C867"/>
      <c r="D867"/>
      <c r="E867"/>
      <c r="F867"/>
      <c r="G867" s="35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  <c r="AG867"/>
      <c r="AH867"/>
      <c r="AI867"/>
      <c r="AJ867"/>
    </row>
    <row r="868" spans="3:36" s="2" customFormat="1" ht="15.75" customHeight="1" x14ac:dyDescent="0.2">
      <c r="C868"/>
      <c r="D868"/>
      <c r="E868"/>
      <c r="F868"/>
      <c r="G868" s="35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  <c r="AG868"/>
      <c r="AH868"/>
      <c r="AI868"/>
      <c r="AJ868"/>
    </row>
    <row r="869" spans="3:36" s="2" customFormat="1" ht="15.75" customHeight="1" x14ac:dyDescent="0.2">
      <c r="C869"/>
      <c r="D869"/>
      <c r="E869"/>
      <c r="F869"/>
      <c r="G869" s="35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  <c r="AG869"/>
      <c r="AH869"/>
      <c r="AI869"/>
      <c r="AJ869"/>
    </row>
    <row r="870" spans="3:36" s="2" customFormat="1" ht="15.75" customHeight="1" x14ac:dyDescent="0.2">
      <c r="C870"/>
      <c r="D870"/>
      <c r="E870"/>
      <c r="F870"/>
      <c r="G870" s="35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  <c r="AG870"/>
      <c r="AH870"/>
      <c r="AI870"/>
      <c r="AJ870"/>
    </row>
    <row r="871" spans="3:36" s="2" customFormat="1" ht="15.75" customHeight="1" x14ac:dyDescent="0.2">
      <c r="C871"/>
      <c r="D871"/>
      <c r="E871"/>
      <c r="F871"/>
      <c r="G871" s="35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  <c r="AG871"/>
      <c r="AH871"/>
      <c r="AI871"/>
      <c r="AJ871"/>
    </row>
  </sheetData>
  <mergeCells count="6">
    <mergeCell ref="C4:G4"/>
    <mergeCell ref="C5:G5"/>
    <mergeCell ref="B7:B8"/>
    <mergeCell ref="C7:C8"/>
    <mergeCell ref="E7:G7"/>
    <mergeCell ref="D7:D8"/>
  </mergeCells>
  <phoneticPr fontId="14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9" fitToWidth="0" fitToHeight="0" orientation="portrait" r:id="rId1"/>
  <rowBreaks count="1" manualBreakCount="1">
    <brk id="213" max="6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59"/>
  <sheetViews>
    <sheetView zoomScale="80" zoomScaleNormal="80" zoomScaleSheetLayoutView="84" workbookViewId="0">
      <selection activeCell="X53" sqref="X53"/>
    </sheetView>
  </sheetViews>
  <sheetFormatPr defaultRowHeight="12.75" x14ac:dyDescent="0.2"/>
  <cols>
    <col min="1" max="1" width="14.42578125" customWidth="1"/>
    <col min="2" max="2" width="12.140625" customWidth="1"/>
    <col min="3" max="3" width="12.140625" hidden="1" customWidth="1"/>
    <col min="4" max="4" width="11.5703125" customWidth="1"/>
    <col min="5" max="6" width="9.28515625" hidden="1" customWidth="1"/>
    <col min="7" max="7" width="8.5703125" customWidth="1"/>
    <col min="8" max="8" width="8.140625" customWidth="1"/>
    <col min="9" max="9" width="9.5703125" customWidth="1"/>
    <col min="10" max="10" width="14.140625" customWidth="1"/>
    <col min="11" max="11" width="8" customWidth="1"/>
    <col min="12" max="12" width="9.140625" hidden="1" customWidth="1"/>
    <col min="13" max="13" width="12.5703125" customWidth="1"/>
    <col min="14" max="14" width="9.28515625" bestFit="1" customWidth="1"/>
    <col min="15" max="15" width="10" customWidth="1"/>
    <col min="16" max="16" width="12.28515625" style="462" customWidth="1"/>
    <col min="17" max="17" width="11" customWidth="1"/>
    <col min="18" max="18" width="11.85546875" customWidth="1"/>
    <col min="19" max="19" width="8" style="73" customWidth="1"/>
    <col min="20" max="20" width="8.42578125" hidden="1" customWidth="1"/>
    <col min="21" max="21" width="10.140625" customWidth="1"/>
    <col min="257" max="257" width="14.42578125" customWidth="1"/>
    <col min="258" max="258" width="12.140625" customWidth="1"/>
    <col min="259" max="259" width="0" hidden="1" customWidth="1"/>
    <col min="260" max="260" width="11.5703125" customWidth="1"/>
    <col min="261" max="263" width="0" hidden="1" customWidth="1"/>
    <col min="264" max="264" width="8.140625" customWidth="1"/>
    <col min="265" max="265" width="9.5703125" customWidth="1"/>
    <col min="266" max="266" width="14.140625" customWidth="1"/>
    <col min="267" max="267" width="8" customWidth="1"/>
    <col min="268" max="268" width="0" hidden="1" customWidth="1"/>
    <col min="269" max="269" width="12.5703125" customWidth="1"/>
    <col min="270" max="270" width="9.28515625" bestFit="1" customWidth="1"/>
    <col min="271" max="271" width="10" customWidth="1"/>
    <col min="272" max="272" width="12.28515625" customWidth="1"/>
    <col min="273" max="273" width="11" customWidth="1"/>
    <col min="274" max="274" width="11.85546875" customWidth="1"/>
    <col min="275" max="275" width="8" customWidth="1"/>
    <col min="276" max="276" width="0" hidden="1" customWidth="1"/>
    <col min="277" max="277" width="10.140625" customWidth="1"/>
    <col min="513" max="513" width="14.42578125" customWidth="1"/>
    <col min="514" max="514" width="12.140625" customWidth="1"/>
    <col min="515" max="515" width="0" hidden="1" customWidth="1"/>
    <col min="516" max="516" width="11.5703125" customWidth="1"/>
    <col min="517" max="519" width="0" hidden="1" customWidth="1"/>
    <col min="520" max="520" width="8.140625" customWidth="1"/>
    <col min="521" max="521" width="9.5703125" customWidth="1"/>
    <col min="522" max="522" width="14.140625" customWidth="1"/>
    <col min="523" max="523" width="8" customWidth="1"/>
    <col min="524" max="524" width="0" hidden="1" customWidth="1"/>
    <col min="525" max="525" width="12.5703125" customWidth="1"/>
    <col min="526" max="526" width="9.28515625" bestFit="1" customWidth="1"/>
    <col min="527" max="527" width="10" customWidth="1"/>
    <col min="528" max="528" width="12.28515625" customWidth="1"/>
    <col min="529" max="529" width="11" customWidth="1"/>
    <col min="530" max="530" width="11.85546875" customWidth="1"/>
    <col min="531" max="531" width="8" customWidth="1"/>
    <col min="532" max="532" width="0" hidden="1" customWidth="1"/>
    <col min="533" max="533" width="10.140625" customWidth="1"/>
    <col min="769" max="769" width="14.42578125" customWidth="1"/>
    <col min="770" max="770" width="12.140625" customWidth="1"/>
    <col min="771" max="771" width="0" hidden="1" customWidth="1"/>
    <col min="772" max="772" width="11.5703125" customWidth="1"/>
    <col min="773" max="775" width="0" hidden="1" customWidth="1"/>
    <col min="776" max="776" width="8.140625" customWidth="1"/>
    <col min="777" max="777" width="9.5703125" customWidth="1"/>
    <col min="778" max="778" width="14.140625" customWidth="1"/>
    <col min="779" max="779" width="8" customWidth="1"/>
    <col min="780" max="780" width="0" hidden="1" customWidth="1"/>
    <col min="781" max="781" width="12.5703125" customWidth="1"/>
    <col min="782" max="782" width="9.28515625" bestFit="1" customWidth="1"/>
    <col min="783" max="783" width="10" customWidth="1"/>
    <col min="784" max="784" width="12.28515625" customWidth="1"/>
    <col min="785" max="785" width="11" customWidth="1"/>
    <col min="786" max="786" width="11.85546875" customWidth="1"/>
    <col min="787" max="787" width="8" customWidth="1"/>
    <col min="788" max="788" width="0" hidden="1" customWidth="1"/>
    <col min="789" max="789" width="10.140625" customWidth="1"/>
    <col min="1025" max="1025" width="14.42578125" customWidth="1"/>
    <col min="1026" max="1026" width="12.140625" customWidth="1"/>
    <col min="1027" max="1027" width="0" hidden="1" customWidth="1"/>
    <col min="1028" max="1028" width="11.5703125" customWidth="1"/>
    <col min="1029" max="1031" width="0" hidden="1" customWidth="1"/>
    <col min="1032" max="1032" width="8.140625" customWidth="1"/>
    <col min="1033" max="1033" width="9.5703125" customWidth="1"/>
    <col min="1034" max="1034" width="14.140625" customWidth="1"/>
    <col min="1035" max="1035" width="8" customWidth="1"/>
    <col min="1036" max="1036" width="0" hidden="1" customWidth="1"/>
    <col min="1037" max="1037" width="12.5703125" customWidth="1"/>
    <col min="1038" max="1038" width="9.28515625" bestFit="1" customWidth="1"/>
    <col min="1039" max="1039" width="10" customWidth="1"/>
    <col min="1040" max="1040" width="12.28515625" customWidth="1"/>
    <col min="1041" max="1041" width="11" customWidth="1"/>
    <col min="1042" max="1042" width="11.85546875" customWidth="1"/>
    <col min="1043" max="1043" width="8" customWidth="1"/>
    <col min="1044" max="1044" width="0" hidden="1" customWidth="1"/>
    <col min="1045" max="1045" width="10.140625" customWidth="1"/>
    <col min="1281" max="1281" width="14.42578125" customWidth="1"/>
    <col min="1282" max="1282" width="12.140625" customWidth="1"/>
    <col min="1283" max="1283" width="0" hidden="1" customWidth="1"/>
    <col min="1284" max="1284" width="11.5703125" customWidth="1"/>
    <col min="1285" max="1287" width="0" hidden="1" customWidth="1"/>
    <col min="1288" max="1288" width="8.140625" customWidth="1"/>
    <col min="1289" max="1289" width="9.5703125" customWidth="1"/>
    <col min="1290" max="1290" width="14.140625" customWidth="1"/>
    <col min="1291" max="1291" width="8" customWidth="1"/>
    <col min="1292" max="1292" width="0" hidden="1" customWidth="1"/>
    <col min="1293" max="1293" width="12.5703125" customWidth="1"/>
    <col min="1294" max="1294" width="9.28515625" bestFit="1" customWidth="1"/>
    <col min="1295" max="1295" width="10" customWidth="1"/>
    <col min="1296" max="1296" width="12.28515625" customWidth="1"/>
    <col min="1297" max="1297" width="11" customWidth="1"/>
    <col min="1298" max="1298" width="11.85546875" customWidth="1"/>
    <col min="1299" max="1299" width="8" customWidth="1"/>
    <col min="1300" max="1300" width="0" hidden="1" customWidth="1"/>
    <col min="1301" max="1301" width="10.140625" customWidth="1"/>
    <col min="1537" max="1537" width="14.42578125" customWidth="1"/>
    <col min="1538" max="1538" width="12.140625" customWidth="1"/>
    <col min="1539" max="1539" width="0" hidden="1" customWidth="1"/>
    <col min="1540" max="1540" width="11.5703125" customWidth="1"/>
    <col min="1541" max="1543" width="0" hidden="1" customWidth="1"/>
    <col min="1544" max="1544" width="8.140625" customWidth="1"/>
    <col min="1545" max="1545" width="9.5703125" customWidth="1"/>
    <col min="1546" max="1546" width="14.140625" customWidth="1"/>
    <col min="1547" max="1547" width="8" customWidth="1"/>
    <col min="1548" max="1548" width="0" hidden="1" customWidth="1"/>
    <col min="1549" max="1549" width="12.5703125" customWidth="1"/>
    <col min="1550" max="1550" width="9.28515625" bestFit="1" customWidth="1"/>
    <col min="1551" max="1551" width="10" customWidth="1"/>
    <col min="1552" max="1552" width="12.28515625" customWidth="1"/>
    <col min="1553" max="1553" width="11" customWidth="1"/>
    <col min="1554" max="1554" width="11.85546875" customWidth="1"/>
    <col min="1555" max="1555" width="8" customWidth="1"/>
    <col min="1556" max="1556" width="0" hidden="1" customWidth="1"/>
    <col min="1557" max="1557" width="10.140625" customWidth="1"/>
    <col min="1793" max="1793" width="14.42578125" customWidth="1"/>
    <col min="1794" max="1794" width="12.140625" customWidth="1"/>
    <col min="1795" max="1795" width="0" hidden="1" customWidth="1"/>
    <col min="1796" max="1796" width="11.5703125" customWidth="1"/>
    <col min="1797" max="1799" width="0" hidden="1" customWidth="1"/>
    <col min="1800" max="1800" width="8.140625" customWidth="1"/>
    <col min="1801" max="1801" width="9.5703125" customWidth="1"/>
    <col min="1802" max="1802" width="14.140625" customWidth="1"/>
    <col min="1803" max="1803" width="8" customWidth="1"/>
    <col min="1804" max="1804" width="0" hidden="1" customWidth="1"/>
    <col min="1805" max="1805" width="12.5703125" customWidth="1"/>
    <col min="1806" max="1806" width="9.28515625" bestFit="1" customWidth="1"/>
    <col min="1807" max="1807" width="10" customWidth="1"/>
    <col min="1808" max="1808" width="12.28515625" customWidth="1"/>
    <col min="1809" max="1809" width="11" customWidth="1"/>
    <col min="1810" max="1810" width="11.85546875" customWidth="1"/>
    <col min="1811" max="1811" width="8" customWidth="1"/>
    <col min="1812" max="1812" width="0" hidden="1" customWidth="1"/>
    <col min="1813" max="1813" width="10.140625" customWidth="1"/>
    <col min="2049" max="2049" width="14.42578125" customWidth="1"/>
    <col min="2050" max="2050" width="12.140625" customWidth="1"/>
    <col min="2051" max="2051" width="0" hidden="1" customWidth="1"/>
    <col min="2052" max="2052" width="11.5703125" customWidth="1"/>
    <col min="2053" max="2055" width="0" hidden="1" customWidth="1"/>
    <col min="2056" max="2056" width="8.140625" customWidth="1"/>
    <col min="2057" max="2057" width="9.5703125" customWidth="1"/>
    <col min="2058" max="2058" width="14.140625" customWidth="1"/>
    <col min="2059" max="2059" width="8" customWidth="1"/>
    <col min="2060" max="2060" width="0" hidden="1" customWidth="1"/>
    <col min="2061" max="2061" width="12.5703125" customWidth="1"/>
    <col min="2062" max="2062" width="9.28515625" bestFit="1" customWidth="1"/>
    <col min="2063" max="2063" width="10" customWidth="1"/>
    <col min="2064" max="2064" width="12.28515625" customWidth="1"/>
    <col min="2065" max="2065" width="11" customWidth="1"/>
    <col min="2066" max="2066" width="11.85546875" customWidth="1"/>
    <col min="2067" max="2067" width="8" customWidth="1"/>
    <col min="2068" max="2068" width="0" hidden="1" customWidth="1"/>
    <col min="2069" max="2069" width="10.140625" customWidth="1"/>
    <col min="2305" max="2305" width="14.42578125" customWidth="1"/>
    <col min="2306" max="2306" width="12.140625" customWidth="1"/>
    <col min="2307" max="2307" width="0" hidden="1" customWidth="1"/>
    <col min="2308" max="2308" width="11.5703125" customWidth="1"/>
    <col min="2309" max="2311" width="0" hidden="1" customWidth="1"/>
    <col min="2312" max="2312" width="8.140625" customWidth="1"/>
    <col min="2313" max="2313" width="9.5703125" customWidth="1"/>
    <col min="2314" max="2314" width="14.140625" customWidth="1"/>
    <col min="2315" max="2315" width="8" customWidth="1"/>
    <col min="2316" max="2316" width="0" hidden="1" customWidth="1"/>
    <col min="2317" max="2317" width="12.5703125" customWidth="1"/>
    <col min="2318" max="2318" width="9.28515625" bestFit="1" customWidth="1"/>
    <col min="2319" max="2319" width="10" customWidth="1"/>
    <col min="2320" max="2320" width="12.28515625" customWidth="1"/>
    <col min="2321" max="2321" width="11" customWidth="1"/>
    <col min="2322" max="2322" width="11.85546875" customWidth="1"/>
    <col min="2323" max="2323" width="8" customWidth="1"/>
    <col min="2324" max="2324" width="0" hidden="1" customWidth="1"/>
    <col min="2325" max="2325" width="10.140625" customWidth="1"/>
    <col min="2561" max="2561" width="14.42578125" customWidth="1"/>
    <col min="2562" max="2562" width="12.140625" customWidth="1"/>
    <col min="2563" max="2563" width="0" hidden="1" customWidth="1"/>
    <col min="2564" max="2564" width="11.5703125" customWidth="1"/>
    <col min="2565" max="2567" width="0" hidden="1" customWidth="1"/>
    <col min="2568" max="2568" width="8.140625" customWidth="1"/>
    <col min="2569" max="2569" width="9.5703125" customWidth="1"/>
    <col min="2570" max="2570" width="14.140625" customWidth="1"/>
    <col min="2571" max="2571" width="8" customWidth="1"/>
    <col min="2572" max="2572" width="0" hidden="1" customWidth="1"/>
    <col min="2573" max="2573" width="12.5703125" customWidth="1"/>
    <col min="2574" max="2574" width="9.28515625" bestFit="1" customWidth="1"/>
    <col min="2575" max="2575" width="10" customWidth="1"/>
    <col min="2576" max="2576" width="12.28515625" customWidth="1"/>
    <col min="2577" max="2577" width="11" customWidth="1"/>
    <col min="2578" max="2578" width="11.85546875" customWidth="1"/>
    <col min="2579" max="2579" width="8" customWidth="1"/>
    <col min="2580" max="2580" width="0" hidden="1" customWidth="1"/>
    <col min="2581" max="2581" width="10.140625" customWidth="1"/>
    <col min="2817" max="2817" width="14.42578125" customWidth="1"/>
    <col min="2818" max="2818" width="12.140625" customWidth="1"/>
    <col min="2819" max="2819" width="0" hidden="1" customWidth="1"/>
    <col min="2820" max="2820" width="11.5703125" customWidth="1"/>
    <col min="2821" max="2823" width="0" hidden="1" customWidth="1"/>
    <col min="2824" max="2824" width="8.140625" customWidth="1"/>
    <col min="2825" max="2825" width="9.5703125" customWidth="1"/>
    <col min="2826" max="2826" width="14.140625" customWidth="1"/>
    <col min="2827" max="2827" width="8" customWidth="1"/>
    <col min="2828" max="2828" width="0" hidden="1" customWidth="1"/>
    <col min="2829" max="2829" width="12.5703125" customWidth="1"/>
    <col min="2830" max="2830" width="9.28515625" bestFit="1" customWidth="1"/>
    <col min="2831" max="2831" width="10" customWidth="1"/>
    <col min="2832" max="2832" width="12.28515625" customWidth="1"/>
    <col min="2833" max="2833" width="11" customWidth="1"/>
    <col min="2834" max="2834" width="11.85546875" customWidth="1"/>
    <col min="2835" max="2835" width="8" customWidth="1"/>
    <col min="2836" max="2836" width="0" hidden="1" customWidth="1"/>
    <col min="2837" max="2837" width="10.140625" customWidth="1"/>
    <col min="3073" max="3073" width="14.42578125" customWidth="1"/>
    <col min="3074" max="3074" width="12.140625" customWidth="1"/>
    <col min="3075" max="3075" width="0" hidden="1" customWidth="1"/>
    <col min="3076" max="3076" width="11.5703125" customWidth="1"/>
    <col min="3077" max="3079" width="0" hidden="1" customWidth="1"/>
    <col min="3080" max="3080" width="8.140625" customWidth="1"/>
    <col min="3081" max="3081" width="9.5703125" customWidth="1"/>
    <col min="3082" max="3082" width="14.140625" customWidth="1"/>
    <col min="3083" max="3083" width="8" customWidth="1"/>
    <col min="3084" max="3084" width="0" hidden="1" customWidth="1"/>
    <col min="3085" max="3085" width="12.5703125" customWidth="1"/>
    <col min="3086" max="3086" width="9.28515625" bestFit="1" customWidth="1"/>
    <col min="3087" max="3087" width="10" customWidth="1"/>
    <col min="3088" max="3088" width="12.28515625" customWidth="1"/>
    <col min="3089" max="3089" width="11" customWidth="1"/>
    <col min="3090" max="3090" width="11.85546875" customWidth="1"/>
    <col min="3091" max="3091" width="8" customWidth="1"/>
    <col min="3092" max="3092" width="0" hidden="1" customWidth="1"/>
    <col min="3093" max="3093" width="10.140625" customWidth="1"/>
    <col min="3329" max="3329" width="14.42578125" customWidth="1"/>
    <col min="3330" max="3330" width="12.140625" customWidth="1"/>
    <col min="3331" max="3331" width="0" hidden="1" customWidth="1"/>
    <col min="3332" max="3332" width="11.5703125" customWidth="1"/>
    <col min="3333" max="3335" width="0" hidden="1" customWidth="1"/>
    <col min="3336" max="3336" width="8.140625" customWidth="1"/>
    <col min="3337" max="3337" width="9.5703125" customWidth="1"/>
    <col min="3338" max="3338" width="14.140625" customWidth="1"/>
    <col min="3339" max="3339" width="8" customWidth="1"/>
    <col min="3340" max="3340" width="0" hidden="1" customWidth="1"/>
    <col min="3341" max="3341" width="12.5703125" customWidth="1"/>
    <col min="3342" max="3342" width="9.28515625" bestFit="1" customWidth="1"/>
    <col min="3343" max="3343" width="10" customWidth="1"/>
    <col min="3344" max="3344" width="12.28515625" customWidth="1"/>
    <col min="3345" max="3345" width="11" customWidth="1"/>
    <col min="3346" max="3346" width="11.85546875" customWidth="1"/>
    <col min="3347" max="3347" width="8" customWidth="1"/>
    <col min="3348" max="3348" width="0" hidden="1" customWidth="1"/>
    <col min="3349" max="3349" width="10.140625" customWidth="1"/>
    <col min="3585" max="3585" width="14.42578125" customWidth="1"/>
    <col min="3586" max="3586" width="12.140625" customWidth="1"/>
    <col min="3587" max="3587" width="0" hidden="1" customWidth="1"/>
    <col min="3588" max="3588" width="11.5703125" customWidth="1"/>
    <col min="3589" max="3591" width="0" hidden="1" customWidth="1"/>
    <col min="3592" max="3592" width="8.140625" customWidth="1"/>
    <col min="3593" max="3593" width="9.5703125" customWidth="1"/>
    <col min="3594" max="3594" width="14.140625" customWidth="1"/>
    <col min="3595" max="3595" width="8" customWidth="1"/>
    <col min="3596" max="3596" width="0" hidden="1" customWidth="1"/>
    <col min="3597" max="3597" width="12.5703125" customWidth="1"/>
    <col min="3598" max="3598" width="9.28515625" bestFit="1" customWidth="1"/>
    <col min="3599" max="3599" width="10" customWidth="1"/>
    <col min="3600" max="3600" width="12.28515625" customWidth="1"/>
    <col min="3601" max="3601" width="11" customWidth="1"/>
    <col min="3602" max="3602" width="11.85546875" customWidth="1"/>
    <col min="3603" max="3603" width="8" customWidth="1"/>
    <col min="3604" max="3604" width="0" hidden="1" customWidth="1"/>
    <col min="3605" max="3605" width="10.140625" customWidth="1"/>
    <col min="3841" max="3841" width="14.42578125" customWidth="1"/>
    <col min="3842" max="3842" width="12.140625" customWidth="1"/>
    <col min="3843" max="3843" width="0" hidden="1" customWidth="1"/>
    <col min="3844" max="3844" width="11.5703125" customWidth="1"/>
    <col min="3845" max="3847" width="0" hidden="1" customWidth="1"/>
    <col min="3848" max="3848" width="8.140625" customWidth="1"/>
    <col min="3849" max="3849" width="9.5703125" customWidth="1"/>
    <col min="3850" max="3850" width="14.140625" customWidth="1"/>
    <col min="3851" max="3851" width="8" customWidth="1"/>
    <col min="3852" max="3852" width="0" hidden="1" customWidth="1"/>
    <col min="3853" max="3853" width="12.5703125" customWidth="1"/>
    <col min="3854" max="3854" width="9.28515625" bestFit="1" customWidth="1"/>
    <col min="3855" max="3855" width="10" customWidth="1"/>
    <col min="3856" max="3856" width="12.28515625" customWidth="1"/>
    <col min="3857" max="3857" width="11" customWidth="1"/>
    <col min="3858" max="3858" width="11.85546875" customWidth="1"/>
    <col min="3859" max="3859" width="8" customWidth="1"/>
    <col min="3860" max="3860" width="0" hidden="1" customWidth="1"/>
    <col min="3861" max="3861" width="10.140625" customWidth="1"/>
    <col min="4097" max="4097" width="14.42578125" customWidth="1"/>
    <col min="4098" max="4098" width="12.140625" customWidth="1"/>
    <col min="4099" max="4099" width="0" hidden="1" customWidth="1"/>
    <col min="4100" max="4100" width="11.5703125" customWidth="1"/>
    <col min="4101" max="4103" width="0" hidden="1" customWidth="1"/>
    <col min="4104" max="4104" width="8.140625" customWidth="1"/>
    <col min="4105" max="4105" width="9.5703125" customWidth="1"/>
    <col min="4106" max="4106" width="14.140625" customWidth="1"/>
    <col min="4107" max="4107" width="8" customWidth="1"/>
    <col min="4108" max="4108" width="0" hidden="1" customWidth="1"/>
    <col min="4109" max="4109" width="12.5703125" customWidth="1"/>
    <col min="4110" max="4110" width="9.28515625" bestFit="1" customWidth="1"/>
    <col min="4111" max="4111" width="10" customWidth="1"/>
    <col min="4112" max="4112" width="12.28515625" customWidth="1"/>
    <col min="4113" max="4113" width="11" customWidth="1"/>
    <col min="4114" max="4114" width="11.85546875" customWidth="1"/>
    <col min="4115" max="4115" width="8" customWidth="1"/>
    <col min="4116" max="4116" width="0" hidden="1" customWidth="1"/>
    <col min="4117" max="4117" width="10.140625" customWidth="1"/>
    <col min="4353" max="4353" width="14.42578125" customWidth="1"/>
    <col min="4354" max="4354" width="12.140625" customWidth="1"/>
    <col min="4355" max="4355" width="0" hidden="1" customWidth="1"/>
    <col min="4356" max="4356" width="11.5703125" customWidth="1"/>
    <col min="4357" max="4359" width="0" hidden="1" customWidth="1"/>
    <col min="4360" max="4360" width="8.140625" customWidth="1"/>
    <col min="4361" max="4361" width="9.5703125" customWidth="1"/>
    <col min="4362" max="4362" width="14.140625" customWidth="1"/>
    <col min="4363" max="4363" width="8" customWidth="1"/>
    <col min="4364" max="4364" width="0" hidden="1" customWidth="1"/>
    <col min="4365" max="4365" width="12.5703125" customWidth="1"/>
    <col min="4366" max="4366" width="9.28515625" bestFit="1" customWidth="1"/>
    <col min="4367" max="4367" width="10" customWidth="1"/>
    <col min="4368" max="4368" width="12.28515625" customWidth="1"/>
    <col min="4369" max="4369" width="11" customWidth="1"/>
    <col min="4370" max="4370" width="11.85546875" customWidth="1"/>
    <col min="4371" max="4371" width="8" customWidth="1"/>
    <col min="4372" max="4372" width="0" hidden="1" customWidth="1"/>
    <col min="4373" max="4373" width="10.140625" customWidth="1"/>
    <col min="4609" max="4609" width="14.42578125" customWidth="1"/>
    <col min="4610" max="4610" width="12.140625" customWidth="1"/>
    <col min="4611" max="4611" width="0" hidden="1" customWidth="1"/>
    <col min="4612" max="4612" width="11.5703125" customWidth="1"/>
    <col min="4613" max="4615" width="0" hidden="1" customWidth="1"/>
    <col min="4616" max="4616" width="8.140625" customWidth="1"/>
    <col min="4617" max="4617" width="9.5703125" customWidth="1"/>
    <col min="4618" max="4618" width="14.140625" customWidth="1"/>
    <col min="4619" max="4619" width="8" customWidth="1"/>
    <col min="4620" max="4620" width="0" hidden="1" customWidth="1"/>
    <col min="4621" max="4621" width="12.5703125" customWidth="1"/>
    <col min="4622" max="4622" width="9.28515625" bestFit="1" customWidth="1"/>
    <col min="4623" max="4623" width="10" customWidth="1"/>
    <col min="4624" max="4624" width="12.28515625" customWidth="1"/>
    <col min="4625" max="4625" width="11" customWidth="1"/>
    <col min="4626" max="4626" width="11.85546875" customWidth="1"/>
    <col min="4627" max="4627" width="8" customWidth="1"/>
    <col min="4628" max="4628" width="0" hidden="1" customWidth="1"/>
    <col min="4629" max="4629" width="10.140625" customWidth="1"/>
    <col min="4865" max="4865" width="14.42578125" customWidth="1"/>
    <col min="4866" max="4866" width="12.140625" customWidth="1"/>
    <col min="4867" max="4867" width="0" hidden="1" customWidth="1"/>
    <col min="4868" max="4868" width="11.5703125" customWidth="1"/>
    <col min="4869" max="4871" width="0" hidden="1" customWidth="1"/>
    <col min="4872" max="4872" width="8.140625" customWidth="1"/>
    <col min="4873" max="4873" width="9.5703125" customWidth="1"/>
    <col min="4874" max="4874" width="14.140625" customWidth="1"/>
    <col min="4875" max="4875" width="8" customWidth="1"/>
    <col min="4876" max="4876" width="0" hidden="1" customWidth="1"/>
    <col min="4877" max="4877" width="12.5703125" customWidth="1"/>
    <col min="4878" max="4878" width="9.28515625" bestFit="1" customWidth="1"/>
    <col min="4879" max="4879" width="10" customWidth="1"/>
    <col min="4880" max="4880" width="12.28515625" customWidth="1"/>
    <col min="4881" max="4881" width="11" customWidth="1"/>
    <col min="4882" max="4882" width="11.85546875" customWidth="1"/>
    <col min="4883" max="4883" width="8" customWidth="1"/>
    <col min="4884" max="4884" width="0" hidden="1" customWidth="1"/>
    <col min="4885" max="4885" width="10.140625" customWidth="1"/>
    <col min="5121" max="5121" width="14.42578125" customWidth="1"/>
    <col min="5122" max="5122" width="12.140625" customWidth="1"/>
    <col min="5123" max="5123" width="0" hidden="1" customWidth="1"/>
    <col min="5124" max="5124" width="11.5703125" customWidth="1"/>
    <col min="5125" max="5127" width="0" hidden="1" customWidth="1"/>
    <col min="5128" max="5128" width="8.140625" customWidth="1"/>
    <col min="5129" max="5129" width="9.5703125" customWidth="1"/>
    <col min="5130" max="5130" width="14.140625" customWidth="1"/>
    <col min="5131" max="5131" width="8" customWidth="1"/>
    <col min="5132" max="5132" width="0" hidden="1" customWidth="1"/>
    <col min="5133" max="5133" width="12.5703125" customWidth="1"/>
    <col min="5134" max="5134" width="9.28515625" bestFit="1" customWidth="1"/>
    <col min="5135" max="5135" width="10" customWidth="1"/>
    <col min="5136" max="5136" width="12.28515625" customWidth="1"/>
    <col min="5137" max="5137" width="11" customWidth="1"/>
    <col min="5138" max="5138" width="11.85546875" customWidth="1"/>
    <col min="5139" max="5139" width="8" customWidth="1"/>
    <col min="5140" max="5140" width="0" hidden="1" customWidth="1"/>
    <col min="5141" max="5141" width="10.140625" customWidth="1"/>
    <col min="5377" max="5377" width="14.42578125" customWidth="1"/>
    <col min="5378" max="5378" width="12.140625" customWidth="1"/>
    <col min="5379" max="5379" width="0" hidden="1" customWidth="1"/>
    <col min="5380" max="5380" width="11.5703125" customWidth="1"/>
    <col min="5381" max="5383" width="0" hidden="1" customWidth="1"/>
    <col min="5384" max="5384" width="8.140625" customWidth="1"/>
    <col min="5385" max="5385" width="9.5703125" customWidth="1"/>
    <col min="5386" max="5386" width="14.140625" customWidth="1"/>
    <col min="5387" max="5387" width="8" customWidth="1"/>
    <col min="5388" max="5388" width="0" hidden="1" customWidth="1"/>
    <col min="5389" max="5389" width="12.5703125" customWidth="1"/>
    <col min="5390" max="5390" width="9.28515625" bestFit="1" customWidth="1"/>
    <col min="5391" max="5391" width="10" customWidth="1"/>
    <col min="5392" max="5392" width="12.28515625" customWidth="1"/>
    <col min="5393" max="5393" width="11" customWidth="1"/>
    <col min="5394" max="5394" width="11.85546875" customWidth="1"/>
    <col min="5395" max="5395" width="8" customWidth="1"/>
    <col min="5396" max="5396" width="0" hidden="1" customWidth="1"/>
    <col min="5397" max="5397" width="10.140625" customWidth="1"/>
    <col min="5633" max="5633" width="14.42578125" customWidth="1"/>
    <col min="5634" max="5634" width="12.140625" customWidth="1"/>
    <col min="5635" max="5635" width="0" hidden="1" customWidth="1"/>
    <col min="5636" max="5636" width="11.5703125" customWidth="1"/>
    <col min="5637" max="5639" width="0" hidden="1" customWidth="1"/>
    <col min="5640" max="5640" width="8.140625" customWidth="1"/>
    <col min="5641" max="5641" width="9.5703125" customWidth="1"/>
    <col min="5642" max="5642" width="14.140625" customWidth="1"/>
    <col min="5643" max="5643" width="8" customWidth="1"/>
    <col min="5644" max="5644" width="0" hidden="1" customWidth="1"/>
    <col min="5645" max="5645" width="12.5703125" customWidth="1"/>
    <col min="5646" max="5646" width="9.28515625" bestFit="1" customWidth="1"/>
    <col min="5647" max="5647" width="10" customWidth="1"/>
    <col min="5648" max="5648" width="12.28515625" customWidth="1"/>
    <col min="5649" max="5649" width="11" customWidth="1"/>
    <col min="5650" max="5650" width="11.85546875" customWidth="1"/>
    <col min="5651" max="5651" width="8" customWidth="1"/>
    <col min="5652" max="5652" width="0" hidden="1" customWidth="1"/>
    <col min="5653" max="5653" width="10.140625" customWidth="1"/>
    <col min="5889" max="5889" width="14.42578125" customWidth="1"/>
    <col min="5890" max="5890" width="12.140625" customWidth="1"/>
    <col min="5891" max="5891" width="0" hidden="1" customWidth="1"/>
    <col min="5892" max="5892" width="11.5703125" customWidth="1"/>
    <col min="5893" max="5895" width="0" hidden="1" customWidth="1"/>
    <col min="5896" max="5896" width="8.140625" customWidth="1"/>
    <col min="5897" max="5897" width="9.5703125" customWidth="1"/>
    <col min="5898" max="5898" width="14.140625" customWidth="1"/>
    <col min="5899" max="5899" width="8" customWidth="1"/>
    <col min="5900" max="5900" width="0" hidden="1" customWidth="1"/>
    <col min="5901" max="5901" width="12.5703125" customWidth="1"/>
    <col min="5902" max="5902" width="9.28515625" bestFit="1" customWidth="1"/>
    <col min="5903" max="5903" width="10" customWidth="1"/>
    <col min="5904" max="5904" width="12.28515625" customWidth="1"/>
    <col min="5905" max="5905" width="11" customWidth="1"/>
    <col min="5906" max="5906" width="11.85546875" customWidth="1"/>
    <col min="5907" max="5907" width="8" customWidth="1"/>
    <col min="5908" max="5908" width="0" hidden="1" customWidth="1"/>
    <col min="5909" max="5909" width="10.140625" customWidth="1"/>
    <col min="6145" max="6145" width="14.42578125" customWidth="1"/>
    <col min="6146" max="6146" width="12.140625" customWidth="1"/>
    <col min="6147" max="6147" width="0" hidden="1" customWidth="1"/>
    <col min="6148" max="6148" width="11.5703125" customWidth="1"/>
    <col min="6149" max="6151" width="0" hidden="1" customWidth="1"/>
    <col min="6152" max="6152" width="8.140625" customWidth="1"/>
    <col min="6153" max="6153" width="9.5703125" customWidth="1"/>
    <col min="6154" max="6154" width="14.140625" customWidth="1"/>
    <col min="6155" max="6155" width="8" customWidth="1"/>
    <col min="6156" max="6156" width="0" hidden="1" customWidth="1"/>
    <col min="6157" max="6157" width="12.5703125" customWidth="1"/>
    <col min="6158" max="6158" width="9.28515625" bestFit="1" customWidth="1"/>
    <col min="6159" max="6159" width="10" customWidth="1"/>
    <col min="6160" max="6160" width="12.28515625" customWidth="1"/>
    <col min="6161" max="6161" width="11" customWidth="1"/>
    <col min="6162" max="6162" width="11.85546875" customWidth="1"/>
    <col min="6163" max="6163" width="8" customWidth="1"/>
    <col min="6164" max="6164" width="0" hidden="1" customWidth="1"/>
    <col min="6165" max="6165" width="10.140625" customWidth="1"/>
    <col min="6401" max="6401" width="14.42578125" customWidth="1"/>
    <col min="6402" max="6402" width="12.140625" customWidth="1"/>
    <col min="6403" max="6403" width="0" hidden="1" customWidth="1"/>
    <col min="6404" max="6404" width="11.5703125" customWidth="1"/>
    <col min="6405" max="6407" width="0" hidden="1" customWidth="1"/>
    <col min="6408" max="6408" width="8.140625" customWidth="1"/>
    <col min="6409" max="6409" width="9.5703125" customWidth="1"/>
    <col min="6410" max="6410" width="14.140625" customWidth="1"/>
    <col min="6411" max="6411" width="8" customWidth="1"/>
    <col min="6412" max="6412" width="0" hidden="1" customWidth="1"/>
    <col min="6413" max="6413" width="12.5703125" customWidth="1"/>
    <col min="6414" max="6414" width="9.28515625" bestFit="1" customWidth="1"/>
    <col min="6415" max="6415" width="10" customWidth="1"/>
    <col min="6416" max="6416" width="12.28515625" customWidth="1"/>
    <col min="6417" max="6417" width="11" customWidth="1"/>
    <col min="6418" max="6418" width="11.85546875" customWidth="1"/>
    <col min="6419" max="6419" width="8" customWidth="1"/>
    <col min="6420" max="6420" width="0" hidden="1" customWidth="1"/>
    <col min="6421" max="6421" width="10.140625" customWidth="1"/>
    <col min="6657" max="6657" width="14.42578125" customWidth="1"/>
    <col min="6658" max="6658" width="12.140625" customWidth="1"/>
    <col min="6659" max="6659" width="0" hidden="1" customWidth="1"/>
    <col min="6660" max="6660" width="11.5703125" customWidth="1"/>
    <col min="6661" max="6663" width="0" hidden="1" customWidth="1"/>
    <col min="6664" max="6664" width="8.140625" customWidth="1"/>
    <col min="6665" max="6665" width="9.5703125" customWidth="1"/>
    <col min="6666" max="6666" width="14.140625" customWidth="1"/>
    <col min="6667" max="6667" width="8" customWidth="1"/>
    <col min="6668" max="6668" width="0" hidden="1" customWidth="1"/>
    <col min="6669" max="6669" width="12.5703125" customWidth="1"/>
    <col min="6670" max="6670" width="9.28515625" bestFit="1" customWidth="1"/>
    <col min="6671" max="6671" width="10" customWidth="1"/>
    <col min="6672" max="6672" width="12.28515625" customWidth="1"/>
    <col min="6673" max="6673" width="11" customWidth="1"/>
    <col min="6674" max="6674" width="11.85546875" customWidth="1"/>
    <col min="6675" max="6675" width="8" customWidth="1"/>
    <col min="6676" max="6676" width="0" hidden="1" customWidth="1"/>
    <col min="6677" max="6677" width="10.140625" customWidth="1"/>
    <col min="6913" max="6913" width="14.42578125" customWidth="1"/>
    <col min="6914" max="6914" width="12.140625" customWidth="1"/>
    <col min="6915" max="6915" width="0" hidden="1" customWidth="1"/>
    <col min="6916" max="6916" width="11.5703125" customWidth="1"/>
    <col min="6917" max="6919" width="0" hidden="1" customWidth="1"/>
    <col min="6920" max="6920" width="8.140625" customWidth="1"/>
    <col min="6921" max="6921" width="9.5703125" customWidth="1"/>
    <col min="6922" max="6922" width="14.140625" customWidth="1"/>
    <col min="6923" max="6923" width="8" customWidth="1"/>
    <col min="6924" max="6924" width="0" hidden="1" customWidth="1"/>
    <col min="6925" max="6925" width="12.5703125" customWidth="1"/>
    <col min="6926" max="6926" width="9.28515625" bestFit="1" customWidth="1"/>
    <col min="6927" max="6927" width="10" customWidth="1"/>
    <col min="6928" max="6928" width="12.28515625" customWidth="1"/>
    <col min="6929" max="6929" width="11" customWidth="1"/>
    <col min="6930" max="6930" width="11.85546875" customWidth="1"/>
    <col min="6931" max="6931" width="8" customWidth="1"/>
    <col min="6932" max="6932" width="0" hidden="1" customWidth="1"/>
    <col min="6933" max="6933" width="10.140625" customWidth="1"/>
    <col min="7169" max="7169" width="14.42578125" customWidth="1"/>
    <col min="7170" max="7170" width="12.140625" customWidth="1"/>
    <col min="7171" max="7171" width="0" hidden="1" customWidth="1"/>
    <col min="7172" max="7172" width="11.5703125" customWidth="1"/>
    <col min="7173" max="7175" width="0" hidden="1" customWidth="1"/>
    <col min="7176" max="7176" width="8.140625" customWidth="1"/>
    <col min="7177" max="7177" width="9.5703125" customWidth="1"/>
    <col min="7178" max="7178" width="14.140625" customWidth="1"/>
    <col min="7179" max="7179" width="8" customWidth="1"/>
    <col min="7180" max="7180" width="0" hidden="1" customWidth="1"/>
    <col min="7181" max="7181" width="12.5703125" customWidth="1"/>
    <col min="7182" max="7182" width="9.28515625" bestFit="1" customWidth="1"/>
    <col min="7183" max="7183" width="10" customWidth="1"/>
    <col min="7184" max="7184" width="12.28515625" customWidth="1"/>
    <col min="7185" max="7185" width="11" customWidth="1"/>
    <col min="7186" max="7186" width="11.85546875" customWidth="1"/>
    <col min="7187" max="7187" width="8" customWidth="1"/>
    <col min="7188" max="7188" width="0" hidden="1" customWidth="1"/>
    <col min="7189" max="7189" width="10.140625" customWidth="1"/>
    <col min="7425" max="7425" width="14.42578125" customWidth="1"/>
    <col min="7426" max="7426" width="12.140625" customWidth="1"/>
    <col min="7427" max="7427" width="0" hidden="1" customWidth="1"/>
    <col min="7428" max="7428" width="11.5703125" customWidth="1"/>
    <col min="7429" max="7431" width="0" hidden="1" customWidth="1"/>
    <col min="7432" max="7432" width="8.140625" customWidth="1"/>
    <col min="7433" max="7433" width="9.5703125" customWidth="1"/>
    <col min="7434" max="7434" width="14.140625" customWidth="1"/>
    <col min="7435" max="7435" width="8" customWidth="1"/>
    <col min="7436" max="7436" width="0" hidden="1" customWidth="1"/>
    <col min="7437" max="7437" width="12.5703125" customWidth="1"/>
    <col min="7438" max="7438" width="9.28515625" bestFit="1" customWidth="1"/>
    <col min="7439" max="7439" width="10" customWidth="1"/>
    <col min="7440" max="7440" width="12.28515625" customWidth="1"/>
    <col min="7441" max="7441" width="11" customWidth="1"/>
    <col min="7442" max="7442" width="11.85546875" customWidth="1"/>
    <col min="7443" max="7443" width="8" customWidth="1"/>
    <col min="7444" max="7444" width="0" hidden="1" customWidth="1"/>
    <col min="7445" max="7445" width="10.140625" customWidth="1"/>
    <col min="7681" max="7681" width="14.42578125" customWidth="1"/>
    <col min="7682" max="7682" width="12.140625" customWidth="1"/>
    <col min="7683" max="7683" width="0" hidden="1" customWidth="1"/>
    <col min="7684" max="7684" width="11.5703125" customWidth="1"/>
    <col min="7685" max="7687" width="0" hidden="1" customWidth="1"/>
    <col min="7688" max="7688" width="8.140625" customWidth="1"/>
    <col min="7689" max="7689" width="9.5703125" customWidth="1"/>
    <col min="7690" max="7690" width="14.140625" customWidth="1"/>
    <col min="7691" max="7691" width="8" customWidth="1"/>
    <col min="7692" max="7692" width="0" hidden="1" customWidth="1"/>
    <col min="7693" max="7693" width="12.5703125" customWidth="1"/>
    <col min="7694" max="7694" width="9.28515625" bestFit="1" customWidth="1"/>
    <col min="7695" max="7695" width="10" customWidth="1"/>
    <col min="7696" max="7696" width="12.28515625" customWidth="1"/>
    <col min="7697" max="7697" width="11" customWidth="1"/>
    <col min="7698" max="7698" width="11.85546875" customWidth="1"/>
    <col min="7699" max="7699" width="8" customWidth="1"/>
    <col min="7700" max="7700" width="0" hidden="1" customWidth="1"/>
    <col min="7701" max="7701" width="10.140625" customWidth="1"/>
    <col min="7937" max="7937" width="14.42578125" customWidth="1"/>
    <col min="7938" max="7938" width="12.140625" customWidth="1"/>
    <col min="7939" max="7939" width="0" hidden="1" customWidth="1"/>
    <col min="7940" max="7940" width="11.5703125" customWidth="1"/>
    <col min="7941" max="7943" width="0" hidden="1" customWidth="1"/>
    <col min="7944" max="7944" width="8.140625" customWidth="1"/>
    <col min="7945" max="7945" width="9.5703125" customWidth="1"/>
    <col min="7946" max="7946" width="14.140625" customWidth="1"/>
    <col min="7947" max="7947" width="8" customWidth="1"/>
    <col min="7948" max="7948" width="0" hidden="1" customWidth="1"/>
    <col min="7949" max="7949" width="12.5703125" customWidth="1"/>
    <col min="7950" max="7950" width="9.28515625" bestFit="1" customWidth="1"/>
    <col min="7951" max="7951" width="10" customWidth="1"/>
    <col min="7952" max="7952" width="12.28515625" customWidth="1"/>
    <col min="7953" max="7953" width="11" customWidth="1"/>
    <col min="7954" max="7954" width="11.85546875" customWidth="1"/>
    <col min="7955" max="7955" width="8" customWidth="1"/>
    <col min="7956" max="7956" width="0" hidden="1" customWidth="1"/>
    <col min="7957" max="7957" width="10.140625" customWidth="1"/>
    <col min="8193" max="8193" width="14.42578125" customWidth="1"/>
    <col min="8194" max="8194" width="12.140625" customWidth="1"/>
    <col min="8195" max="8195" width="0" hidden="1" customWidth="1"/>
    <col min="8196" max="8196" width="11.5703125" customWidth="1"/>
    <col min="8197" max="8199" width="0" hidden="1" customWidth="1"/>
    <col min="8200" max="8200" width="8.140625" customWidth="1"/>
    <col min="8201" max="8201" width="9.5703125" customWidth="1"/>
    <col min="8202" max="8202" width="14.140625" customWidth="1"/>
    <col min="8203" max="8203" width="8" customWidth="1"/>
    <col min="8204" max="8204" width="0" hidden="1" customWidth="1"/>
    <col min="8205" max="8205" width="12.5703125" customWidth="1"/>
    <col min="8206" max="8206" width="9.28515625" bestFit="1" customWidth="1"/>
    <col min="8207" max="8207" width="10" customWidth="1"/>
    <col min="8208" max="8208" width="12.28515625" customWidth="1"/>
    <col min="8209" max="8209" width="11" customWidth="1"/>
    <col min="8210" max="8210" width="11.85546875" customWidth="1"/>
    <col min="8211" max="8211" width="8" customWidth="1"/>
    <col min="8212" max="8212" width="0" hidden="1" customWidth="1"/>
    <col min="8213" max="8213" width="10.140625" customWidth="1"/>
    <col min="8449" max="8449" width="14.42578125" customWidth="1"/>
    <col min="8450" max="8450" width="12.140625" customWidth="1"/>
    <col min="8451" max="8451" width="0" hidden="1" customWidth="1"/>
    <col min="8452" max="8452" width="11.5703125" customWidth="1"/>
    <col min="8453" max="8455" width="0" hidden="1" customWidth="1"/>
    <col min="8456" max="8456" width="8.140625" customWidth="1"/>
    <col min="8457" max="8457" width="9.5703125" customWidth="1"/>
    <col min="8458" max="8458" width="14.140625" customWidth="1"/>
    <col min="8459" max="8459" width="8" customWidth="1"/>
    <col min="8460" max="8460" width="0" hidden="1" customWidth="1"/>
    <col min="8461" max="8461" width="12.5703125" customWidth="1"/>
    <col min="8462" max="8462" width="9.28515625" bestFit="1" customWidth="1"/>
    <col min="8463" max="8463" width="10" customWidth="1"/>
    <col min="8464" max="8464" width="12.28515625" customWidth="1"/>
    <col min="8465" max="8465" width="11" customWidth="1"/>
    <col min="8466" max="8466" width="11.85546875" customWidth="1"/>
    <col min="8467" max="8467" width="8" customWidth="1"/>
    <col min="8468" max="8468" width="0" hidden="1" customWidth="1"/>
    <col min="8469" max="8469" width="10.140625" customWidth="1"/>
    <col min="8705" max="8705" width="14.42578125" customWidth="1"/>
    <col min="8706" max="8706" width="12.140625" customWidth="1"/>
    <col min="8707" max="8707" width="0" hidden="1" customWidth="1"/>
    <col min="8708" max="8708" width="11.5703125" customWidth="1"/>
    <col min="8709" max="8711" width="0" hidden="1" customWidth="1"/>
    <col min="8712" max="8712" width="8.140625" customWidth="1"/>
    <col min="8713" max="8713" width="9.5703125" customWidth="1"/>
    <col min="8714" max="8714" width="14.140625" customWidth="1"/>
    <col min="8715" max="8715" width="8" customWidth="1"/>
    <col min="8716" max="8716" width="0" hidden="1" customWidth="1"/>
    <col min="8717" max="8717" width="12.5703125" customWidth="1"/>
    <col min="8718" max="8718" width="9.28515625" bestFit="1" customWidth="1"/>
    <col min="8719" max="8719" width="10" customWidth="1"/>
    <col min="8720" max="8720" width="12.28515625" customWidth="1"/>
    <col min="8721" max="8721" width="11" customWidth="1"/>
    <col min="8722" max="8722" width="11.85546875" customWidth="1"/>
    <col min="8723" max="8723" width="8" customWidth="1"/>
    <col min="8724" max="8724" width="0" hidden="1" customWidth="1"/>
    <col min="8725" max="8725" width="10.140625" customWidth="1"/>
    <col min="8961" max="8961" width="14.42578125" customWidth="1"/>
    <col min="8962" max="8962" width="12.140625" customWidth="1"/>
    <col min="8963" max="8963" width="0" hidden="1" customWidth="1"/>
    <col min="8964" max="8964" width="11.5703125" customWidth="1"/>
    <col min="8965" max="8967" width="0" hidden="1" customWidth="1"/>
    <col min="8968" max="8968" width="8.140625" customWidth="1"/>
    <col min="8969" max="8969" width="9.5703125" customWidth="1"/>
    <col min="8970" max="8970" width="14.140625" customWidth="1"/>
    <col min="8971" max="8971" width="8" customWidth="1"/>
    <col min="8972" max="8972" width="0" hidden="1" customWidth="1"/>
    <col min="8973" max="8973" width="12.5703125" customWidth="1"/>
    <col min="8974" max="8974" width="9.28515625" bestFit="1" customWidth="1"/>
    <col min="8975" max="8975" width="10" customWidth="1"/>
    <col min="8976" max="8976" width="12.28515625" customWidth="1"/>
    <col min="8977" max="8977" width="11" customWidth="1"/>
    <col min="8978" max="8978" width="11.85546875" customWidth="1"/>
    <col min="8979" max="8979" width="8" customWidth="1"/>
    <col min="8980" max="8980" width="0" hidden="1" customWidth="1"/>
    <col min="8981" max="8981" width="10.140625" customWidth="1"/>
    <col min="9217" max="9217" width="14.42578125" customWidth="1"/>
    <col min="9218" max="9218" width="12.140625" customWidth="1"/>
    <col min="9219" max="9219" width="0" hidden="1" customWidth="1"/>
    <col min="9220" max="9220" width="11.5703125" customWidth="1"/>
    <col min="9221" max="9223" width="0" hidden="1" customWidth="1"/>
    <col min="9224" max="9224" width="8.140625" customWidth="1"/>
    <col min="9225" max="9225" width="9.5703125" customWidth="1"/>
    <col min="9226" max="9226" width="14.140625" customWidth="1"/>
    <col min="9227" max="9227" width="8" customWidth="1"/>
    <col min="9228" max="9228" width="0" hidden="1" customWidth="1"/>
    <col min="9229" max="9229" width="12.5703125" customWidth="1"/>
    <col min="9230" max="9230" width="9.28515625" bestFit="1" customWidth="1"/>
    <col min="9231" max="9231" width="10" customWidth="1"/>
    <col min="9232" max="9232" width="12.28515625" customWidth="1"/>
    <col min="9233" max="9233" width="11" customWidth="1"/>
    <col min="9234" max="9234" width="11.85546875" customWidth="1"/>
    <col min="9235" max="9235" width="8" customWidth="1"/>
    <col min="9236" max="9236" width="0" hidden="1" customWidth="1"/>
    <col min="9237" max="9237" width="10.140625" customWidth="1"/>
    <col min="9473" max="9473" width="14.42578125" customWidth="1"/>
    <col min="9474" max="9474" width="12.140625" customWidth="1"/>
    <col min="9475" max="9475" width="0" hidden="1" customWidth="1"/>
    <col min="9476" max="9476" width="11.5703125" customWidth="1"/>
    <col min="9477" max="9479" width="0" hidden="1" customWidth="1"/>
    <col min="9480" max="9480" width="8.140625" customWidth="1"/>
    <col min="9481" max="9481" width="9.5703125" customWidth="1"/>
    <col min="9482" max="9482" width="14.140625" customWidth="1"/>
    <col min="9483" max="9483" width="8" customWidth="1"/>
    <col min="9484" max="9484" width="0" hidden="1" customWidth="1"/>
    <col min="9485" max="9485" width="12.5703125" customWidth="1"/>
    <col min="9486" max="9486" width="9.28515625" bestFit="1" customWidth="1"/>
    <col min="9487" max="9487" width="10" customWidth="1"/>
    <col min="9488" max="9488" width="12.28515625" customWidth="1"/>
    <col min="9489" max="9489" width="11" customWidth="1"/>
    <col min="9490" max="9490" width="11.85546875" customWidth="1"/>
    <col min="9491" max="9491" width="8" customWidth="1"/>
    <col min="9492" max="9492" width="0" hidden="1" customWidth="1"/>
    <col min="9493" max="9493" width="10.140625" customWidth="1"/>
    <col min="9729" max="9729" width="14.42578125" customWidth="1"/>
    <col min="9730" max="9730" width="12.140625" customWidth="1"/>
    <col min="9731" max="9731" width="0" hidden="1" customWidth="1"/>
    <col min="9732" max="9732" width="11.5703125" customWidth="1"/>
    <col min="9733" max="9735" width="0" hidden="1" customWidth="1"/>
    <col min="9736" max="9736" width="8.140625" customWidth="1"/>
    <col min="9737" max="9737" width="9.5703125" customWidth="1"/>
    <col min="9738" max="9738" width="14.140625" customWidth="1"/>
    <col min="9739" max="9739" width="8" customWidth="1"/>
    <col min="9740" max="9740" width="0" hidden="1" customWidth="1"/>
    <col min="9741" max="9741" width="12.5703125" customWidth="1"/>
    <col min="9742" max="9742" width="9.28515625" bestFit="1" customWidth="1"/>
    <col min="9743" max="9743" width="10" customWidth="1"/>
    <col min="9744" max="9744" width="12.28515625" customWidth="1"/>
    <col min="9745" max="9745" width="11" customWidth="1"/>
    <col min="9746" max="9746" width="11.85546875" customWidth="1"/>
    <col min="9747" max="9747" width="8" customWidth="1"/>
    <col min="9748" max="9748" width="0" hidden="1" customWidth="1"/>
    <col min="9749" max="9749" width="10.140625" customWidth="1"/>
    <col min="9985" max="9985" width="14.42578125" customWidth="1"/>
    <col min="9986" max="9986" width="12.140625" customWidth="1"/>
    <col min="9987" max="9987" width="0" hidden="1" customWidth="1"/>
    <col min="9988" max="9988" width="11.5703125" customWidth="1"/>
    <col min="9989" max="9991" width="0" hidden="1" customWidth="1"/>
    <col min="9992" max="9992" width="8.140625" customWidth="1"/>
    <col min="9993" max="9993" width="9.5703125" customWidth="1"/>
    <col min="9994" max="9994" width="14.140625" customWidth="1"/>
    <col min="9995" max="9995" width="8" customWidth="1"/>
    <col min="9996" max="9996" width="0" hidden="1" customWidth="1"/>
    <col min="9997" max="9997" width="12.5703125" customWidth="1"/>
    <col min="9998" max="9998" width="9.28515625" bestFit="1" customWidth="1"/>
    <col min="9999" max="9999" width="10" customWidth="1"/>
    <col min="10000" max="10000" width="12.28515625" customWidth="1"/>
    <col min="10001" max="10001" width="11" customWidth="1"/>
    <col min="10002" max="10002" width="11.85546875" customWidth="1"/>
    <col min="10003" max="10003" width="8" customWidth="1"/>
    <col min="10004" max="10004" width="0" hidden="1" customWidth="1"/>
    <col min="10005" max="10005" width="10.140625" customWidth="1"/>
    <col min="10241" max="10241" width="14.42578125" customWidth="1"/>
    <col min="10242" max="10242" width="12.140625" customWidth="1"/>
    <col min="10243" max="10243" width="0" hidden="1" customWidth="1"/>
    <col min="10244" max="10244" width="11.5703125" customWidth="1"/>
    <col min="10245" max="10247" width="0" hidden="1" customWidth="1"/>
    <col min="10248" max="10248" width="8.140625" customWidth="1"/>
    <col min="10249" max="10249" width="9.5703125" customWidth="1"/>
    <col min="10250" max="10250" width="14.140625" customWidth="1"/>
    <col min="10251" max="10251" width="8" customWidth="1"/>
    <col min="10252" max="10252" width="0" hidden="1" customWidth="1"/>
    <col min="10253" max="10253" width="12.5703125" customWidth="1"/>
    <col min="10254" max="10254" width="9.28515625" bestFit="1" customWidth="1"/>
    <col min="10255" max="10255" width="10" customWidth="1"/>
    <col min="10256" max="10256" width="12.28515625" customWidth="1"/>
    <col min="10257" max="10257" width="11" customWidth="1"/>
    <col min="10258" max="10258" width="11.85546875" customWidth="1"/>
    <col min="10259" max="10259" width="8" customWidth="1"/>
    <col min="10260" max="10260" width="0" hidden="1" customWidth="1"/>
    <col min="10261" max="10261" width="10.140625" customWidth="1"/>
    <col min="10497" max="10497" width="14.42578125" customWidth="1"/>
    <col min="10498" max="10498" width="12.140625" customWidth="1"/>
    <col min="10499" max="10499" width="0" hidden="1" customWidth="1"/>
    <col min="10500" max="10500" width="11.5703125" customWidth="1"/>
    <col min="10501" max="10503" width="0" hidden="1" customWidth="1"/>
    <col min="10504" max="10504" width="8.140625" customWidth="1"/>
    <col min="10505" max="10505" width="9.5703125" customWidth="1"/>
    <col min="10506" max="10506" width="14.140625" customWidth="1"/>
    <col min="10507" max="10507" width="8" customWidth="1"/>
    <col min="10508" max="10508" width="0" hidden="1" customWidth="1"/>
    <col min="10509" max="10509" width="12.5703125" customWidth="1"/>
    <col min="10510" max="10510" width="9.28515625" bestFit="1" customWidth="1"/>
    <col min="10511" max="10511" width="10" customWidth="1"/>
    <col min="10512" max="10512" width="12.28515625" customWidth="1"/>
    <col min="10513" max="10513" width="11" customWidth="1"/>
    <col min="10514" max="10514" width="11.85546875" customWidth="1"/>
    <col min="10515" max="10515" width="8" customWidth="1"/>
    <col min="10516" max="10516" width="0" hidden="1" customWidth="1"/>
    <col min="10517" max="10517" width="10.140625" customWidth="1"/>
    <col min="10753" max="10753" width="14.42578125" customWidth="1"/>
    <col min="10754" max="10754" width="12.140625" customWidth="1"/>
    <col min="10755" max="10755" width="0" hidden="1" customWidth="1"/>
    <col min="10756" max="10756" width="11.5703125" customWidth="1"/>
    <col min="10757" max="10759" width="0" hidden="1" customWidth="1"/>
    <col min="10760" max="10760" width="8.140625" customWidth="1"/>
    <col min="10761" max="10761" width="9.5703125" customWidth="1"/>
    <col min="10762" max="10762" width="14.140625" customWidth="1"/>
    <col min="10763" max="10763" width="8" customWidth="1"/>
    <col min="10764" max="10764" width="0" hidden="1" customWidth="1"/>
    <col min="10765" max="10765" width="12.5703125" customWidth="1"/>
    <col min="10766" max="10766" width="9.28515625" bestFit="1" customWidth="1"/>
    <col min="10767" max="10767" width="10" customWidth="1"/>
    <col min="10768" max="10768" width="12.28515625" customWidth="1"/>
    <col min="10769" max="10769" width="11" customWidth="1"/>
    <col min="10770" max="10770" width="11.85546875" customWidth="1"/>
    <col min="10771" max="10771" width="8" customWidth="1"/>
    <col min="10772" max="10772" width="0" hidden="1" customWidth="1"/>
    <col min="10773" max="10773" width="10.140625" customWidth="1"/>
    <col min="11009" max="11009" width="14.42578125" customWidth="1"/>
    <col min="11010" max="11010" width="12.140625" customWidth="1"/>
    <col min="11011" max="11011" width="0" hidden="1" customWidth="1"/>
    <col min="11012" max="11012" width="11.5703125" customWidth="1"/>
    <col min="11013" max="11015" width="0" hidden="1" customWidth="1"/>
    <col min="11016" max="11016" width="8.140625" customWidth="1"/>
    <col min="11017" max="11017" width="9.5703125" customWidth="1"/>
    <col min="11018" max="11018" width="14.140625" customWidth="1"/>
    <col min="11019" max="11019" width="8" customWidth="1"/>
    <col min="11020" max="11020" width="0" hidden="1" customWidth="1"/>
    <col min="11021" max="11021" width="12.5703125" customWidth="1"/>
    <col min="11022" max="11022" width="9.28515625" bestFit="1" customWidth="1"/>
    <col min="11023" max="11023" width="10" customWidth="1"/>
    <col min="11024" max="11024" width="12.28515625" customWidth="1"/>
    <col min="11025" max="11025" width="11" customWidth="1"/>
    <col min="11026" max="11026" width="11.85546875" customWidth="1"/>
    <col min="11027" max="11027" width="8" customWidth="1"/>
    <col min="11028" max="11028" width="0" hidden="1" customWidth="1"/>
    <col min="11029" max="11029" width="10.140625" customWidth="1"/>
    <col min="11265" max="11265" width="14.42578125" customWidth="1"/>
    <col min="11266" max="11266" width="12.140625" customWidth="1"/>
    <col min="11267" max="11267" width="0" hidden="1" customWidth="1"/>
    <col min="11268" max="11268" width="11.5703125" customWidth="1"/>
    <col min="11269" max="11271" width="0" hidden="1" customWidth="1"/>
    <col min="11272" max="11272" width="8.140625" customWidth="1"/>
    <col min="11273" max="11273" width="9.5703125" customWidth="1"/>
    <col min="11274" max="11274" width="14.140625" customWidth="1"/>
    <col min="11275" max="11275" width="8" customWidth="1"/>
    <col min="11276" max="11276" width="0" hidden="1" customWidth="1"/>
    <col min="11277" max="11277" width="12.5703125" customWidth="1"/>
    <col min="11278" max="11278" width="9.28515625" bestFit="1" customWidth="1"/>
    <col min="11279" max="11279" width="10" customWidth="1"/>
    <col min="11280" max="11280" width="12.28515625" customWidth="1"/>
    <col min="11281" max="11281" width="11" customWidth="1"/>
    <col min="11282" max="11282" width="11.85546875" customWidth="1"/>
    <col min="11283" max="11283" width="8" customWidth="1"/>
    <col min="11284" max="11284" width="0" hidden="1" customWidth="1"/>
    <col min="11285" max="11285" width="10.140625" customWidth="1"/>
    <col min="11521" max="11521" width="14.42578125" customWidth="1"/>
    <col min="11522" max="11522" width="12.140625" customWidth="1"/>
    <col min="11523" max="11523" width="0" hidden="1" customWidth="1"/>
    <col min="11524" max="11524" width="11.5703125" customWidth="1"/>
    <col min="11525" max="11527" width="0" hidden="1" customWidth="1"/>
    <col min="11528" max="11528" width="8.140625" customWidth="1"/>
    <col min="11529" max="11529" width="9.5703125" customWidth="1"/>
    <col min="11530" max="11530" width="14.140625" customWidth="1"/>
    <col min="11531" max="11531" width="8" customWidth="1"/>
    <col min="11532" max="11532" width="0" hidden="1" customWidth="1"/>
    <col min="11533" max="11533" width="12.5703125" customWidth="1"/>
    <col min="11534" max="11534" width="9.28515625" bestFit="1" customWidth="1"/>
    <col min="11535" max="11535" width="10" customWidth="1"/>
    <col min="11536" max="11536" width="12.28515625" customWidth="1"/>
    <col min="11537" max="11537" width="11" customWidth="1"/>
    <col min="11538" max="11538" width="11.85546875" customWidth="1"/>
    <col min="11539" max="11539" width="8" customWidth="1"/>
    <col min="11540" max="11540" width="0" hidden="1" customWidth="1"/>
    <col min="11541" max="11541" width="10.140625" customWidth="1"/>
    <col min="11777" max="11777" width="14.42578125" customWidth="1"/>
    <col min="11778" max="11778" width="12.140625" customWidth="1"/>
    <col min="11779" max="11779" width="0" hidden="1" customWidth="1"/>
    <col min="11780" max="11780" width="11.5703125" customWidth="1"/>
    <col min="11781" max="11783" width="0" hidden="1" customWidth="1"/>
    <col min="11784" max="11784" width="8.140625" customWidth="1"/>
    <col min="11785" max="11785" width="9.5703125" customWidth="1"/>
    <col min="11786" max="11786" width="14.140625" customWidth="1"/>
    <col min="11787" max="11787" width="8" customWidth="1"/>
    <col min="11788" max="11788" width="0" hidden="1" customWidth="1"/>
    <col min="11789" max="11789" width="12.5703125" customWidth="1"/>
    <col min="11790" max="11790" width="9.28515625" bestFit="1" customWidth="1"/>
    <col min="11791" max="11791" width="10" customWidth="1"/>
    <col min="11792" max="11792" width="12.28515625" customWidth="1"/>
    <col min="11793" max="11793" width="11" customWidth="1"/>
    <col min="11794" max="11794" width="11.85546875" customWidth="1"/>
    <col min="11795" max="11795" width="8" customWidth="1"/>
    <col min="11796" max="11796" width="0" hidden="1" customWidth="1"/>
    <col min="11797" max="11797" width="10.140625" customWidth="1"/>
    <col min="12033" max="12033" width="14.42578125" customWidth="1"/>
    <col min="12034" max="12034" width="12.140625" customWidth="1"/>
    <col min="12035" max="12035" width="0" hidden="1" customWidth="1"/>
    <col min="12036" max="12036" width="11.5703125" customWidth="1"/>
    <col min="12037" max="12039" width="0" hidden="1" customWidth="1"/>
    <col min="12040" max="12040" width="8.140625" customWidth="1"/>
    <col min="12041" max="12041" width="9.5703125" customWidth="1"/>
    <col min="12042" max="12042" width="14.140625" customWidth="1"/>
    <col min="12043" max="12043" width="8" customWidth="1"/>
    <col min="12044" max="12044" width="0" hidden="1" customWidth="1"/>
    <col min="12045" max="12045" width="12.5703125" customWidth="1"/>
    <col min="12046" max="12046" width="9.28515625" bestFit="1" customWidth="1"/>
    <col min="12047" max="12047" width="10" customWidth="1"/>
    <col min="12048" max="12048" width="12.28515625" customWidth="1"/>
    <col min="12049" max="12049" width="11" customWidth="1"/>
    <col min="12050" max="12050" width="11.85546875" customWidth="1"/>
    <col min="12051" max="12051" width="8" customWidth="1"/>
    <col min="12052" max="12052" width="0" hidden="1" customWidth="1"/>
    <col min="12053" max="12053" width="10.140625" customWidth="1"/>
    <col min="12289" max="12289" width="14.42578125" customWidth="1"/>
    <col min="12290" max="12290" width="12.140625" customWidth="1"/>
    <col min="12291" max="12291" width="0" hidden="1" customWidth="1"/>
    <col min="12292" max="12292" width="11.5703125" customWidth="1"/>
    <col min="12293" max="12295" width="0" hidden="1" customWidth="1"/>
    <col min="12296" max="12296" width="8.140625" customWidth="1"/>
    <col min="12297" max="12297" width="9.5703125" customWidth="1"/>
    <col min="12298" max="12298" width="14.140625" customWidth="1"/>
    <col min="12299" max="12299" width="8" customWidth="1"/>
    <col min="12300" max="12300" width="0" hidden="1" customWidth="1"/>
    <col min="12301" max="12301" width="12.5703125" customWidth="1"/>
    <col min="12302" max="12302" width="9.28515625" bestFit="1" customWidth="1"/>
    <col min="12303" max="12303" width="10" customWidth="1"/>
    <col min="12304" max="12304" width="12.28515625" customWidth="1"/>
    <col min="12305" max="12305" width="11" customWidth="1"/>
    <col min="12306" max="12306" width="11.85546875" customWidth="1"/>
    <col min="12307" max="12307" width="8" customWidth="1"/>
    <col min="12308" max="12308" width="0" hidden="1" customWidth="1"/>
    <col min="12309" max="12309" width="10.140625" customWidth="1"/>
    <col min="12545" max="12545" width="14.42578125" customWidth="1"/>
    <col min="12546" max="12546" width="12.140625" customWidth="1"/>
    <col min="12547" max="12547" width="0" hidden="1" customWidth="1"/>
    <col min="12548" max="12548" width="11.5703125" customWidth="1"/>
    <col min="12549" max="12551" width="0" hidden="1" customWidth="1"/>
    <col min="12552" max="12552" width="8.140625" customWidth="1"/>
    <col min="12553" max="12553" width="9.5703125" customWidth="1"/>
    <col min="12554" max="12554" width="14.140625" customWidth="1"/>
    <col min="12555" max="12555" width="8" customWidth="1"/>
    <col min="12556" max="12556" width="0" hidden="1" customWidth="1"/>
    <col min="12557" max="12557" width="12.5703125" customWidth="1"/>
    <col min="12558" max="12558" width="9.28515625" bestFit="1" customWidth="1"/>
    <col min="12559" max="12559" width="10" customWidth="1"/>
    <col min="12560" max="12560" width="12.28515625" customWidth="1"/>
    <col min="12561" max="12561" width="11" customWidth="1"/>
    <col min="12562" max="12562" width="11.85546875" customWidth="1"/>
    <col min="12563" max="12563" width="8" customWidth="1"/>
    <col min="12564" max="12564" width="0" hidden="1" customWidth="1"/>
    <col min="12565" max="12565" width="10.140625" customWidth="1"/>
    <col min="12801" max="12801" width="14.42578125" customWidth="1"/>
    <col min="12802" max="12802" width="12.140625" customWidth="1"/>
    <col min="12803" max="12803" width="0" hidden="1" customWidth="1"/>
    <col min="12804" max="12804" width="11.5703125" customWidth="1"/>
    <col min="12805" max="12807" width="0" hidden="1" customWidth="1"/>
    <col min="12808" max="12808" width="8.140625" customWidth="1"/>
    <col min="12809" max="12809" width="9.5703125" customWidth="1"/>
    <col min="12810" max="12810" width="14.140625" customWidth="1"/>
    <col min="12811" max="12811" width="8" customWidth="1"/>
    <col min="12812" max="12812" width="0" hidden="1" customWidth="1"/>
    <col min="12813" max="12813" width="12.5703125" customWidth="1"/>
    <col min="12814" max="12814" width="9.28515625" bestFit="1" customWidth="1"/>
    <col min="12815" max="12815" width="10" customWidth="1"/>
    <col min="12816" max="12816" width="12.28515625" customWidth="1"/>
    <col min="12817" max="12817" width="11" customWidth="1"/>
    <col min="12818" max="12818" width="11.85546875" customWidth="1"/>
    <col min="12819" max="12819" width="8" customWidth="1"/>
    <col min="12820" max="12820" width="0" hidden="1" customWidth="1"/>
    <col min="12821" max="12821" width="10.140625" customWidth="1"/>
    <col min="13057" max="13057" width="14.42578125" customWidth="1"/>
    <col min="13058" max="13058" width="12.140625" customWidth="1"/>
    <col min="13059" max="13059" width="0" hidden="1" customWidth="1"/>
    <col min="13060" max="13060" width="11.5703125" customWidth="1"/>
    <col min="13061" max="13063" width="0" hidden="1" customWidth="1"/>
    <col min="13064" max="13064" width="8.140625" customWidth="1"/>
    <col min="13065" max="13065" width="9.5703125" customWidth="1"/>
    <col min="13066" max="13066" width="14.140625" customWidth="1"/>
    <col min="13067" max="13067" width="8" customWidth="1"/>
    <col min="13068" max="13068" width="0" hidden="1" customWidth="1"/>
    <col min="13069" max="13069" width="12.5703125" customWidth="1"/>
    <col min="13070" max="13070" width="9.28515625" bestFit="1" customWidth="1"/>
    <col min="13071" max="13071" width="10" customWidth="1"/>
    <col min="13072" max="13072" width="12.28515625" customWidth="1"/>
    <col min="13073" max="13073" width="11" customWidth="1"/>
    <col min="13074" max="13074" width="11.85546875" customWidth="1"/>
    <col min="13075" max="13075" width="8" customWidth="1"/>
    <col min="13076" max="13076" width="0" hidden="1" customWidth="1"/>
    <col min="13077" max="13077" width="10.140625" customWidth="1"/>
    <col min="13313" max="13313" width="14.42578125" customWidth="1"/>
    <col min="13314" max="13314" width="12.140625" customWidth="1"/>
    <col min="13315" max="13315" width="0" hidden="1" customWidth="1"/>
    <col min="13316" max="13316" width="11.5703125" customWidth="1"/>
    <col min="13317" max="13319" width="0" hidden="1" customWidth="1"/>
    <col min="13320" max="13320" width="8.140625" customWidth="1"/>
    <col min="13321" max="13321" width="9.5703125" customWidth="1"/>
    <col min="13322" max="13322" width="14.140625" customWidth="1"/>
    <col min="13323" max="13323" width="8" customWidth="1"/>
    <col min="13324" max="13324" width="0" hidden="1" customWidth="1"/>
    <col min="13325" max="13325" width="12.5703125" customWidth="1"/>
    <col min="13326" max="13326" width="9.28515625" bestFit="1" customWidth="1"/>
    <col min="13327" max="13327" width="10" customWidth="1"/>
    <col min="13328" max="13328" width="12.28515625" customWidth="1"/>
    <col min="13329" max="13329" width="11" customWidth="1"/>
    <col min="13330" max="13330" width="11.85546875" customWidth="1"/>
    <col min="13331" max="13331" width="8" customWidth="1"/>
    <col min="13332" max="13332" width="0" hidden="1" customWidth="1"/>
    <col min="13333" max="13333" width="10.140625" customWidth="1"/>
    <col min="13569" max="13569" width="14.42578125" customWidth="1"/>
    <col min="13570" max="13570" width="12.140625" customWidth="1"/>
    <col min="13571" max="13571" width="0" hidden="1" customWidth="1"/>
    <col min="13572" max="13572" width="11.5703125" customWidth="1"/>
    <col min="13573" max="13575" width="0" hidden="1" customWidth="1"/>
    <col min="13576" max="13576" width="8.140625" customWidth="1"/>
    <col min="13577" max="13577" width="9.5703125" customWidth="1"/>
    <col min="13578" max="13578" width="14.140625" customWidth="1"/>
    <col min="13579" max="13579" width="8" customWidth="1"/>
    <col min="13580" max="13580" width="0" hidden="1" customWidth="1"/>
    <col min="13581" max="13581" width="12.5703125" customWidth="1"/>
    <col min="13582" max="13582" width="9.28515625" bestFit="1" customWidth="1"/>
    <col min="13583" max="13583" width="10" customWidth="1"/>
    <col min="13584" max="13584" width="12.28515625" customWidth="1"/>
    <col min="13585" max="13585" width="11" customWidth="1"/>
    <col min="13586" max="13586" width="11.85546875" customWidth="1"/>
    <col min="13587" max="13587" width="8" customWidth="1"/>
    <col min="13588" max="13588" width="0" hidden="1" customWidth="1"/>
    <col min="13589" max="13589" width="10.140625" customWidth="1"/>
    <col min="13825" max="13825" width="14.42578125" customWidth="1"/>
    <col min="13826" max="13826" width="12.140625" customWidth="1"/>
    <col min="13827" max="13827" width="0" hidden="1" customWidth="1"/>
    <col min="13828" max="13828" width="11.5703125" customWidth="1"/>
    <col min="13829" max="13831" width="0" hidden="1" customWidth="1"/>
    <col min="13832" max="13832" width="8.140625" customWidth="1"/>
    <col min="13833" max="13833" width="9.5703125" customWidth="1"/>
    <col min="13834" max="13834" width="14.140625" customWidth="1"/>
    <col min="13835" max="13835" width="8" customWidth="1"/>
    <col min="13836" max="13836" width="0" hidden="1" customWidth="1"/>
    <col min="13837" max="13837" width="12.5703125" customWidth="1"/>
    <col min="13838" max="13838" width="9.28515625" bestFit="1" customWidth="1"/>
    <col min="13839" max="13839" width="10" customWidth="1"/>
    <col min="13840" max="13840" width="12.28515625" customWidth="1"/>
    <col min="13841" max="13841" width="11" customWidth="1"/>
    <col min="13842" max="13842" width="11.85546875" customWidth="1"/>
    <col min="13843" max="13843" width="8" customWidth="1"/>
    <col min="13844" max="13844" width="0" hidden="1" customWidth="1"/>
    <col min="13845" max="13845" width="10.140625" customWidth="1"/>
    <col min="14081" max="14081" width="14.42578125" customWidth="1"/>
    <col min="14082" max="14082" width="12.140625" customWidth="1"/>
    <col min="14083" max="14083" width="0" hidden="1" customWidth="1"/>
    <col min="14084" max="14084" width="11.5703125" customWidth="1"/>
    <col min="14085" max="14087" width="0" hidden="1" customWidth="1"/>
    <col min="14088" max="14088" width="8.140625" customWidth="1"/>
    <col min="14089" max="14089" width="9.5703125" customWidth="1"/>
    <col min="14090" max="14090" width="14.140625" customWidth="1"/>
    <col min="14091" max="14091" width="8" customWidth="1"/>
    <col min="14092" max="14092" width="0" hidden="1" customWidth="1"/>
    <col min="14093" max="14093" width="12.5703125" customWidth="1"/>
    <col min="14094" max="14094" width="9.28515625" bestFit="1" customWidth="1"/>
    <col min="14095" max="14095" width="10" customWidth="1"/>
    <col min="14096" max="14096" width="12.28515625" customWidth="1"/>
    <col min="14097" max="14097" width="11" customWidth="1"/>
    <col min="14098" max="14098" width="11.85546875" customWidth="1"/>
    <col min="14099" max="14099" width="8" customWidth="1"/>
    <col min="14100" max="14100" width="0" hidden="1" customWidth="1"/>
    <col min="14101" max="14101" width="10.140625" customWidth="1"/>
    <col min="14337" max="14337" width="14.42578125" customWidth="1"/>
    <col min="14338" max="14338" width="12.140625" customWidth="1"/>
    <col min="14339" max="14339" width="0" hidden="1" customWidth="1"/>
    <col min="14340" max="14340" width="11.5703125" customWidth="1"/>
    <col min="14341" max="14343" width="0" hidden="1" customWidth="1"/>
    <col min="14344" max="14344" width="8.140625" customWidth="1"/>
    <col min="14345" max="14345" width="9.5703125" customWidth="1"/>
    <col min="14346" max="14346" width="14.140625" customWidth="1"/>
    <col min="14347" max="14347" width="8" customWidth="1"/>
    <col min="14348" max="14348" width="0" hidden="1" customWidth="1"/>
    <col min="14349" max="14349" width="12.5703125" customWidth="1"/>
    <col min="14350" max="14350" width="9.28515625" bestFit="1" customWidth="1"/>
    <col min="14351" max="14351" width="10" customWidth="1"/>
    <col min="14352" max="14352" width="12.28515625" customWidth="1"/>
    <col min="14353" max="14353" width="11" customWidth="1"/>
    <col min="14354" max="14354" width="11.85546875" customWidth="1"/>
    <col min="14355" max="14355" width="8" customWidth="1"/>
    <col min="14356" max="14356" width="0" hidden="1" customWidth="1"/>
    <col min="14357" max="14357" width="10.140625" customWidth="1"/>
    <col min="14593" max="14593" width="14.42578125" customWidth="1"/>
    <col min="14594" max="14594" width="12.140625" customWidth="1"/>
    <col min="14595" max="14595" width="0" hidden="1" customWidth="1"/>
    <col min="14596" max="14596" width="11.5703125" customWidth="1"/>
    <col min="14597" max="14599" width="0" hidden="1" customWidth="1"/>
    <col min="14600" max="14600" width="8.140625" customWidth="1"/>
    <col min="14601" max="14601" width="9.5703125" customWidth="1"/>
    <col min="14602" max="14602" width="14.140625" customWidth="1"/>
    <col min="14603" max="14603" width="8" customWidth="1"/>
    <col min="14604" max="14604" width="0" hidden="1" customWidth="1"/>
    <col min="14605" max="14605" width="12.5703125" customWidth="1"/>
    <col min="14606" max="14606" width="9.28515625" bestFit="1" customWidth="1"/>
    <col min="14607" max="14607" width="10" customWidth="1"/>
    <col min="14608" max="14608" width="12.28515625" customWidth="1"/>
    <col min="14609" max="14609" width="11" customWidth="1"/>
    <col min="14610" max="14610" width="11.85546875" customWidth="1"/>
    <col min="14611" max="14611" width="8" customWidth="1"/>
    <col min="14612" max="14612" width="0" hidden="1" customWidth="1"/>
    <col min="14613" max="14613" width="10.140625" customWidth="1"/>
    <col min="14849" max="14849" width="14.42578125" customWidth="1"/>
    <col min="14850" max="14850" width="12.140625" customWidth="1"/>
    <col min="14851" max="14851" width="0" hidden="1" customWidth="1"/>
    <col min="14852" max="14852" width="11.5703125" customWidth="1"/>
    <col min="14853" max="14855" width="0" hidden="1" customWidth="1"/>
    <col min="14856" max="14856" width="8.140625" customWidth="1"/>
    <col min="14857" max="14857" width="9.5703125" customWidth="1"/>
    <col min="14858" max="14858" width="14.140625" customWidth="1"/>
    <col min="14859" max="14859" width="8" customWidth="1"/>
    <col min="14860" max="14860" width="0" hidden="1" customWidth="1"/>
    <col min="14861" max="14861" width="12.5703125" customWidth="1"/>
    <col min="14862" max="14862" width="9.28515625" bestFit="1" customWidth="1"/>
    <col min="14863" max="14863" width="10" customWidth="1"/>
    <col min="14864" max="14864" width="12.28515625" customWidth="1"/>
    <col min="14865" max="14865" width="11" customWidth="1"/>
    <col min="14866" max="14866" width="11.85546875" customWidth="1"/>
    <col min="14867" max="14867" width="8" customWidth="1"/>
    <col min="14868" max="14868" width="0" hidden="1" customWidth="1"/>
    <col min="14869" max="14869" width="10.140625" customWidth="1"/>
    <col min="15105" max="15105" width="14.42578125" customWidth="1"/>
    <col min="15106" max="15106" width="12.140625" customWidth="1"/>
    <col min="15107" max="15107" width="0" hidden="1" customWidth="1"/>
    <col min="15108" max="15108" width="11.5703125" customWidth="1"/>
    <col min="15109" max="15111" width="0" hidden="1" customWidth="1"/>
    <col min="15112" max="15112" width="8.140625" customWidth="1"/>
    <col min="15113" max="15113" width="9.5703125" customWidth="1"/>
    <col min="15114" max="15114" width="14.140625" customWidth="1"/>
    <col min="15115" max="15115" width="8" customWidth="1"/>
    <col min="15116" max="15116" width="0" hidden="1" customWidth="1"/>
    <col min="15117" max="15117" width="12.5703125" customWidth="1"/>
    <col min="15118" max="15118" width="9.28515625" bestFit="1" customWidth="1"/>
    <col min="15119" max="15119" width="10" customWidth="1"/>
    <col min="15120" max="15120" width="12.28515625" customWidth="1"/>
    <col min="15121" max="15121" width="11" customWidth="1"/>
    <col min="15122" max="15122" width="11.85546875" customWidth="1"/>
    <col min="15123" max="15123" width="8" customWidth="1"/>
    <col min="15124" max="15124" width="0" hidden="1" customWidth="1"/>
    <col min="15125" max="15125" width="10.140625" customWidth="1"/>
    <col min="15361" max="15361" width="14.42578125" customWidth="1"/>
    <col min="15362" max="15362" width="12.140625" customWidth="1"/>
    <col min="15363" max="15363" width="0" hidden="1" customWidth="1"/>
    <col min="15364" max="15364" width="11.5703125" customWidth="1"/>
    <col min="15365" max="15367" width="0" hidden="1" customWidth="1"/>
    <col min="15368" max="15368" width="8.140625" customWidth="1"/>
    <col min="15369" max="15369" width="9.5703125" customWidth="1"/>
    <col min="15370" max="15370" width="14.140625" customWidth="1"/>
    <col min="15371" max="15371" width="8" customWidth="1"/>
    <col min="15372" max="15372" width="0" hidden="1" customWidth="1"/>
    <col min="15373" max="15373" width="12.5703125" customWidth="1"/>
    <col min="15374" max="15374" width="9.28515625" bestFit="1" customWidth="1"/>
    <col min="15375" max="15375" width="10" customWidth="1"/>
    <col min="15376" max="15376" width="12.28515625" customWidth="1"/>
    <col min="15377" max="15377" width="11" customWidth="1"/>
    <col min="15378" max="15378" width="11.85546875" customWidth="1"/>
    <col min="15379" max="15379" width="8" customWidth="1"/>
    <col min="15380" max="15380" width="0" hidden="1" customWidth="1"/>
    <col min="15381" max="15381" width="10.140625" customWidth="1"/>
    <col min="15617" max="15617" width="14.42578125" customWidth="1"/>
    <col min="15618" max="15618" width="12.140625" customWidth="1"/>
    <col min="15619" max="15619" width="0" hidden="1" customWidth="1"/>
    <col min="15620" max="15620" width="11.5703125" customWidth="1"/>
    <col min="15621" max="15623" width="0" hidden="1" customWidth="1"/>
    <col min="15624" max="15624" width="8.140625" customWidth="1"/>
    <col min="15625" max="15625" width="9.5703125" customWidth="1"/>
    <col min="15626" max="15626" width="14.140625" customWidth="1"/>
    <col min="15627" max="15627" width="8" customWidth="1"/>
    <col min="15628" max="15628" width="0" hidden="1" customWidth="1"/>
    <col min="15629" max="15629" width="12.5703125" customWidth="1"/>
    <col min="15630" max="15630" width="9.28515625" bestFit="1" customWidth="1"/>
    <col min="15631" max="15631" width="10" customWidth="1"/>
    <col min="15632" max="15632" width="12.28515625" customWidth="1"/>
    <col min="15633" max="15633" width="11" customWidth="1"/>
    <col min="15634" max="15634" width="11.85546875" customWidth="1"/>
    <col min="15635" max="15635" width="8" customWidth="1"/>
    <col min="15636" max="15636" width="0" hidden="1" customWidth="1"/>
    <col min="15637" max="15637" width="10.140625" customWidth="1"/>
    <col min="15873" max="15873" width="14.42578125" customWidth="1"/>
    <col min="15874" max="15874" width="12.140625" customWidth="1"/>
    <col min="15875" max="15875" width="0" hidden="1" customWidth="1"/>
    <col min="15876" max="15876" width="11.5703125" customWidth="1"/>
    <col min="15877" max="15879" width="0" hidden="1" customWidth="1"/>
    <col min="15880" max="15880" width="8.140625" customWidth="1"/>
    <col min="15881" max="15881" width="9.5703125" customWidth="1"/>
    <col min="15882" max="15882" width="14.140625" customWidth="1"/>
    <col min="15883" max="15883" width="8" customWidth="1"/>
    <col min="15884" max="15884" width="0" hidden="1" customWidth="1"/>
    <col min="15885" max="15885" width="12.5703125" customWidth="1"/>
    <col min="15886" max="15886" width="9.28515625" bestFit="1" customWidth="1"/>
    <col min="15887" max="15887" width="10" customWidth="1"/>
    <col min="15888" max="15888" width="12.28515625" customWidth="1"/>
    <col min="15889" max="15889" width="11" customWidth="1"/>
    <col min="15890" max="15890" width="11.85546875" customWidth="1"/>
    <col min="15891" max="15891" width="8" customWidth="1"/>
    <col min="15892" max="15892" width="0" hidden="1" customWidth="1"/>
    <col min="15893" max="15893" width="10.140625" customWidth="1"/>
    <col min="16129" max="16129" width="14.42578125" customWidth="1"/>
    <col min="16130" max="16130" width="12.140625" customWidth="1"/>
    <col min="16131" max="16131" width="0" hidden="1" customWidth="1"/>
    <col min="16132" max="16132" width="11.5703125" customWidth="1"/>
    <col min="16133" max="16135" width="0" hidden="1" customWidth="1"/>
    <col min="16136" max="16136" width="8.140625" customWidth="1"/>
    <col min="16137" max="16137" width="9.5703125" customWidth="1"/>
    <col min="16138" max="16138" width="14.140625" customWidth="1"/>
    <col min="16139" max="16139" width="8" customWidth="1"/>
    <col min="16140" max="16140" width="0" hidden="1" customWidth="1"/>
    <col min="16141" max="16141" width="12.5703125" customWidth="1"/>
    <col min="16142" max="16142" width="9.28515625" bestFit="1" customWidth="1"/>
    <col min="16143" max="16143" width="10" customWidth="1"/>
    <col min="16144" max="16144" width="12.28515625" customWidth="1"/>
    <col min="16145" max="16145" width="11" customWidth="1"/>
    <col min="16146" max="16146" width="11.85546875" customWidth="1"/>
    <col min="16147" max="16147" width="8" customWidth="1"/>
    <col min="16148" max="16148" width="0" hidden="1" customWidth="1"/>
    <col min="16149" max="16149" width="10.140625" customWidth="1"/>
  </cols>
  <sheetData>
    <row r="1" spans="1:24" x14ac:dyDescent="0.2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418"/>
      <c r="Q1" s="52"/>
      <c r="R1" s="52"/>
    </row>
    <row r="2" spans="1:24" x14ac:dyDescent="0.2">
      <c r="A2" s="418" t="s">
        <v>859</v>
      </c>
      <c r="B2" s="52"/>
      <c r="C2" s="52"/>
      <c r="D2" s="52"/>
      <c r="E2" s="52"/>
      <c r="F2" s="52"/>
      <c r="G2" s="52"/>
      <c r="I2" s="52"/>
      <c r="J2" s="52"/>
      <c r="K2" s="52"/>
      <c r="L2" s="52"/>
      <c r="M2" s="52"/>
      <c r="N2" s="52"/>
      <c r="O2" s="52"/>
      <c r="P2" s="418"/>
      <c r="Q2" s="52"/>
      <c r="R2" s="52"/>
    </row>
    <row r="3" spans="1:24" ht="13.5" thickBot="1" x14ac:dyDescent="0.25">
      <c r="A3" s="418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418"/>
      <c r="R3" s="419" t="s">
        <v>377</v>
      </c>
    </row>
    <row r="4" spans="1:24" ht="13.5" thickBot="1" x14ac:dyDescent="0.25">
      <c r="A4" s="921" t="s">
        <v>550</v>
      </c>
      <c r="B4" s="923" t="s">
        <v>551</v>
      </c>
      <c r="C4" s="490"/>
      <c r="D4" s="925" t="s">
        <v>552</v>
      </c>
      <c r="E4" s="925"/>
      <c r="F4" s="925"/>
      <c r="G4" s="925"/>
      <c r="H4" s="925"/>
      <c r="I4" s="925"/>
      <c r="J4" s="921" t="s">
        <v>550</v>
      </c>
      <c r="K4" s="927" t="s">
        <v>41</v>
      </c>
      <c r="L4" s="928"/>
      <c r="M4" s="928"/>
      <c r="N4" s="928"/>
      <c r="O4" s="928"/>
      <c r="P4" s="929"/>
      <c r="Q4" s="917" t="s">
        <v>860</v>
      </c>
      <c r="R4" s="919" t="s">
        <v>861</v>
      </c>
      <c r="T4" s="915" t="s">
        <v>750</v>
      </c>
    </row>
    <row r="5" spans="1:24" s="424" customFormat="1" ht="36.75" thickBot="1" x14ac:dyDescent="0.25">
      <c r="A5" s="922"/>
      <c r="B5" s="924"/>
      <c r="C5" s="491"/>
      <c r="D5" s="420" t="s">
        <v>553</v>
      </c>
      <c r="E5" s="421" t="s">
        <v>554</v>
      </c>
      <c r="F5" s="421" t="s">
        <v>719</v>
      </c>
      <c r="G5" s="421"/>
      <c r="H5" s="422" t="s">
        <v>555</v>
      </c>
      <c r="I5" s="423" t="s">
        <v>556</v>
      </c>
      <c r="J5" s="926"/>
      <c r="K5" s="420" t="s">
        <v>557</v>
      </c>
      <c r="L5" s="421" t="s">
        <v>558</v>
      </c>
      <c r="M5" s="421" t="s">
        <v>559</v>
      </c>
      <c r="N5" s="421" t="s">
        <v>560</v>
      </c>
      <c r="O5" s="422" t="s">
        <v>561</v>
      </c>
      <c r="P5" s="423" t="s">
        <v>562</v>
      </c>
      <c r="Q5" s="918"/>
      <c r="R5" s="920"/>
      <c r="S5" s="425" t="s">
        <v>563</v>
      </c>
      <c r="T5" s="916"/>
      <c r="V5"/>
      <c r="W5"/>
      <c r="X5"/>
    </row>
    <row r="6" spans="1:24" x14ac:dyDescent="0.2">
      <c r="A6" s="426" t="s">
        <v>564</v>
      </c>
      <c r="B6" s="427">
        <v>2319</v>
      </c>
      <c r="C6" s="431"/>
      <c r="D6" s="428">
        <v>1160</v>
      </c>
      <c r="E6" s="429"/>
      <c r="F6" s="429"/>
      <c r="G6" s="654"/>
      <c r="H6" s="431">
        <v>10032</v>
      </c>
      <c r="I6" s="432">
        <f t="shared" ref="I6:I18" si="0">SUM(D6:H6)</f>
        <v>11192</v>
      </c>
      <c r="J6" s="655" t="s">
        <v>564</v>
      </c>
      <c r="K6" s="433">
        <f>4320+180+580</f>
        <v>5080</v>
      </c>
      <c r="L6" s="429">
        <v>0</v>
      </c>
      <c r="M6" s="429">
        <v>391</v>
      </c>
      <c r="N6" s="430">
        <v>0</v>
      </c>
      <c r="O6" s="434">
        <v>1150</v>
      </c>
      <c r="P6" s="432">
        <f t="shared" ref="P6:P18" si="1">K6+L6+M6+N6+O6</f>
        <v>6621</v>
      </c>
      <c r="Q6" s="435">
        <f t="shared" ref="Q6:Q19" si="2">I6+P6</f>
        <v>17813</v>
      </c>
      <c r="R6" s="436">
        <v>17843</v>
      </c>
      <c r="S6" s="335">
        <f>Q6-R6</f>
        <v>-30</v>
      </c>
      <c r="T6" s="437">
        <v>0</v>
      </c>
    </row>
    <row r="7" spans="1:24" x14ac:dyDescent="0.2">
      <c r="A7" s="438" t="s">
        <v>565</v>
      </c>
      <c r="B7" s="427">
        <v>591</v>
      </c>
      <c r="C7" s="431"/>
      <c r="D7" s="428">
        <v>295</v>
      </c>
      <c r="E7" s="429"/>
      <c r="F7" s="429"/>
      <c r="G7" s="430"/>
      <c r="H7" s="431">
        <v>2556</v>
      </c>
      <c r="I7" s="432">
        <f t="shared" si="0"/>
        <v>2851</v>
      </c>
      <c r="J7" s="439" t="s">
        <v>565</v>
      </c>
      <c r="K7" s="433">
        <v>180</v>
      </c>
      <c r="L7" s="429">
        <v>0</v>
      </c>
      <c r="M7" s="429">
        <v>234</v>
      </c>
      <c r="N7" s="57">
        <v>0</v>
      </c>
      <c r="O7" s="434">
        <v>0</v>
      </c>
      <c r="P7" s="432">
        <f t="shared" si="1"/>
        <v>414</v>
      </c>
      <c r="Q7" s="435">
        <f t="shared" si="2"/>
        <v>3265</v>
      </c>
      <c r="R7" s="440">
        <v>2756</v>
      </c>
      <c r="S7" s="335">
        <f t="shared" ref="S7:S20" si="3">Q7-R7</f>
        <v>509</v>
      </c>
      <c r="T7" s="441">
        <v>0</v>
      </c>
    </row>
    <row r="8" spans="1:24" x14ac:dyDescent="0.2">
      <c r="A8" s="438" t="s">
        <v>566</v>
      </c>
      <c r="B8" s="427">
        <v>2211</v>
      </c>
      <c r="C8" s="431"/>
      <c r="D8" s="428">
        <v>1106</v>
      </c>
      <c r="E8" s="429"/>
      <c r="F8" s="429"/>
      <c r="G8" s="430"/>
      <c r="H8" s="431">
        <v>9565</v>
      </c>
      <c r="I8" s="432">
        <f>SUM(D8:H8)</f>
        <v>10671</v>
      </c>
      <c r="J8" s="439" t="s">
        <v>566</v>
      </c>
      <c r="K8" s="433">
        <v>0</v>
      </c>
      <c r="L8" s="429">
        <v>0</v>
      </c>
      <c r="M8" s="429">
        <v>996</v>
      </c>
      <c r="N8" s="57">
        <v>0</v>
      </c>
      <c r="O8" s="434">
        <v>0</v>
      </c>
      <c r="P8" s="432">
        <f t="shared" si="1"/>
        <v>996</v>
      </c>
      <c r="Q8" s="435">
        <f t="shared" si="2"/>
        <v>11667</v>
      </c>
      <c r="R8" s="440">
        <v>9834</v>
      </c>
      <c r="S8" s="335">
        <f t="shared" si="3"/>
        <v>1833</v>
      </c>
      <c r="T8" s="441">
        <v>0</v>
      </c>
    </row>
    <row r="9" spans="1:24" x14ac:dyDescent="0.2">
      <c r="A9" s="438" t="s">
        <v>567</v>
      </c>
      <c r="B9" s="427">
        <v>1800</v>
      </c>
      <c r="C9" s="431"/>
      <c r="D9" s="428">
        <v>900</v>
      </c>
      <c r="E9" s="429"/>
      <c r="F9" s="429"/>
      <c r="G9" s="430"/>
      <c r="H9" s="431">
        <v>1810</v>
      </c>
      <c r="I9" s="432">
        <f>SUM(D9:H9)</f>
        <v>2710</v>
      </c>
      <c r="J9" s="439" t="s">
        <v>567</v>
      </c>
      <c r="K9" s="433">
        <v>0</v>
      </c>
      <c r="L9" s="429">
        <v>0</v>
      </c>
      <c r="M9" s="429">
        <v>469</v>
      </c>
      <c r="N9" s="57">
        <v>0</v>
      </c>
      <c r="O9" s="434">
        <v>0</v>
      </c>
      <c r="P9" s="432">
        <f t="shared" si="1"/>
        <v>469</v>
      </c>
      <c r="Q9" s="435">
        <f t="shared" si="2"/>
        <v>3179</v>
      </c>
      <c r="R9" s="440">
        <v>8025</v>
      </c>
      <c r="S9" s="335">
        <f t="shared" si="3"/>
        <v>-4846</v>
      </c>
      <c r="T9" s="441">
        <v>0</v>
      </c>
      <c r="U9" s="442"/>
    </row>
    <row r="10" spans="1:24" x14ac:dyDescent="0.2">
      <c r="A10" s="438" t="s">
        <v>568</v>
      </c>
      <c r="B10" s="427">
        <v>616</v>
      </c>
      <c r="C10" s="431"/>
      <c r="D10" s="428">
        <v>308</v>
      </c>
      <c r="E10" s="429"/>
      <c r="F10" s="429"/>
      <c r="G10" s="430"/>
      <c r="H10" s="431">
        <v>1328</v>
      </c>
      <c r="I10" s="432">
        <f t="shared" si="0"/>
        <v>1636</v>
      </c>
      <c r="J10" s="439" t="s">
        <v>568</v>
      </c>
      <c r="K10" s="433">
        <v>0</v>
      </c>
      <c r="L10" s="429">
        <v>0</v>
      </c>
      <c r="M10" s="429">
        <v>371</v>
      </c>
      <c r="N10" s="57">
        <v>0</v>
      </c>
      <c r="O10" s="434">
        <v>225</v>
      </c>
      <c r="P10" s="432">
        <f t="shared" si="1"/>
        <v>596</v>
      </c>
      <c r="Q10" s="435">
        <f t="shared" si="2"/>
        <v>2232</v>
      </c>
      <c r="R10" s="440">
        <v>2669</v>
      </c>
      <c r="S10" s="335">
        <f t="shared" si="3"/>
        <v>-437</v>
      </c>
      <c r="T10" s="441">
        <v>0</v>
      </c>
    </row>
    <row r="11" spans="1:24" x14ac:dyDescent="0.2">
      <c r="A11" s="438" t="s">
        <v>569</v>
      </c>
      <c r="B11" s="427">
        <v>542</v>
      </c>
      <c r="C11" s="431"/>
      <c r="D11" s="428">
        <v>271</v>
      </c>
      <c r="E11" s="429"/>
      <c r="F11" s="429"/>
      <c r="G11" s="430"/>
      <c r="H11" s="431">
        <v>1167</v>
      </c>
      <c r="I11" s="432">
        <f t="shared" si="0"/>
        <v>1438</v>
      </c>
      <c r="J11" s="439" t="s">
        <v>569</v>
      </c>
      <c r="K11" s="433">
        <v>180</v>
      </c>
      <c r="L11" s="429">
        <v>0</v>
      </c>
      <c r="M11" s="429">
        <v>156</v>
      </c>
      <c r="N11" s="57">
        <v>0</v>
      </c>
      <c r="O11" s="434">
        <v>0</v>
      </c>
      <c r="P11" s="432">
        <f t="shared" si="1"/>
        <v>336</v>
      </c>
      <c r="Q11" s="435">
        <f t="shared" si="2"/>
        <v>1774</v>
      </c>
      <c r="R11" s="440">
        <v>2057</v>
      </c>
      <c r="S11" s="335">
        <f t="shared" si="3"/>
        <v>-283</v>
      </c>
      <c r="T11" s="441">
        <v>0</v>
      </c>
    </row>
    <row r="12" spans="1:24" x14ac:dyDescent="0.2">
      <c r="A12" s="438" t="s">
        <v>570</v>
      </c>
      <c r="B12" s="427">
        <v>1466</v>
      </c>
      <c r="C12" s="431"/>
      <c r="D12" s="428">
        <v>733</v>
      </c>
      <c r="E12" s="429"/>
      <c r="F12" s="429"/>
      <c r="G12" s="430"/>
      <c r="H12" s="431">
        <v>3160</v>
      </c>
      <c r="I12" s="432">
        <f t="shared" si="0"/>
        <v>3893</v>
      </c>
      <c r="J12" s="439" t="s">
        <v>570</v>
      </c>
      <c r="K12" s="433">
        <v>0</v>
      </c>
      <c r="L12" s="429">
        <v>0</v>
      </c>
      <c r="M12" s="429">
        <v>0</v>
      </c>
      <c r="N12" s="57">
        <v>0</v>
      </c>
      <c r="O12" s="434">
        <v>825</v>
      </c>
      <c r="P12" s="432">
        <f t="shared" si="1"/>
        <v>825</v>
      </c>
      <c r="Q12" s="435">
        <f t="shared" si="2"/>
        <v>4718</v>
      </c>
      <c r="R12" s="440">
        <v>5935</v>
      </c>
      <c r="S12" s="335">
        <f t="shared" si="3"/>
        <v>-1217</v>
      </c>
      <c r="T12" s="441">
        <v>0</v>
      </c>
    </row>
    <row r="13" spans="1:24" x14ac:dyDescent="0.2">
      <c r="A13" s="438" t="s">
        <v>571</v>
      </c>
      <c r="B13" s="427">
        <v>545</v>
      </c>
      <c r="C13" s="431"/>
      <c r="D13" s="428">
        <v>273</v>
      </c>
      <c r="E13" s="429"/>
      <c r="F13" s="429"/>
      <c r="G13" s="430"/>
      <c r="H13" s="431">
        <v>1177</v>
      </c>
      <c r="I13" s="432">
        <f t="shared" si="0"/>
        <v>1450</v>
      </c>
      <c r="J13" s="439" t="s">
        <v>571</v>
      </c>
      <c r="K13" s="433">
        <v>180</v>
      </c>
      <c r="L13" s="429">
        <v>0</v>
      </c>
      <c r="M13" s="429">
        <v>509</v>
      </c>
      <c r="N13" s="57">
        <v>0</v>
      </c>
      <c r="O13" s="434">
        <v>0</v>
      </c>
      <c r="P13" s="432">
        <f t="shared" si="1"/>
        <v>689</v>
      </c>
      <c r="Q13" s="435">
        <f t="shared" si="2"/>
        <v>2139</v>
      </c>
      <c r="R13" s="440">
        <v>2474</v>
      </c>
      <c r="S13" s="335">
        <f t="shared" si="3"/>
        <v>-335</v>
      </c>
      <c r="T13" s="441">
        <v>0</v>
      </c>
      <c r="U13" s="443"/>
    </row>
    <row r="14" spans="1:24" x14ac:dyDescent="0.2">
      <c r="A14" s="438" t="s">
        <v>572</v>
      </c>
      <c r="B14" s="427">
        <v>391</v>
      </c>
      <c r="C14" s="431"/>
      <c r="D14" s="428">
        <v>195</v>
      </c>
      <c r="E14" s="429"/>
      <c r="F14" s="429"/>
      <c r="G14" s="430"/>
      <c r="H14" s="431">
        <v>842</v>
      </c>
      <c r="I14" s="432">
        <f>SUM(D14:H14)</f>
        <v>1037</v>
      </c>
      <c r="J14" s="439" t="s">
        <v>572</v>
      </c>
      <c r="K14" s="433">
        <v>180</v>
      </c>
      <c r="L14" s="429">
        <v>0</v>
      </c>
      <c r="M14" s="429">
        <v>820</v>
      </c>
      <c r="N14" s="57">
        <v>0</v>
      </c>
      <c r="O14" s="434">
        <v>0</v>
      </c>
      <c r="P14" s="432">
        <f t="shared" si="1"/>
        <v>1000</v>
      </c>
      <c r="Q14" s="435">
        <f t="shared" si="2"/>
        <v>2037</v>
      </c>
      <c r="R14" s="440">
        <v>2207</v>
      </c>
      <c r="S14" s="335">
        <f t="shared" si="3"/>
        <v>-170</v>
      </c>
      <c r="T14" s="441">
        <v>0</v>
      </c>
      <c r="U14" s="444"/>
    </row>
    <row r="15" spans="1:24" x14ac:dyDescent="0.2">
      <c r="A15" s="438" t="s">
        <v>573</v>
      </c>
      <c r="B15" s="427">
        <v>441</v>
      </c>
      <c r="C15" s="431"/>
      <c r="D15" s="428">
        <v>220</v>
      </c>
      <c r="E15" s="429"/>
      <c r="F15" s="429"/>
      <c r="G15" s="430"/>
      <c r="H15" s="431">
        <v>951</v>
      </c>
      <c r="I15" s="432">
        <f t="shared" si="0"/>
        <v>1171</v>
      </c>
      <c r="J15" s="439" t="s">
        <v>573</v>
      </c>
      <c r="K15" s="433">
        <v>0</v>
      </c>
      <c r="L15" s="429">
        <v>0</v>
      </c>
      <c r="M15" s="429">
        <v>352</v>
      </c>
      <c r="N15" s="57">
        <v>0</v>
      </c>
      <c r="O15" s="434">
        <v>0</v>
      </c>
      <c r="P15" s="432">
        <f t="shared" si="1"/>
        <v>352</v>
      </c>
      <c r="Q15" s="435">
        <f t="shared" si="2"/>
        <v>1523</v>
      </c>
      <c r="R15" s="440">
        <v>1568</v>
      </c>
      <c r="S15" s="335">
        <f t="shared" si="3"/>
        <v>-45</v>
      </c>
      <c r="T15" s="441">
        <v>0</v>
      </c>
      <c r="U15" s="444"/>
    </row>
    <row r="16" spans="1:24" x14ac:dyDescent="0.2">
      <c r="A16" s="438" t="s">
        <v>574</v>
      </c>
      <c r="B16" s="427">
        <v>669</v>
      </c>
      <c r="C16" s="431"/>
      <c r="D16" s="428">
        <v>335</v>
      </c>
      <c r="E16" s="429"/>
      <c r="F16" s="429"/>
      <c r="G16" s="430"/>
      <c r="H16" s="431">
        <v>2894</v>
      </c>
      <c r="I16" s="432">
        <f t="shared" si="0"/>
        <v>3229</v>
      </c>
      <c r="J16" s="439" t="s">
        <v>574</v>
      </c>
      <c r="K16" s="433">
        <v>180</v>
      </c>
      <c r="L16" s="429">
        <v>0</v>
      </c>
      <c r="M16" s="429">
        <v>234</v>
      </c>
      <c r="N16" s="57">
        <v>0</v>
      </c>
      <c r="O16" s="434">
        <v>0</v>
      </c>
      <c r="P16" s="432">
        <f t="shared" si="1"/>
        <v>414</v>
      </c>
      <c r="Q16" s="435">
        <f t="shared" si="2"/>
        <v>3643</v>
      </c>
      <c r="R16" s="440">
        <v>3094</v>
      </c>
      <c r="S16" s="335">
        <f t="shared" si="3"/>
        <v>549</v>
      </c>
      <c r="T16" s="441">
        <v>0</v>
      </c>
      <c r="U16" s="444"/>
    </row>
    <row r="17" spans="1:21" x14ac:dyDescent="0.2">
      <c r="A17" s="438" t="s">
        <v>575</v>
      </c>
      <c r="B17" s="427">
        <v>574</v>
      </c>
      <c r="C17" s="431"/>
      <c r="D17" s="428">
        <v>287</v>
      </c>
      <c r="E17" s="447"/>
      <c r="F17" s="429"/>
      <c r="G17" s="57"/>
      <c r="H17" s="431">
        <v>1237</v>
      </c>
      <c r="I17" s="445">
        <f>SUM(D17:H17)</f>
        <v>1524</v>
      </c>
      <c r="J17" s="439" t="s">
        <v>575</v>
      </c>
      <c r="K17" s="446">
        <v>180</v>
      </c>
      <c r="L17" s="429">
        <v>0</v>
      </c>
      <c r="M17" s="447">
        <v>430</v>
      </c>
      <c r="N17" s="57">
        <v>0</v>
      </c>
      <c r="O17" s="434">
        <v>0</v>
      </c>
      <c r="P17" s="432">
        <f t="shared" si="1"/>
        <v>610</v>
      </c>
      <c r="Q17" s="448">
        <f t="shared" si="2"/>
        <v>2134</v>
      </c>
      <c r="R17" s="440">
        <v>2252</v>
      </c>
      <c r="S17" s="335">
        <f t="shared" si="3"/>
        <v>-118</v>
      </c>
      <c r="T17" s="441">
        <v>0</v>
      </c>
      <c r="U17" s="444"/>
    </row>
    <row r="18" spans="1:21" x14ac:dyDescent="0.2">
      <c r="A18" s="438" t="s">
        <v>576</v>
      </c>
      <c r="B18" s="427">
        <v>225</v>
      </c>
      <c r="C18" s="431"/>
      <c r="D18" s="428">
        <v>112</v>
      </c>
      <c r="E18" s="447"/>
      <c r="F18" s="429"/>
      <c r="G18" s="57"/>
      <c r="H18" s="431">
        <v>485</v>
      </c>
      <c r="I18" s="445">
        <f t="shared" si="0"/>
        <v>597</v>
      </c>
      <c r="J18" s="439" t="s">
        <v>576</v>
      </c>
      <c r="K18" s="446">
        <v>0</v>
      </c>
      <c r="L18" s="429">
        <v>0</v>
      </c>
      <c r="M18" s="447">
        <v>742</v>
      </c>
      <c r="N18" s="57">
        <v>0</v>
      </c>
      <c r="O18" s="434">
        <v>0</v>
      </c>
      <c r="P18" s="432">
        <f t="shared" si="1"/>
        <v>742</v>
      </c>
      <c r="Q18" s="448">
        <f t="shared" si="2"/>
        <v>1339</v>
      </c>
      <c r="R18" s="440">
        <v>1264</v>
      </c>
      <c r="S18" s="335">
        <f t="shared" si="3"/>
        <v>75</v>
      </c>
      <c r="T18" s="441">
        <v>0</v>
      </c>
      <c r="U18" s="443"/>
    </row>
    <row r="19" spans="1:21" hidden="1" x14ac:dyDescent="0.2">
      <c r="A19" s="449" t="s">
        <v>577</v>
      </c>
      <c r="B19" s="450"/>
      <c r="C19" s="499"/>
      <c r="D19" s="428"/>
      <c r="E19" s="447"/>
      <c r="F19" s="447"/>
      <c r="G19" s="57"/>
      <c r="H19" s="451"/>
      <c r="I19" s="445"/>
      <c r="J19" s="452" t="s">
        <v>577</v>
      </c>
      <c r="K19" s="446"/>
      <c r="L19" s="429">
        <f>[6]Jelzőrendszer!C31</f>
        <v>0</v>
      </c>
      <c r="M19" s="447"/>
      <c r="N19" s="57"/>
      <c r="O19" s="434">
        <f>'[6]Püg.,TV, étkeztetés '!C33+'[6]Püg.,TV, étkeztetés '!H33</f>
        <v>2200</v>
      </c>
      <c r="P19" s="445" t="e">
        <f>K19+#REF!+M19+N19+O19</f>
        <v>#REF!</v>
      </c>
      <c r="Q19" s="448" t="e">
        <f t="shared" si="2"/>
        <v>#REF!</v>
      </c>
      <c r="R19" s="440" t="e">
        <v>#REF!</v>
      </c>
      <c r="S19" s="335" t="e">
        <f t="shared" si="3"/>
        <v>#REF!</v>
      </c>
      <c r="T19" s="441"/>
    </row>
    <row r="20" spans="1:21" ht="13.5" thickBot="1" x14ac:dyDescent="0.25">
      <c r="A20" s="453" t="s">
        <v>43</v>
      </c>
      <c r="B20" s="454">
        <f>SUM(B6:B19)</f>
        <v>12390</v>
      </c>
      <c r="C20" s="457"/>
      <c r="D20" s="455">
        <f t="shared" ref="D20:I20" si="4">SUM(D6:D18)</f>
        <v>6195</v>
      </c>
      <c r="E20" s="456">
        <f t="shared" si="4"/>
        <v>0</v>
      </c>
      <c r="F20" s="456">
        <f t="shared" si="4"/>
        <v>0</v>
      </c>
      <c r="G20" s="456"/>
      <c r="H20" s="457">
        <f t="shared" si="4"/>
        <v>37204</v>
      </c>
      <c r="I20" s="454">
        <f t="shared" si="4"/>
        <v>43399</v>
      </c>
      <c r="J20" s="458" t="s">
        <v>43</v>
      </c>
      <c r="K20" s="455">
        <f>SUM(K6:K18)</f>
        <v>6160</v>
      </c>
      <c r="L20" s="455">
        <f>SUM(L6:L18)</f>
        <v>0</v>
      </c>
      <c r="M20" s="456">
        <f>SUM(M6:M19)</f>
        <v>5704</v>
      </c>
      <c r="N20" s="456">
        <f>SUM(N6:N18)</f>
        <v>0</v>
      </c>
      <c r="O20" s="459">
        <f>SUM(O6:O18)</f>
        <v>2200</v>
      </c>
      <c r="P20" s="454">
        <f>SUM(K20:O20)</f>
        <v>14064</v>
      </c>
      <c r="Q20" s="522">
        <f>SUM(Q6:Q18)</f>
        <v>57463</v>
      </c>
      <c r="R20" s="460">
        <f>SUM(R6:R18)</f>
        <v>61978</v>
      </c>
      <c r="S20" s="464">
        <f t="shared" si="3"/>
        <v>-4515</v>
      </c>
      <c r="T20" s="461">
        <f>SUM(T6:T18)</f>
        <v>0</v>
      </c>
    </row>
    <row r="21" spans="1:21" ht="12.75" hidden="1" customHeight="1" x14ac:dyDescent="0.2">
      <c r="A21" s="462"/>
      <c r="B21" s="462"/>
      <c r="C21" s="462"/>
      <c r="D21" s="462"/>
      <c r="E21" s="335">
        <f>SUM(D20+E20+F20)</f>
        <v>6195</v>
      </c>
      <c r="G21" s="463"/>
      <c r="H21" s="463"/>
      <c r="I21" s="463"/>
      <c r="J21" s="462"/>
      <c r="K21" s="462"/>
      <c r="L21" s="462"/>
      <c r="M21" s="462"/>
      <c r="N21" s="462"/>
      <c r="O21" s="462"/>
      <c r="P21" s="463"/>
      <c r="Q21" s="463"/>
      <c r="R21" s="464"/>
      <c r="S21" s="335"/>
    </row>
    <row r="22" spans="1:21" hidden="1" x14ac:dyDescent="0.2">
      <c r="A22" s="921" t="s">
        <v>550</v>
      </c>
      <c r="B22" s="930" t="s">
        <v>862</v>
      </c>
      <c r="C22" s="932" t="s">
        <v>578</v>
      </c>
      <c r="G22" s="465"/>
      <c r="P22"/>
      <c r="S22"/>
    </row>
    <row r="23" spans="1:21" ht="57" hidden="1" customHeight="1" x14ac:dyDescent="0.2">
      <c r="A23" s="922"/>
      <c r="B23" s="931"/>
      <c r="C23" s="933"/>
      <c r="P23"/>
      <c r="S23"/>
    </row>
    <row r="24" spans="1:21" ht="12.75" hidden="1" customHeight="1" thickBot="1" x14ac:dyDescent="0.25">
      <c r="A24" s="426" t="s">
        <v>564</v>
      </c>
      <c r="B24" s="466"/>
      <c r="C24" s="467">
        <v>3640</v>
      </c>
      <c r="P24"/>
      <c r="S24"/>
    </row>
    <row r="25" spans="1:21" hidden="1" x14ac:dyDescent="0.2">
      <c r="A25" s="438" t="s">
        <v>565</v>
      </c>
      <c r="B25" s="466"/>
      <c r="C25" s="467">
        <v>642</v>
      </c>
      <c r="P25"/>
      <c r="S25"/>
    </row>
    <row r="26" spans="1:21" hidden="1" x14ac:dyDescent="0.2">
      <c r="A26" s="438" t="s">
        <v>566</v>
      </c>
      <c r="B26" s="466"/>
      <c r="C26" s="467">
        <v>2891</v>
      </c>
      <c r="P26"/>
      <c r="S26"/>
    </row>
    <row r="27" spans="1:21" hidden="1" x14ac:dyDescent="0.2">
      <c r="A27" s="438" t="s">
        <v>567</v>
      </c>
      <c r="B27" s="466"/>
      <c r="C27" s="467">
        <v>0</v>
      </c>
      <c r="P27"/>
      <c r="S27"/>
    </row>
    <row r="28" spans="1:21" hidden="1" x14ac:dyDescent="0.2">
      <c r="A28" s="438" t="s">
        <v>568</v>
      </c>
      <c r="B28" s="466"/>
      <c r="C28" s="467">
        <v>642</v>
      </c>
      <c r="P28"/>
      <c r="S28"/>
    </row>
    <row r="29" spans="1:21" hidden="1" x14ac:dyDescent="0.2">
      <c r="A29" s="438" t="s">
        <v>569</v>
      </c>
      <c r="B29" s="466"/>
      <c r="C29" s="467">
        <v>642</v>
      </c>
      <c r="P29"/>
      <c r="S29"/>
    </row>
    <row r="30" spans="1:21" hidden="1" x14ac:dyDescent="0.2">
      <c r="A30" s="438" t="s">
        <v>570</v>
      </c>
      <c r="B30" s="466"/>
      <c r="C30" s="467">
        <v>1499</v>
      </c>
      <c r="P30"/>
      <c r="S30"/>
    </row>
    <row r="31" spans="1:21" hidden="1" x14ac:dyDescent="0.2">
      <c r="A31" s="438" t="s">
        <v>571</v>
      </c>
      <c r="B31" s="466"/>
      <c r="C31" s="467">
        <v>642</v>
      </c>
      <c r="P31"/>
      <c r="S31"/>
    </row>
    <row r="32" spans="1:21" hidden="1" x14ac:dyDescent="0.2">
      <c r="A32" s="438" t="s">
        <v>572</v>
      </c>
      <c r="B32" s="466"/>
      <c r="C32" s="467">
        <v>642</v>
      </c>
      <c r="P32"/>
      <c r="S32"/>
    </row>
    <row r="33" spans="1:24" hidden="1" x14ac:dyDescent="0.2">
      <c r="A33" s="438" t="s">
        <v>573</v>
      </c>
      <c r="B33" s="466"/>
      <c r="C33" s="467">
        <v>108</v>
      </c>
      <c r="P33"/>
      <c r="S33"/>
    </row>
    <row r="34" spans="1:24" hidden="1" x14ac:dyDescent="0.2">
      <c r="A34" s="438" t="s">
        <v>574</v>
      </c>
      <c r="B34" s="466"/>
      <c r="C34" s="467">
        <v>322</v>
      </c>
      <c r="P34"/>
      <c r="S34"/>
    </row>
    <row r="35" spans="1:24" hidden="1" x14ac:dyDescent="0.2">
      <c r="A35" s="438" t="s">
        <v>575</v>
      </c>
      <c r="B35" s="466"/>
      <c r="C35" s="468">
        <v>642</v>
      </c>
      <c r="P35"/>
      <c r="S35"/>
    </row>
    <row r="36" spans="1:24" hidden="1" x14ac:dyDescent="0.2">
      <c r="A36" s="438" t="s">
        <v>576</v>
      </c>
      <c r="B36" s="466"/>
      <c r="C36" s="468">
        <v>0</v>
      </c>
      <c r="P36"/>
      <c r="S36"/>
    </row>
    <row r="37" spans="1:24" ht="13.5" hidden="1" customHeight="1" x14ac:dyDescent="0.2">
      <c r="A37" s="453" t="s">
        <v>43</v>
      </c>
      <c r="B37" s="469">
        <f>SUM(B24:B36)</f>
        <v>0</v>
      </c>
      <c r="C37" s="470">
        <f>SUM(C24:C36)</f>
        <v>12312</v>
      </c>
      <c r="P37"/>
      <c r="S37"/>
    </row>
    <row r="38" spans="1:24" ht="12.75" hidden="1" customHeight="1" thickBot="1" x14ac:dyDescent="0.25">
      <c r="P38"/>
      <c r="S38"/>
    </row>
    <row r="39" spans="1:24" ht="12.75" hidden="1" customHeight="1" x14ac:dyDescent="0.2">
      <c r="B39" s="500"/>
      <c r="C39" s="500"/>
      <c r="P39"/>
      <c r="S39"/>
    </row>
    <row r="40" spans="1:24" ht="12.75" hidden="1" customHeight="1" x14ac:dyDescent="0.2">
      <c r="B40" s="500"/>
    </row>
    <row r="41" spans="1:24" x14ac:dyDescent="0.2">
      <c r="B41" s="500"/>
    </row>
    <row r="42" spans="1:24" ht="13.5" thickBot="1" x14ac:dyDescent="0.25">
      <c r="B42" s="500"/>
    </row>
    <row r="43" spans="1:24" ht="13.5" customHeight="1" thickBot="1" x14ac:dyDescent="0.25">
      <c r="A43" s="921" t="s">
        <v>550</v>
      </c>
      <c r="B43" s="923" t="s">
        <v>551</v>
      </c>
      <c r="C43" s="490"/>
      <c r="D43" s="925" t="s">
        <v>552</v>
      </c>
      <c r="E43" s="925"/>
      <c r="F43" s="925"/>
      <c r="G43" s="925"/>
      <c r="H43" s="925"/>
      <c r="I43" s="925"/>
      <c r="J43" s="921" t="s">
        <v>550</v>
      </c>
      <c r="K43" s="927" t="s">
        <v>41</v>
      </c>
      <c r="L43" s="928"/>
      <c r="M43" s="928"/>
      <c r="N43" s="928"/>
      <c r="O43" s="928"/>
      <c r="P43" s="929"/>
      <c r="Q43" s="917" t="s">
        <v>918</v>
      </c>
      <c r="R43" s="919" t="s">
        <v>919</v>
      </c>
      <c r="T43" s="915" t="s">
        <v>750</v>
      </c>
    </row>
    <row r="44" spans="1:24" s="424" customFormat="1" ht="65.25" customHeight="1" thickBot="1" x14ac:dyDescent="0.25">
      <c r="A44" s="922"/>
      <c r="B44" s="924"/>
      <c r="C44" s="491"/>
      <c r="D44" s="420" t="s">
        <v>553</v>
      </c>
      <c r="E44" s="421" t="s">
        <v>554</v>
      </c>
      <c r="F44" s="421" t="s">
        <v>719</v>
      </c>
      <c r="G44" s="422" t="s">
        <v>555</v>
      </c>
      <c r="H44" s="422" t="s">
        <v>938</v>
      </c>
      <c r="I44" s="423" t="s">
        <v>556</v>
      </c>
      <c r="J44" s="926"/>
      <c r="K44" s="420" t="s">
        <v>557</v>
      </c>
      <c r="L44" s="421" t="s">
        <v>558</v>
      </c>
      <c r="M44" s="421" t="s">
        <v>559</v>
      </c>
      <c r="N44" s="421" t="s">
        <v>560</v>
      </c>
      <c r="O44" s="422" t="s">
        <v>561</v>
      </c>
      <c r="P44" s="423" t="s">
        <v>562</v>
      </c>
      <c r="Q44" s="918"/>
      <c r="R44" s="920"/>
      <c r="S44" s="425"/>
      <c r="T44" s="916"/>
      <c r="V44"/>
      <c r="W44"/>
      <c r="X44"/>
    </row>
    <row r="45" spans="1:24" x14ac:dyDescent="0.2">
      <c r="A45" s="501" t="s">
        <v>564</v>
      </c>
      <c r="B45" s="492">
        <v>2319</v>
      </c>
      <c r="C45" s="493"/>
      <c r="D45" s="494">
        <v>1160</v>
      </c>
      <c r="E45" s="495"/>
      <c r="F45" s="495"/>
      <c r="G45" s="656">
        <v>9130</v>
      </c>
      <c r="H45" s="493">
        <v>250</v>
      </c>
      <c r="I45" s="471">
        <f t="shared" ref="I45:I57" si="5">SUM(D45:H45)</f>
        <v>10540</v>
      </c>
      <c r="J45" s="502" t="s">
        <v>564</v>
      </c>
      <c r="K45" s="497">
        <v>5122</v>
      </c>
      <c r="L45" s="495">
        <v>0</v>
      </c>
      <c r="M45" s="495">
        <v>391</v>
      </c>
      <c r="N45" s="496">
        <v>0</v>
      </c>
      <c r="O45" s="498">
        <v>1150</v>
      </c>
      <c r="P45" s="471">
        <f t="shared" ref="P45:P57" si="6">K45+L45+M45+N45+O45</f>
        <v>6663</v>
      </c>
      <c r="Q45" s="471">
        <f t="shared" ref="Q45:Q58" si="7">I45+P45</f>
        <v>17203</v>
      </c>
      <c r="R45" s="436">
        <v>17813</v>
      </c>
      <c r="S45" s="335"/>
      <c r="T45" s="437">
        <v>0</v>
      </c>
    </row>
    <row r="46" spans="1:24" x14ac:dyDescent="0.2">
      <c r="A46" s="438" t="s">
        <v>565</v>
      </c>
      <c r="B46" s="427">
        <v>591</v>
      </c>
      <c r="C46" s="431"/>
      <c r="D46" s="428">
        <v>295</v>
      </c>
      <c r="E46" s="429"/>
      <c r="F46" s="429"/>
      <c r="G46" s="430">
        <v>2326</v>
      </c>
      <c r="H46" s="431">
        <v>64</v>
      </c>
      <c r="I46" s="432">
        <f t="shared" si="5"/>
        <v>2685</v>
      </c>
      <c r="J46" s="439" t="s">
        <v>565</v>
      </c>
      <c r="K46" s="433">
        <v>222</v>
      </c>
      <c r="L46" s="429">
        <v>0</v>
      </c>
      <c r="M46" s="429">
        <v>234</v>
      </c>
      <c r="N46" s="57">
        <v>0</v>
      </c>
      <c r="O46" s="434">
        <v>0</v>
      </c>
      <c r="P46" s="432">
        <f t="shared" si="6"/>
        <v>456</v>
      </c>
      <c r="Q46" s="435">
        <f t="shared" si="7"/>
        <v>3141</v>
      </c>
      <c r="R46" s="440">
        <v>3265</v>
      </c>
      <c r="S46" s="335"/>
      <c r="T46" s="441">
        <v>0</v>
      </c>
    </row>
    <row r="47" spans="1:24" x14ac:dyDescent="0.2">
      <c r="A47" s="438" t="s">
        <v>566</v>
      </c>
      <c r="B47" s="427">
        <v>2211</v>
      </c>
      <c r="C47" s="431"/>
      <c r="D47" s="428">
        <v>1106</v>
      </c>
      <c r="E47" s="429"/>
      <c r="F47" s="429"/>
      <c r="G47" s="430">
        <v>8704</v>
      </c>
      <c r="H47" s="431">
        <v>239</v>
      </c>
      <c r="I47" s="432">
        <f>SUM(D47:H47)</f>
        <v>10049</v>
      </c>
      <c r="J47" s="439" t="s">
        <v>566</v>
      </c>
      <c r="K47" s="433">
        <v>0</v>
      </c>
      <c r="L47" s="429">
        <v>0</v>
      </c>
      <c r="M47" s="429">
        <v>996</v>
      </c>
      <c r="N47" s="57">
        <v>0</v>
      </c>
      <c r="O47" s="434">
        <v>0</v>
      </c>
      <c r="P47" s="432">
        <f t="shared" si="6"/>
        <v>996</v>
      </c>
      <c r="Q47" s="435">
        <f t="shared" si="7"/>
        <v>11045</v>
      </c>
      <c r="R47" s="440">
        <v>11667</v>
      </c>
      <c r="S47" s="335"/>
      <c r="T47" s="441">
        <v>0</v>
      </c>
    </row>
    <row r="48" spans="1:24" x14ac:dyDescent="0.2">
      <c r="A48" s="438" t="s">
        <v>567</v>
      </c>
      <c r="B48" s="427">
        <v>1800</v>
      </c>
      <c r="C48" s="431"/>
      <c r="D48" s="428">
        <v>900</v>
      </c>
      <c r="E48" s="429"/>
      <c r="F48" s="429"/>
      <c r="G48" s="430">
        <v>1810</v>
      </c>
      <c r="H48" s="431">
        <v>0</v>
      </c>
      <c r="I48" s="432">
        <f>SUM(D48:H48)</f>
        <v>2710</v>
      </c>
      <c r="J48" s="439" t="s">
        <v>567</v>
      </c>
      <c r="K48" s="433">
        <v>0</v>
      </c>
      <c r="L48" s="429">
        <v>0</v>
      </c>
      <c r="M48" s="429">
        <v>469</v>
      </c>
      <c r="N48" s="57">
        <v>0</v>
      </c>
      <c r="O48" s="434">
        <v>0</v>
      </c>
      <c r="P48" s="432">
        <f t="shared" si="6"/>
        <v>469</v>
      </c>
      <c r="Q48" s="435">
        <f t="shared" si="7"/>
        <v>3179</v>
      </c>
      <c r="R48" s="440">
        <v>3179</v>
      </c>
      <c r="S48" s="335"/>
      <c r="T48" s="441">
        <v>0</v>
      </c>
      <c r="U48" s="442"/>
    </row>
    <row r="49" spans="1:21" x14ac:dyDescent="0.2">
      <c r="A49" s="438" t="s">
        <v>568</v>
      </c>
      <c r="B49" s="427">
        <v>616</v>
      </c>
      <c r="C49" s="431"/>
      <c r="D49" s="428">
        <v>308</v>
      </c>
      <c r="E49" s="429"/>
      <c r="F49" s="429"/>
      <c r="G49" s="430">
        <v>1617</v>
      </c>
      <c r="H49" s="431">
        <v>67</v>
      </c>
      <c r="I49" s="432">
        <f t="shared" si="5"/>
        <v>1992</v>
      </c>
      <c r="J49" s="439" t="s">
        <v>568</v>
      </c>
      <c r="K49" s="433">
        <v>0</v>
      </c>
      <c r="L49" s="429">
        <v>0</v>
      </c>
      <c r="M49" s="429">
        <v>371</v>
      </c>
      <c r="N49" s="57">
        <v>0</v>
      </c>
      <c r="O49" s="434">
        <v>225</v>
      </c>
      <c r="P49" s="432">
        <f t="shared" si="6"/>
        <v>596</v>
      </c>
      <c r="Q49" s="435">
        <f t="shared" si="7"/>
        <v>2588</v>
      </c>
      <c r="R49" s="440">
        <v>2232</v>
      </c>
      <c r="S49" s="335"/>
      <c r="T49" s="441">
        <v>0</v>
      </c>
    </row>
    <row r="50" spans="1:21" x14ac:dyDescent="0.2">
      <c r="A50" s="438" t="s">
        <v>569</v>
      </c>
      <c r="B50" s="427">
        <v>542</v>
      </c>
      <c r="C50" s="431"/>
      <c r="D50" s="428">
        <v>271</v>
      </c>
      <c r="E50" s="429"/>
      <c r="F50" s="429"/>
      <c r="G50" s="430">
        <v>1422</v>
      </c>
      <c r="H50" s="431">
        <v>58</v>
      </c>
      <c r="I50" s="432">
        <f t="shared" si="5"/>
        <v>1751</v>
      </c>
      <c r="J50" s="439" t="s">
        <v>569</v>
      </c>
      <c r="K50" s="433">
        <v>222</v>
      </c>
      <c r="L50" s="429">
        <v>0</v>
      </c>
      <c r="M50" s="429">
        <v>156</v>
      </c>
      <c r="N50" s="57">
        <v>0</v>
      </c>
      <c r="O50" s="434">
        <v>0</v>
      </c>
      <c r="P50" s="432">
        <f t="shared" si="6"/>
        <v>378</v>
      </c>
      <c r="Q50" s="435">
        <f t="shared" si="7"/>
        <v>2129</v>
      </c>
      <c r="R50" s="440">
        <v>1774</v>
      </c>
      <c r="S50" s="335"/>
      <c r="T50" s="441">
        <v>0</v>
      </c>
    </row>
    <row r="51" spans="1:21" x14ac:dyDescent="0.2">
      <c r="A51" s="438" t="s">
        <v>570</v>
      </c>
      <c r="B51" s="427">
        <v>1466</v>
      </c>
      <c r="C51" s="431"/>
      <c r="D51" s="428">
        <v>733</v>
      </c>
      <c r="E51" s="429"/>
      <c r="F51" s="429"/>
      <c r="G51" s="430">
        <v>3848</v>
      </c>
      <c r="H51" s="431">
        <v>158</v>
      </c>
      <c r="I51" s="432">
        <f t="shared" si="5"/>
        <v>4739</v>
      </c>
      <c r="J51" s="439" t="s">
        <v>570</v>
      </c>
      <c r="K51" s="433">
        <v>0</v>
      </c>
      <c r="L51" s="429">
        <v>0</v>
      </c>
      <c r="M51" s="429">
        <v>0</v>
      </c>
      <c r="N51" s="57">
        <v>0</v>
      </c>
      <c r="O51" s="434">
        <v>825</v>
      </c>
      <c r="P51" s="432">
        <f t="shared" si="6"/>
        <v>825</v>
      </c>
      <c r="Q51" s="435">
        <f t="shared" si="7"/>
        <v>5564</v>
      </c>
      <c r="R51" s="440">
        <v>4718</v>
      </c>
      <c r="S51" s="335"/>
      <c r="T51" s="441">
        <v>0</v>
      </c>
    </row>
    <row r="52" spans="1:21" x14ac:dyDescent="0.2">
      <c r="A52" s="438" t="s">
        <v>571</v>
      </c>
      <c r="B52" s="427">
        <v>545</v>
      </c>
      <c r="C52" s="431"/>
      <c r="D52" s="428">
        <v>273</v>
      </c>
      <c r="E52" s="429"/>
      <c r="F52" s="429"/>
      <c r="G52" s="430">
        <v>1431</v>
      </c>
      <c r="H52" s="431">
        <v>59</v>
      </c>
      <c r="I52" s="432">
        <f t="shared" si="5"/>
        <v>1763</v>
      </c>
      <c r="J52" s="439" t="s">
        <v>571</v>
      </c>
      <c r="K52" s="433">
        <v>222</v>
      </c>
      <c r="L52" s="429">
        <v>0</v>
      </c>
      <c r="M52" s="429">
        <v>509</v>
      </c>
      <c r="N52" s="57">
        <v>0</v>
      </c>
      <c r="O52" s="434">
        <v>0</v>
      </c>
      <c r="P52" s="432">
        <f t="shared" si="6"/>
        <v>731</v>
      </c>
      <c r="Q52" s="435">
        <f t="shared" si="7"/>
        <v>2494</v>
      </c>
      <c r="R52" s="440">
        <v>2139</v>
      </c>
      <c r="S52" s="335"/>
      <c r="T52" s="441">
        <v>0</v>
      </c>
      <c r="U52" s="443"/>
    </row>
    <row r="53" spans="1:21" x14ac:dyDescent="0.2">
      <c r="A53" s="438" t="s">
        <v>572</v>
      </c>
      <c r="B53" s="427">
        <v>391</v>
      </c>
      <c r="C53" s="431"/>
      <c r="D53" s="428">
        <v>195</v>
      </c>
      <c r="E53" s="429"/>
      <c r="F53" s="429"/>
      <c r="G53" s="430">
        <v>1026</v>
      </c>
      <c r="H53" s="431">
        <v>42</v>
      </c>
      <c r="I53" s="432">
        <f>SUM(D53:H53)</f>
        <v>1263</v>
      </c>
      <c r="J53" s="439" t="s">
        <v>572</v>
      </c>
      <c r="K53" s="433">
        <v>222</v>
      </c>
      <c r="L53" s="429">
        <v>0</v>
      </c>
      <c r="M53" s="429">
        <v>820</v>
      </c>
      <c r="N53" s="57">
        <v>0</v>
      </c>
      <c r="O53" s="434">
        <v>0</v>
      </c>
      <c r="P53" s="432">
        <f t="shared" si="6"/>
        <v>1042</v>
      </c>
      <c r="Q53" s="435">
        <f t="shared" si="7"/>
        <v>2305</v>
      </c>
      <c r="R53" s="440">
        <v>2037</v>
      </c>
      <c r="S53" s="335"/>
      <c r="T53" s="441">
        <v>0</v>
      </c>
      <c r="U53" s="444"/>
    </row>
    <row r="54" spans="1:21" x14ac:dyDescent="0.2">
      <c r="A54" s="438" t="s">
        <v>573</v>
      </c>
      <c r="B54" s="427">
        <v>441</v>
      </c>
      <c r="C54" s="431"/>
      <c r="D54" s="428">
        <v>220</v>
      </c>
      <c r="E54" s="429"/>
      <c r="F54" s="429"/>
      <c r="G54" s="430">
        <v>1158</v>
      </c>
      <c r="H54" s="431">
        <v>48</v>
      </c>
      <c r="I54" s="432">
        <f t="shared" si="5"/>
        <v>1426</v>
      </c>
      <c r="J54" s="439" t="s">
        <v>573</v>
      </c>
      <c r="K54" s="433">
        <v>0</v>
      </c>
      <c r="L54" s="429">
        <v>0</v>
      </c>
      <c r="M54" s="429">
        <v>352</v>
      </c>
      <c r="N54" s="57">
        <v>0</v>
      </c>
      <c r="O54" s="434">
        <v>0</v>
      </c>
      <c r="P54" s="432">
        <f t="shared" si="6"/>
        <v>352</v>
      </c>
      <c r="Q54" s="435">
        <f t="shared" si="7"/>
        <v>1778</v>
      </c>
      <c r="R54" s="440">
        <v>1523</v>
      </c>
      <c r="S54" s="335"/>
      <c r="T54" s="441">
        <v>0</v>
      </c>
      <c r="U54" s="444"/>
    </row>
    <row r="55" spans="1:21" x14ac:dyDescent="0.2">
      <c r="A55" s="438" t="s">
        <v>574</v>
      </c>
      <c r="B55" s="427">
        <v>669</v>
      </c>
      <c r="C55" s="431"/>
      <c r="D55" s="428">
        <v>335</v>
      </c>
      <c r="E55" s="429"/>
      <c r="F55" s="429"/>
      <c r="G55" s="430">
        <v>2634</v>
      </c>
      <c r="H55" s="431">
        <v>72</v>
      </c>
      <c r="I55" s="432">
        <f t="shared" si="5"/>
        <v>3041</v>
      </c>
      <c r="J55" s="439" t="s">
        <v>574</v>
      </c>
      <c r="K55" s="433">
        <v>222</v>
      </c>
      <c r="L55" s="429">
        <v>0</v>
      </c>
      <c r="M55" s="429">
        <v>234</v>
      </c>
      <c r="N55" s="57">
        <v>0</v>
      </c>
      <c r="O55" s="434">
        <v>0</v>
      </c>
      <c r="P55" s="432">
        <f t="shared" si="6"/>
        <v>456</v>
      </c>
      <c r="Q55" s="435">
        <f t="shared" si="7"/>
        <v>3497</v>
      </c>
      <c r="R55" s="440">
        <v>3643</v>
      </c>
      <c r="S55" s="335"/>
      <c r="T55" s="441">
        <v>0</v>
      </c>
      <c r="U55" s="444"/>
    </row>
    <row r="56" spans="1:21" x14ac:dyDescent="0.2">
      <c r="A56" s="438" t="s">
        <v>575</v>
      </c>
      <c r="B56" s="427">
        <v>574</v>
      </c>
      <c r="C56" s="431"/>
      <c r="D56" s="428">
        <v>287</v>
      </c>
      <c r="E56" s="447"/>
      <c r="F56" s="429"/>
      <c r="G56" s="430">
        <v>1507</v>
      </c>
      <c r="H56" s="431">
        <v>62</v>
      </c>
      <c r="I56" s="445">
        <f>SUM(D56:H56)</f>
        <v>1856</v>
      </c>
      <c r="J56" s="439" t="s">
        <v>575</v>
      </c>
      <c r="K56" s="446">
        <v>222</v>
      </c>
      <c r="L56" s="429">
        <v>0</v>
      </c>
      <c r="M56" s="447">
        <v>430</v>
      </c>
      <c r="N56" s="57">
        <v>0</v>
      </c>
      <c r="O56" s="434">
        <v>0</v>
      </c>
      <c r="P56" s="432">
        <f t="shared" si="6"/>
        <v>652</v>
      </c>
      <c r="Q56" s="448">
        <f t="shared" si="7"/>
        <v>2508</v>
      </c>
      <c r="R56" s="440">
        <v>2134</v>
      </c>
      <c r="S56" s="335"/>
      <c r="T56" s="441">
        <v>0</v>
      </c>
      <c r="U56" s="444"/>
    </row>
    <row r="57" spans="1:21" x14ac:dyDescent="0.2">
      <c r="A57" s="438" t="s">
        <v>576</v>
      </c>
      <c r="B57" s="427">
        <v>225</v>
      </c>
      <c r="C57" s="431"/>
      <c r="D57" s="428">
        <v>112</v>
      </c>
      <c r="E57" s="447"/>
      <c r="F57" s="429"/>
      <c r="G57" s="430">
        <v>591</v>
      </c>
      <c r="H57" s="431">
        <v>24</v>
      </c>
      <c r="I57" s="445">
        <f t="shared" si="5"/>
        <v>727</v>
      </c>
      <c r="J57" s="439" t="s">
        <v>576</v>
      </c>
      <c r="K57" s="446">
        <v>0</v>
      </c>
      <c r="L57" s="429">
        <v>0</v>
      </c>
      <c r="M57" s="447">
        <v>742</v>
      </c>
      <c r="N57" s="57">
        <v>0</v>
      </c>
      <c r="O57" s="434">
        <v>0</v>
      </c>
      <c r="P57" s="432">
        <f t="shared" si="6"/>
        <v>742</v>
      </c>
      <c r="Q57" s="448">
        <f t="shared" si="7"/>
        <v>1469</v>
      </c>
      <c r="R57" s="440">
        <v>1339</v>
      </c>
      <c r="S57" s="335"/>
      <c r="T57" s="441">
        <v>0</v>
      </c>
      <c r="U57" s="443"/>
    </row>
    <row r="58" spans="1:21" hidden="1" x14ac:dyDescent="0.2">
      <c r="A58" s="449" t="s">
        <v>577</v>
      </c>
      <c r="B58" s="450"/>
      <c r="C58" s="499"/>
      <c r="D58" s="428"/>
      <c r="E58" s="447"/>
      <c r="F58" s="447"/>
      <c r="G58" s="57"/>
      <c r="H58" s="499"/>
      <c r="I58" s="445"/>
      <c r="J58" s="452" t="s">
        <v>577</v>
      </c>
      <c r="K58" s="446"/>
      <c r="L58" s="429">
        <f>[7]Jelzőrendszer!C70</f>
        <v>0</v>
      </c>
      <c r="M58" s="447"/>
      <c r="N58" s="57"/>
      <c r="O58" s="434">
        <f>'[7]Püg.,TV, étkeztetés '!C72+'[7]Püg.,TV, étkeztetés '!H72</f>
        <v>0</v>
      </c>
      <c r="P58" s="445" t="e">
        <f>K58+#REF!+M58+N58+O58</f>
        <v>#REF!</v>
      </c>
      <c r="Q58" s="448" t="e">
        <f t="shared" si="7"/>
        <v>#REF!</v>
      </c>
      <c r="R58" s="440" t="e">
        <v>#REF!</v>
      </c>
      <c r="S58" s="335"/>
      <c r="T58" s="441"/>
    </row>
    <row r="59" spans="1:21" ht="13.5" thickBot="1" x14ac:dyDescent="0.25">
      <c r="A59" s="453" t="s">
        <v>43</v>
      </c>
      <c r="B59" s="454">
        <f>SUM(B45:B58)</f>
        <v>12390</v>
      </c>
      <c r="C59" s="457"/>
      <c r="D59" s="455">
        <f t="shared" ref="D59:I59" si="8">SUM(D45:D57)</f>
        <v>6195</v>
      </c>
      <c r="E59" s="456">
        <f t="shared" si="8"/>
        <v>0</v>
      </c>
      <c r="F59" s="456">
        <f t="shared" si="8"/>
        <v>0</v>
      </c>
      <c r="G59" s="456">
        <f>SUM(G45:G57)</f>
        <v>37204</v>
      </c>
      <c r="H59" s="457">
        <f t="shared" si="8"/>
        <v>1143</v>
      </c>
      <c r="I59" s="454">
        <f t="shared" si="8"/>
        <v>44542</v>
      </c>
      <c r="J59" s="458" t="s">
        <v>43</v>
      </c>
      <c r="K59" s="455">
        <f>SUM(K45:K57)</f>
        <v>6454</v>
      </c>
      <c r="L59" s="455">
        <f>SUM(L45:L57)</f>
        <v>0</v>
      </c>
      <c r="M59" s="456">
        <f>SUM(M45:M58)</f>
        <v>5704</v>
      </c>
      <c r="N59" s="456">
        <f>SUM(N45:N57)</f>
        <v>0</v>
      </c>
      <c r="O59" s="459">
        <f>SUM(O45:O57)</f>
        <v>2200</v>
      </c>
      <c r="P59" s="454">
        <f>SUM(K59:O59)</f>
        <v>14358</v>
      </c>
      <c r="Q59" s="522">
        <f>SUM(Q45:Q57)</f>
        <v>58900</v>
      </c>
      <c r="R59" s="460">
        <f>SUM(R45:R57)</f>
        <v>57463</v>
      </c>
      <c r="S59" s="464"/>
      <c r="T59" s="461">
        <f>SUM(T45:T57)</f>
        <v>0</v>
      </c>
    </row>
  </sheetData>
  <mergeCells count="19">
    <mergeCell ref="A22:A23"/>
    <mergeCell ref="B22:B23"/>
    <mergeCell ref="C22:C23"/>
    <mergeCell ref="T4:T5"/>
    <mergeCell ref="A4:A5"/>
    <mergeCell ref="B4:B5"/>
    <mergeCell ref="Q4:Q5"/>
    <mergeCell ref="R4:R5"/>
    <mergeCell ref="D4:I4"/>
    <mergeCell ref="J4:J5"/>
    <mergeCell ref="K4:P4"/>
    <mergeCell ref="T43:T44"/>
    <mergeCell ref="Q43:Q44"/>
    <mergeCell ref="R43:R44"/>
    <mergeCell ref="A43:A44"/>
    <mergeCell ref="B43:B44"/>
    <mergeCell ref="D43:I43"/>
    <mergeCell ref="J43:J44"/>
    <mergeCell ref="K43:P43"/>
  </mergeCells>
  <pageMargins left="0.39370078740157483" right="0.19685039370078741" top="0.27559055118110237" bottom="0.47244094488188981" header="0.27559055118110237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22</vt:i4>
      </vt:variant>
    </vt:vector>
  </HeadingPairs>
  <TitlesOfParts>
    <vt:vector size="42" baseType="lpstr">
      <vt:lpstr>1.Bev-kiad.</vt:lpstr>
      <vt:lpstr>2.működés</vt:lpstr>
      <vt:lpstr>Munka1</vt:lpstr>
      <vt:lpstr>3.felh</vt:lpstr>
      <vt:lpstr>4. Átadott p.eszk.</vt:lpstr>
      <vt:lpstr>5.Bev.össz</vt:lpstr>
      <vt:lpstr>5.Bev.össz_</vt:lpstr>
      <vt:lpstr>6.Kiad.össz.</vt:lpstr>
      <vt:lpstr>6.Kiad.össz._</vt:lpstr>
      <vt:lpstr>7.finanszírozás.</vt:lpstr>
      <vt:lpstr>8.Önk.</vt:lpstr>
      <vt:lpstr>9.Hivatal</vt:lpstr>
      <vt:lpstr>10.Adósság</vt:lpstr>
      <vt:lpstr>10.Likviditás</vt:lpstr>
      <vt:lpstr>12. gördülő tervezés</vt:lpstr>
      <vt:lpstr>13. Eu projekt</vt:lpstr>
      <vt:lpstr>14.Mérlegszerű kimutatás</vt:lpstr>
      <vt:lpstr>11.Tartalék</vt:lpstr>
      <vt:lpstr>12.Bev-kiad.mód.vált.indok</vt:lpstr>
      <vt:lpstr>Társulási fel. tájékoztatásul</vt:lpstr>
      <vt:lpstr>'12.Bev-kiad.mód.vált.indok'!Nyomtatási_cím</vt:lpstr>
      <vt:lpstr>'2.működés'!Nyomtatási_cím</vt:lpstr>
      <vt:lpstr>'6.Kiad.össz.'!Nyomtatási_cím</vt:lpstr>
      <vt:lpstr>'6.Kiad.össz._'!Nyomtatási_cím</vt:lpstr>
      <vt:lpstr>'7.finanszírozás.'!Nyomtatási_cím</vt:lpstr>
      <vt:lpstr>'8.Önk.'!Nyomtatási_cím</vt:lpstr>
      <vt:lpstr>'9.Hivatal'!Nyomtatási_cím</vt:lpstr>
      <vt:lpstr>'1.Bev-kiad.'!Nyomtatási_terület</vt:lpstr>
      <vt:lpstr>'10.Adósság'!Nyomtatási_terület</vt:lpstr>
      <vt:lpstr>'10.Likviditás'!Nyomtatási_terület</vt:lpstr>
      <vt:lpstr>'12. gördülő tervezés'!Nyomtatási_terület</vt:lpstr>
      <vt:lpstr>'12.Bev-kiad.mód.vált.indok'!Nyomtatási_terület</vt:lpstr>
      <vt:lpstr>'13. Eu projekt'!Nyomtatási_terület</vt:lpstr>
      <vt:lpstr>'2.működés'!Nyomtatási_terület</vt:lpstr>
      <vt:lpstr>'3.felh'!Nyomtatási_terület</vt:lpstr>
      <vt:lpstr>'4. Átadott p.eszk.'!Nyomtatási_terület</vt:lpstr>
      <vt:lpstr>'6.Kiad.össz.'!Nyomtatási_terület</vt:lpstr>
      <vt:lpstr>'6.Kiad.össz._'!Nyomtatási_terület</vt:lpstr>
      <vt:lpstr>'7.finanszírozás.'!Nyomtatási_terület</vt:lpstr>
      <vt:lpstr>'8.Önk.'!Nyomtatási_terület</vt:lpstr>
      <vt:lpstr>'9.Hivatal'!Nyomtatási_terület</vt:lpstr>
      <vt:lpstr>'Társulási fel. tájékoztatásul'!Nyomtatási_terület</vt:lpstr>
    </vt:vector>
  </TitlesOfParts>
  <Company>Önkormányzat Bföldvár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Belovics Emilné</dc:creator>
  <cp:lastModifiedBy>MagorineA</cp:lastModifiedBy>
  <cp:lastPrinted>2026-09-22T08:36:09Z</cp:lastPrinted>
  <dcterms:created xsi:type="dcterms:W3CDTF">2009-11-11T14:39:35Z</dcterms:created>
  <dcterms:modified xsi:type="dcterms:W3CDTF">2026-09-22T08:36:21Z</dcterms:modified>
</cp:coreProperties>
</file>